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omments3.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omments4.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codeName="ThisWorkbook"/>
  <mc:AlternateContent xmlns:mc="http://schemas.openxmlformats.org/markup-compatibility/2006">
    <mc:Choice Requires="x15">
      <x15ac:absPath xmlns:x15ac="http://schemas.microsoft.com/office/spreadsheetml/2010/11/ac" url="https://apamscloud.sharepoint.com/sites/RegulatoryReportingTeam/Shared Documents/Part 10/1. FY25/Non-scheme pipelines/11.1 Publication_September 2026/Website files/"/>
    </mc:Choice>
  </mc:AlternateContent>
  <xr:revisionPtr revIDLastSave="0" documentId="8_{7CBD7299-6D80-4486-8AB0-6DCF35186089}" xr6:coauthVersionLast="47" xr6:coauthVersionMax="47" xr10:uidLastSave="{00000000-0000-0000-0000-000000000000}"/>
  <bookViews>
    <workbookView xWindow="-28920" yWindow="-120" windowWidth="29040" windowHeight="15720" activeTab="23" xr2:uid="{E9777BD4-9CE8-49F4-BF45-FD712BC8D53C}"/>
  </bookViews>
  <sheets>
    <sheet name="Cover" sheetId="11" r:id="rId1"/>
    <sheet name="Contents" sheetId="4" r:id="rId2"/>
    <sheet name="Financial summary" sheetId="69" r:id="rId3"/>
    <sheet name="Data visualisation" sheetId="82" r:id="rId4"/>
    <sheet name="Pricing benchmarks summary" sheetId="84" r:id="rId5"/>
    <sheet name="1. Pipeline information" sheetId="44" r:id="rId6"/>
    <sheet name="2. Revenue and expenses" sheetId="5" r:id="rId7"/>
    <sheet name="2.1 Profit &amp; Loss by component" sheetId="76" r:id="rId8"/>
    <sheet name="2.2 Allocation to services" sheetId="56" r:id="rId9"/>
    <sheet name="2.3 Revenue contributions " sheetId="57" r:id="rId10"/>
    <sheet name="2.4 Indirect revenue" sheetId="45" r:id="rId11"/>
    <sheet name="2.5 Shared expenses" sheetId="16" r:id="rId12"/>
    <sheet name="3.1 Depreciated Book Value" sheetId="6" r:id="rId13"/>
    <sheet name="3.2 Regulatory Asset Base" sheetId="87" r:id="rId14"/>
    <sheet name="3.3 Asset useful life" sheetId="55" r:id="rId15"/>
    <sheet name="3.4 Asset impairment" sheetId="63" r:id="rId16"/>
    <sheet name="3.5 Depreciation amortisation" sheetId="34" r:id="rId17"/>
    <sheet name="3.6 Shared supporting assets" sheetId="59" r:id="rId18"/>
    <sheet name="Auditor's Report Statement" sheetId="103" r:id="rId19"/>
    <sheet name="4. Recovered Capital" sheetId="47" r:id="rId20"/>
    <sheet name="Auditor's Review Report RCM" sheetId="122" r:id="rId21"/>
    <sheet name="4.1 Pipelines capex" sheetId="66" r:id="rId22"/>
    <sheet name="Auditor's Review Report Capex" sheetId="102" r:id="rId23"/>
    <sheet name="5. Historical demand" sheetId="74" r:id="rId24"/>
    <sheet name="Auditor's Review Report Demand" sheetId="104" r:id="rId25"/>
    <sheet name="6. Pricing template" sheetId="80" r:id="rId26"/>
    <sheet name="7. Amendment record" sheetId="90" r:id="rId27"/>
    <sheet name="D.1.1 TB FY24" sheetId="112" state="hidden" r:id="rId28"/>
    <sheet name="Sheet1" sheetId="86" state="hidden" r:id="rId29"/>
    <sheet name="Amendment record" sheetId="67" state="hidden" r:id="rId30"/>
  </sheets>
  <definedNames>
    <definedName name="\0">#REF!</definedName>
    <definedName name="\A">#REF!</definedName>
    <definedName name="\B">#REF!</definedName>
    <definedName name="\C">#REF!</definedName>
    <definedName name="\M">#REF!</definedName>
    <definedName name="______UAG99">#REF!</definedName>
    <definedName name="_____cpi1">#REF!</definedName>
    <definedName name="_____CPI2">#REF!</definedName>
    <definedName name="_____IRR1">#REF!</definedName>
    <definedName name="_____LUT1">#REF!</definedName>
    <definedName name="_____NPV1">#REF!</definedName>
    <definedName name="_____UAG99">#REF!</definedName>
    <definedName name="____cpi1">#REF!</definedName>
    <definedName name="____CPI2">#REF!</definedName>
    <definedName name="____IRR1">#REF!</definedName>
    <definedName name="____IZS2">#REF!</definedName>
    <definedName name="____LUT1">#REF!</definedName>
    <definedName name="____NPV1">#REF!</definedName>
    <definedName name="____NPV2">#REF!</definedName>
    <definedName name="____UAG99">#REF!</definedName>
    <definedName name="___cpi1">#REF!</definedName>
    <definedName name="___CPI2">#REF!</definedName>
    <definedName name="___IRR1">#REF!</definedName>
    <definedName name="___IZS2">#REF!</definedName>
    <definedName name="___LUT1">#REF!</definedName>
    <definedName name="___May08">#REF!</definedName>
    <definedName name="___NPV1">#REF!</definedName>
    <definedName name="___NPV2">#REF!</definedName>
    <definedName name="___Tot220">#REF!</definedName>
    <definedName name="___Tot237">#REF!</definedName>
    <definedName name="___Tot257">#REF!</definedName>
    <definedName name="___Tot258">#REF!</definedName>
    <definedName name="___UAG99">#REF!</definedName>
    <definedName name="__123Graph_A" hidden="1">#REF!</definedName>
    <definedName name="__123Graph_A5YRAVER" hidden="1">#REF!</definedName>
    <definedName name="__123Graph_AAVDDAYS" hidden="1">#REF!</definedName>
    <definedName name="__123Graph_B" hidden="1">#REF!</definedName>
    <definedName name="__123Graph_B5YRAVER" hidden="1">#REF!</definedName>
    <definedName name="__123Graph_BAVDDAYS" hidden="1">#REF!</definedName>
    <definedName name="__123Graph_C" hidden="1">#REF!</definedName>
    <definedName name="__123Graph_CAVDDAYS" hidden="1">#REF!</definedName>
    <definedName name="__123Graph_D5YRAVER" hidden="1">#REF!</definedName>
    <definedName name="__123Graph_X" hidden="1">#REF!</definedName>
    <definedName name="__123Graph_X5YRAVER" hidden="1">#REF!</definedName>
    <definedName name="__123Graph_XAVDDAYS" hidden="1">#REF!</definedName>
    <definedName name="__cpi1">#REF!</definedName>
    <definedName name="__CPI2">#REF!</definedName>
    <definedName name="__DAT1">#REF!</definedName>
    <definedName name="__DAT14">#REF!</definedName>
    <definedName name="__DAT5">#REF!</definedName>
    <definedName name="__DAT6">#REF!</definedName>
    <definedName name="__DataSet1__">#REF!</definedName>
    <definedName name="__DataSet2__">#REF!</definedName>
    <definedName name="__DataSet3__">#REF!</definedName>
    <definedName name="__DataSet4__">#REF!</definedName>
    <definedName name="__int997">#REF!</definedName>
    <definedName name="__IRR1">#REF!</definedName>
    <definedName name="__IZS2">#REF!</definedName>
    <definedName name="__JUN09">#REF!</definedName>
    <definedName name="__LUT1">#REF!</definedName>
    <definedName name="__MAIN__">#REF!</definedName>
    <definedName name="__May08">#REF!</definedName>
    <definedName name="__NPV1">#REF!</definedName>
    <definedName name="__NPV2">#REF!</definedName>
    <definedName name="__PL1">#REF!</definedName>
    <definedName name="__TableData__">#REF!</definedName>
    <definedName name="__TB1">#REF!</definedName>
    <definedName name="__Tot220">#REF!</definedName>
    <definedName name="__Tot221">#REF!</definedName>
    <definedName name="__Tot232">#REF!</definedName>
    <definedName name="__Tot237">#REF!</definedName>
    <definedName name="__Tot257">#REF!</definedName>
    <definedName name="__Tot258">#REF!</definedName>
    <definedName name="__UAG99">#REF!</definedName>
    <definedName name="_0020">#REF!</definedName>
    <definedName name="_0030">#REF!</definedName>
    <definedName name="_0270">#REF!</definedName>
    <definedName name="_0700">#REF!</definedName>
    <definedName name="_0701">#REF!</definedName>
    <definedName name="_0710">#REF!</definedName>
    <definedName name="_1__123Graph_ACHART_1" hidden="1">#REF!</definedName>
    <definedName name="_10__123Graph_ACHART_2" hidden="1">#REF!</definedName>
    <definedName name="_10__123Graph_ACHART_3" hidden="1">#REF!</definedName>
    <definedName name="_10__123Graph_ACHART_9" hidden="1">#REF!</definedName>
    <definedName name="_100__123Graph_ACHART_9" hidden="1">#REF!</definedName>
    <definedName name="_100__123Graph_DCHART_25" hidden="1">#REF!</definedName>
    <definedName name="_101__123Graph_CCHART_2" hidden="1">#REF!</definedName>
    <definedName name="_102__123Graph_CCHART_26" hidden="1">#REF!</definedName>
    <definedName name="_103__123Graph_BCHART_5" hidden="1">#REF!</definedName>
    <definedName name="_104__123Graph_DCHART_7" hidden="1">#REF!</definedName>
    <definedName name="_105__123Graph_ECHART_26" hidden="1">#REF!</definedName>
    <definedName name="_107__123Graph_CCHART_4" hidden="1">#REF!</definedName>
    <definedName name="_109__123Graph_XCHART_1" hidden="1">#REF!</definedName>
    <definedName name="_11__123Graph_ACHART_1" hidden="1">#REF!</definedName>
    <definedName name="_11__123Graph_ACHART_25" hidden="1">#REF!</definedName>
    <definedName name="_11__123Graph_ACHART_5" hidden="1">#REF!</definedName>
    <definedName name="_11__123Graph_BCHART_1" hidden="1">#REF!</definedName>
    <definedName name="_110__123Graph_BCHART_6" hidden="1">#REF!</definedName>
    <definedName name="_111__123Graph_BCHART_1" hidden="1">#REF!</definedName>
    <definedName name="_112__123Graph_BCHART_13" hidden="1">#REF!</definedName>
    <definedName name="_112__123Graph_CCHART_5" hidden="1">#REF!</definedName>
    <definedName name="_113__123Graph_BCHART_19" hidden="1">#REF!</definedName>
    <definedName name="_113__123Graph_XCHART_8" hidden="1">#REF!</definedName>
    <definedName name="_117__123Graph_BCHART_7" hidden="1">#REF!</definedName>
    <definedName name="_117__123Graph_CCHART_6" hidden="1">#REF!</definedName>
    <definedName name="_12__123Graph_BCHART_13" hidden="1">#REF!</definedName>
    <definedName name="_122__123Graph_CCHART_7" hidden="1">#REF!</definedName>
    <definedName name="_123__123Graph_DCHART_25" hidden="1">#REF!</definedName>
    <definedName name="_123Graph_A1" hidden="1">#REF!</definedName>
    <definedName name="_124__123Graph_BCHART_2" hidden="1">#REF!</definedName>
    <definedName name="_124__123Graph_BCHART_8" hidden="1">#REF!</definedName>
    <definedName name="_125__123Graph_BCHART_25" hidden="1">#REF!</definedName>
    <definedName name="_126__123Graph_BCHART_26" hidden="1">#REF!</definedName>
    <definedName name="_128__123Graph_DCHART_7" hidden="1">#REF!</definedName>
    <definedName name="_129__123Graph_ECHART_26" hidden="1">#REF!</definedName>
    <definedName name="_13__123Graph_ACHART_3" hidden="1">#REF!</definedName>
    <definedName name="_13__123Graph_ACHART_4" hidden="1">#REF!</definedName>
    <definedName name="_13__123Graph_ACHART_6" hidden="1">#REF!</definedName>
    <definedName name="_13__123Graph_BCHART_19" hidden="1">#REF!</definedName>
    <definedName name="_131__123Graph_BCHART_9" hidden="1">#REF!</definedName>
    <definedName name="_132__123Graph_CCHART_12" hidden="1">#REF!</definedName>
    <definedName name="_134__123Graph_XCHART_1" hidden="1">#REF!</definedName>
    <definedName name="_137__123Graph_BCHART_3" hidden="1">#REF!</definedName>
    <definedName name="_139__123Graph_CCHART_2" hidden="1">#REF!</definedName>
    <definedName name="_139__123Graph_XCHART_8" hidden="1">#REF!</definedName>
    <definedName name="_14__123Graph_ACHART_2" hidden="1">#REF!</definedName>
    <definedName name="_14__123Graph_BCHART_2" hidden="1">#REF!</definedName>
    <definedName name="_140__123Graph_CCHART_26" hidden="1">#REF!</definedName>
    <definedName name="_147__123Graph_CCHART_4" hidden="1">#REF!</definedName>
    <definedName name="_148__123Graph_BCHART_4" hidden="1">#REF!</definedName>
    <definedName name="_15__123Graph_ACHART_25" hidden="1">#REF!</definedName>
    <definedName name="_15__123Graph_ACHART_7" hidden="1">#REF!</definedName>
    <definedName name="_15__123Graph_BCHART_25" hidden="1">#REF!</definedName>
    <definedName name="_154__123Graph_CCHART_5" hidden="1">#REF!</definedName>
    <definedName name="_159__123Graph_BCHART_5" hidden="1">#REF!</definedName>
    <definedName name="_16__123Graph_ACHART_3" hidden="1">#REF!</definedName>
    <definedName name="_16__123Graph_ACHART_5" hidden="1">#REF!</definedName>
    <definedName name="_16__123Graph_BCHART_26" hidden="1">#REF!</definedName>
    <definedName name="_161__123Graph_CCHART_6" hidden="1">#REF!</definedName>
    <definedName name="_1620">#REF!</definedName>
    <definedName name="_1621">#REF!</definedName>
    <definedName name="_1630">#REF!</definedName>
    <definedName name="_1631">#REF!</definedName>
    <definedName name="_1632">#REF!</definedName>
    <definedName name="_1633">#REF!</definedName>
    <definedName name="_1636">#REF!</definedName>
    <definedName name="_1638">#REF!</definedName>
    <definedName name="_1640">#REF!</definedName>
    <definedName name="_1642">#REF!</definedName>
    <definedName name="_1649">#REF!</definedName>
    <definedName name="_1670">#REF!</definedName>
    <definedName name="_1671">#REF!</definedName>
    <definedName name="_168__123Graph_CCHART_7" hidden="1">#REF!</definedName>
    <definedName name="_169__123Graph_DCHART_25" hidden="1">#REF!</definedName>
    <definedName name="_17__123Graph_ACHART_4" hidden="1">#REF!</definedName>
    <definedName name="_17__123Graph_ACHART_8" hidden="1">#REF!</definedName>
    <definedName name="_17__123Graph_BCHART_3" hidden="1">#REF!</definedName>
    <definedName name="_170__123Graph_BCHART_6" hidden="1">#REF!</definedName>
    <definedName name="_1711">#REF!</definedName>
    <definedName name="_1720">#REF!</definedName>
    <definedName name="_176__123Graph_DCHART_7" hidden="1">#REF!</definedName>
    <definedName name="_177__123Graph_ECHART_26" hidden="1">#REF!</definedName>
    <definedName name="_18__123Graph_BCHART_4" hidden="1">#REF!</definedName>
    <definedName name="_181__123Graph_BCHART_7" hidden="1">#REF!</definedName>
    <definedName name="_184__123Graph_XCHART_1" hidden="1">#REF!</definedName>
    <definedName name="_19__123Graph_ACHART_6" hidden="1">#REF!</definedName>
    <definedName name="_19__123Graph_ACHART_9" hidden="1">#REF!</definedName>
    <definedName name="_19__123Graph_BCHART_5" hidden="1">#REF!</definedName>
    <definedName name="_191__123Graph_XCHART_8" hidden="1">#REF!</definedName>
    <definedName name="_192__123Graph_BCHART_8" hidden="1">#REF!</definedName>
    <definedName name="_1BriCY">OFFSET(#REF!,,COUNT(#REF!)-36,,36)</definedName>
    <definedName name="_1BriMAT">OFFSET(#REF!,,COUNT(#REF!)-36,,36)</definedName>
    <definedName name="_1BriPY">OFFSET(#REF!,,COUNT(#REF!)-36,,24)</definedName>
    <definedName name="_1GlaCY">OFFSET(#REF!,,COUNT(#REF!)-36,,36)</definedName>
    <definedName name="_1GlaMAT">OFFSET(#REF!,,COUNT(#REF!)-36,,36)</definedName>
    <definedName name="_1GlaPY">OFFSET(#REF!,,COUNT(#REF!)-36,,24)</definedName>
    <definedName name="_1Ips_RivCY">OFFSET(#REF!,,COUNT(#REF!)-36,,36)</definedName>
    <definedName name="_1Ips_RivMAT">OFFSET(#REF!,,COUNT(#REF!)-36,,36)</definedName>
    <definedName name="_1Ips_RivPY">OFFSET(#REF!,,COUNT(#REF!)-36,,24)</definedName>
    <definedName name="_1IpsCY">OFFSET(#REF!,,COUNT(#REF!)-36,,36)</definedName>
    <definedName name="_1IpsMAT">OFFSET(#REF!,,COUNT(#REF!)-36,,36)</definedName>
    <definedName name="_1IpsPY">OFFSET(#REF!,,COUNT(#REF!)-36,,24)</definedName>
    <definedName name="_1LocCY">OFFSET(#REF!,,COUNT(#REF!)-36,,36)</definedName>
    <definedName name="_1LocMAT">OFFSET(#REF!,,COUNT(#REF!)-36,,36)</definedName>
    <definedName name="_1LocPY">OFFSET(#REF!,,COUNT(#REF!)-36,,24)</definedName>
    <definedName name="_1QldCY">OFFSET(#REF!,,COUNT(#REF!)-36,,36)</definedName>
    <definedName name="_1QldMAT">OFFSET(#REF!,,COUNT(#REF!)-36,,36)</definedName>
    <definedName name="_1QldPY">OFFSET(#REF!,,COUNT(#REF!)-36,,24)</definedName>
    <definedName name="_1RocCY">OFFSET(#REF!,,COUNT(#REF!)-36,,36)</definedName>
    <definedName name="_1RocMAT">OFFSET(#REF!,,COUNT(#REF!)-36,,36)</definedName>
    <definedName name="_1RocPY">OFFSET(#REF!,,COUNT(#REF!)-36,,24)</definedName>
    <definedName name="_1WidCY">OFFSET(#REF!,,COUNT(#REF!)-36,,36)</definedName>
    <definedName name="_1WidMAT">OFFSET(#REF!,,COUNT(#REF!)-36,,36)</definedName>
    <definedName name="_1WidPY">OFFSET(#REF!,,COUNT(#REF!)-36,,24)</definedName>
    <definedName name="_2__123Graph_ACHART_1" hidden="1">#REF!</definedName>
    <definedName name="_2__123Graph_ACHART_2" hidden="1">#REF!</definedName>
    <definedName name="_20__123Graph_BCHART_6" hidden="1">#REF!</definedName>
    <definedName name="_200501">#REF!</definedName>
    <definedName name="_203__123Graph_BCHART_9" hidden="1">#REF!</definedName>
    <definedName name="_204__123Graph_CCHART_12" hidden="1">#REF!</definedName>
    <definedName name="_21__123Graph_ACHART_4" hidden="1">#REF!</definedName>
    <definedName name="_21__123Graph_ACHART_5" hidden="1">#REF!</definedName>
    <definedName name="_21__123Graph_BCHART_1" hidden="1">#REF!</definedName>
    <definedName name="_21__123Graph_BCHART_7" hidden="1">#REF!</definedName>
    <definedName name="_215__123Graph_CCHART_2" hidden="1">#REF!</definedName>
    <definedName name="_216__123Graph_CCHART_26" hidden="1">#REF!</definedName>
    <definedName name="_22__123Graph_ACHART_2" hidden="1">#REF!</definedName>
    <definedName name="_22__123Graph_ACHART_3" hidden="1">#REF!</definedName>
    <definedName name="_22__123Graph_ACHART_7" hidden="1">#REF!</definedName>
    <definedName name="_22__123Graph_BCHART_13" hidden="1">#REF!</definedName>
    <definedName name="_22__123Graph_BCHART_8" hidden="1">#REF!</definedName>
    <definedName name="_227__123Graph_CCHART_4" hidden="1">#REF!</definedName>
    <definedName name="_23__123Graph_ACHART_25" hidden="1">#REF!</definedName>
    <definedName name="_23__123Graph_BCHART_19" hidden="1">#REF!</definedName>
    <definedName name="_23__123Graph_BCHART_9" hidden="1">#REF!</definedName>
    <definedName name="_238__123Graph_CCHART_5" hidden="1">#REF!</definedName>
    <definedName name="_24__123Graph_CCHART_12" hidden="1">#REF!</definedName>
    <definedName name="_249__123Graph_CCHART_6" hidden="1">#REF!</definedName>
    <definedName name="_25__123Graph_ACHART_6" hidden="1">#REF!</definedName>
    <definedName name="_25__123Graph_ACHART_8" hidden="1">#REF!</definedName>
    <definedName name="_25__123Graph_BCHART_2" hidden="1">#REF!</definedName>
    <definedName name="_25__123Graph_CCHART_2" hidden="1">#REF!</definedName>
    <definedName name="_2500">#REF!</definedName>
    <definedName name="_26__123Graph_ACHART_5" hidden="1">#REF!</definedName>
    <definedName name="_26__123Graph_BCHART_25" hidden="1">#REF!</definedName>
    <definedName name="_26__123Graph_CCHART_26" hidden="1">#REF!</definedName>
    <definedName name="_260__123Graph_CCHART_7" hidden="1">#REF!</definedName>
    <definedName name="_261__123Graph_DCHART_25" hidden="1">#REF!</definedName>
    <definedName name="_2632">#REF!</definedName>
    <definedName name="_2636">#REF!</definedName>
    <definedName name="_27__123Graph_BCHART_26" hidden="1">#REF!</definedName>
    <definedName name="_27__123Graph_CCHART_4" hidden="1">#REF!</definedName>
    <definedName name="_272__123Graph_DCHART_7" hidden="1">#REF!</definedName>
    <definedName name="_273__123Graph_ECHART_26" hidden="1">#REF!</definedName>
    <definedName name="_28__123Graph_ACHART_9" hidden="1">#REF!</definedName>
    <definedName name="_28__123Graph_CCHART_5" hidden="1">#REF!</definedName>
    <definedName name="_284__123Graph_XCHART_1" hidden="1">#REF!</definedName>
    <definedName name="_29__123Graph_ACHART_4" hidden="1">#REF!</definedName>
    <definedName name="_29__123Graph_ACHART_7" hidden="1">#REF!</definedName>
    <definedName name="_29__123Graph_BCHART_3" hidden="1">#REF!</definedName>
    <definedName name="_29__123Graph_CCHART_6" hidden="1">#REF!</definedName>
    <definedName name="_295__123Graph_XCHART_8" hidden="1">#REF!</definedName>
    <definedName name="_2981">#REF!</definedName>
    <definedName name="_2TJ_Day">#REF!</definedName>
    <definedName name="_3__123Graph_ACHART_1" hidden="1">#REF!</definedName>
    <definedName name="_3__123Graph_ACHART_25" hidden="1">#REF!</definedName>
    <definedName name="_30__123Graph_CCHART_7" hidden="1">#REF!</definedName>
    <definedName name="_30_Sep_08">#REF!</definedName>
    <definedName name="_31__123Graph_ACHART_6" hidden="1">#REF!</definedName>
    <definedName name="_31__123Graph_BCHART_1" hidden="1">#REF!</definedName>
    <definedName name="_31__123Graph_BCHART_4" hidden="1">#REF!</definedName>
    <definedName name="_31__123Graph_DCHART_25" hidden="1">#REF!</definedName>
    <definedName name="_3110">#REF!</definedName>
    <definedName name="_3133_313301">#REF!</definedName>
    <definedName name="_32__123Graph_BCHART_13" hidden="1">#REF!</definedName>
    <definedName name="_32__123Graph_DCHART_7" hidden="1">#REF!</definedName>
    <definedName name="_3200">#REF!</definedName>
    <definedName name="_3201">#REF!</definedName>
    <definedName name="_3231">#REF!</definedName>
    <definedName name="_3270">#REF!</definedName>
    <definedName name="_3271">#REF!</definedName>
    <definedName name="_33__123Graph_ACHART_8" hidden="1">#REF!</definedName>
    <definedName name="_33__123Graph_BCHART_19" hidden="1">#REF!</definedName>
    <definedName name="_33__123Graph_BCHART_5" hidden="1">#REF!</definedName>
    <definedName name="_33__123Graph_ECHART_26" hidden="1">#REF!</definedName>
    <definedName name="_34__123Graph_ACHART_3" hidden="1">#REF!</definedName>
    <definedName name="_34__123Graph_XCHART_1" hidden="1">#REF!</definedName>
    <definedName name="_35__123Graph_BCHART_6" hidden="1">#REF!</definedName>
    <definedName name="_35__123Graph_XCHART_8" hidden="1">#REF!</definedName>
    <definedName name="_3500">#REF!</definedName>
    <definedName name="_3503">#REF!</definedName>
    <definedName name="_3509">#REF!</definedName>
    <definedName name="_36__123Graph_ACHART_5" hidden="1">#REF!</definedName>
    <definedName name="_36__123Graph_ACHART_7" hidden="1">#REF!</definedName>
    <definedName name="_36__123Graph_BCHART_2" hidden="1">#REF!</definedName>
    <definedName name="_37__123Graph_ACHART_9" hidden="1">#REF!</definedName>
    <definedName name="_37__123Graph_BCHART_25" hidden="1">#REF!</definedName>
    <definedName name="_37__123Graph_BCHART_7" hidden="1">#REF!</definedName>
    <definedName name="_38__123Graph_BCHART_26" hidden="1">#REF!</definedName>
    <definedName name="_39__123Graph_BCHART_8" hidden="1">#REF!</definedName>
    <definedName name="_4__123Graph_ACHART_1" hidden="1">#REF!</definedName>
    <definedName name="_4__123Graph_ACHART_2" hidden="1">#REF!</definedName>
    <definedName name="_4__123Graph_ACHART_3" hidden="1">#REF!</definedName>
    <definedName name="_41__123Graph_ACHART_8" hidden="1">#REF!</definedName>
    <definedName name="_41__123Graph_BCHART_1" hidden="1">#REF!</definedName>
    <definedName name="_41__123Graph_BCHART_3" hidden="1">#REF!</definedName>
    <definedName name="_41__123Graph_BCHART_9" hidden="1">#REF!</definedName>
    <definedName name="_42__123Graph_BCHART_13" hidden="1">#REF!</definedName>
    <definedName name="_42__123Graph_CCHART_12" hidden="1">#REF!</definedName>
    <definedName name="_43__123Graph_ACHART_6" hidden="1">#REF!</definedName>
    <definedName name="_43__123Graph_BCHART_19" hidden="1">#REF!</definedName>
    <definedName name="_44__123Graph_BCHART_4" hidden="1">#REF!</definedName>
    <definedName name="_44__123Graph_CCHART_2" hidden="1">#REF!</definedName>
    <definedName name="_45__123Graph_ACHART_4" hidden="1">#REF!</definedName>
    <definedName name="_45__123Graph_CCHART_26" hidden="1">#REF!</definedName>
    <definedName name="_46__123Graph_ACHART_9" hidden="1">#REF!</definedName>
    <definedName name="_47__123Graph_BCHART_2" hidden="1">#REF!</definedName>
    <definedName name="_47__123Graph_BCHART_5" hidden="1">#REF!</definedName>
    <definedName name="_47__123Graph_CCHART_4" hidden="1">#REF!</definedName>
    <definedName name="_48__123Graph_BCHART_25" hidden="1">#REF!</definedName>
    <definedName name="_49__123Graph_BCHART_26" hidden="1">#REF!</definedName>
    <definedName name="_49__123Graph_CCHART_5" hidden="1">#REF!</definedName>
    <definedName name="_5__123Graph_ACHART_1" hidden="1">#REF!</definedName>
    <definedName name="_5__123Graph_ACHART_25" hidden="1">#REF!</definedName>
    <definedName name="_5__123Graph_ACHART_4" hidden="1">#REF!</definedName>
    <definedName name="_5_day_Peak">#REF!</definedName>
    <definedName name="_50__123Graph_ACHART_7" hidden="1">#REF!</definedName>
    <definedName name="_50__123Graph_BCHART_6" hidden="1">#REF!</definedName>
    <definedName name="_51__123Graph_BCHART_1" hidden="1">#REF!</definedName>
    <definedName name="_51__123Graph_CCHART_6" hidden="1">#REF!</definedName>
    <definedName name="_52__123Graph_BCHART_13" hidden="1">#REF!</definedName>
    <definedName name="_53__123Graph_BCHART_19" hidden="1">#REF!</definedName>
    <definedName name="_53__123Graph_BCHART_3" hidden="1">#REF!</definedName>
    <definedName name="_53__123Graph_BCHART_7" hidden="1">#REF!</definedName>
    <definedName name="_53__123Graph_CCHART_7" hidden="1">#REF!</definedName>
    <definedName name="_54__123Graph_DCHART_25" hidden="1">#REF!</definedName>
    <definedName name="_56__123Graph_ACHART_5" hidden="1">#REF!</definedName>
    <definedName name="_56__123Graph_BCHART_8" hidden="1">#REF!</definedName>
    <definedName name="_56__123Graph_DCHART_7" hidden="1">#REF!</definedName>
    <definedName name="_57__123Graph_ACHART_8" hidden="1">#REF!</definedName>
    <definedName name="_57__123Graph_BCHART_4" hidden="1">#REF!</definedName>
    <definedName name="_57__123Graph_ECHART_26" hidden="1">#REF!</definedName>
    <definedName name="_58__123Graph_BCHART_2" hidden="1">#REF!</definedName>
    <definedName name="_59__123Graph_BCHART_25" hidden="1">#REF!</definedName>
    <definedName name="_59__123Graph_BCHART_9" hidden="1">#REF!</definedName>
    <definedName name="_59__123Graph_XCHART_1" hidden="1">#REF!</definedName>
    <definedName name="_6__123Graph_ACHART_2" hidden="1">#REF!</definedName>
    <definedName name="_6__123Graph_ACHART_5" hidden="1">#REF!</definedName>
    <definedName name="_60__123Graph_BCHART_26" hidden="1">#REF!</definedName>
    <definedName name="_60__123Graph_CCHART_12" hidden="1">#REF!</definedName>
    <definedName name="_61__123Graph_BCHART_5" hidden="1">#REF!</definedName>
    <definedName name="_61__123Graph_XCHART_8" hidden="1">#REF!</definedName>
    <definedName name="_63__123Graph_CCHART_2" hidden="1">#REF!</definedName>
    <definedName name="_64__123Graph_ACHART_9" hidden="1">#REF!</definedName>
    <definedName name="_64__123Graph_CCHART_26" hidden="1">#REF!</definedName>
    <definedName name="_65__123Graph_BCHART_3" hidden="1">#REF!</definedName>
    <definedName name="_65__123Graph_BCHART_6" hidden="1">#REF!</definedName>
    <definedName name="_67__123Graph_ACHART_6" hidden="1">#REF!</definedName>
    <definedName name="_67__123Graph_CCHART_4" hidden="1">#REF!</definedName>
    <definedName name="_69__123Graph_BCHART_7" hidden="1">#REF!</definedName>
    <definedName name="_7__123Graph_ACHART_1" hidden="1">#REF!</definedName>
    <definedName name="_7__123Graph_ACHART_25" hidden="1">#REF!</definedName>
    <definedName name="_7__123Graph_ACHART_3" hidden="1">#REF!</definedName>
    <definedName name="_7__123Graph_ACHART_6" hidden="1">#REF!</definedName>
    <definedName name="_70__123Graph_BCHART_4" hidden="1">#REF!</definedName>
    <definedName name="_70__123Graph_CCHART_5" hidden="1">#REF!</definedName>
    <definedName name="_71__123Graph_BCHART_1" hidden="1">#REF!</definedName>
    <definedName name="_72__123Graph_BCHART_13" hidden="1">#REF!</definedName>
    <definedName name="_73__123Graph_BCHART_19" hidden="1">#REF!</definedName>
    <definedName name="_73__123Graph_BCHART_8" hidden="1">#REF!</definedName>
    <definedName name="_73__123Graph_CCHART_6" hidden="1">#REF!</definedName>
    <definedName name="_75__123Graph_BCHART_5" hidden="1">#REF!</definedName>
    <definedName name="_76__123Graph_CCHART_7" hidden="1">#REF!</definedName>
    <definedName name="_77__123Graph_BCHART_9" hidden="1">#REF!</definedName>
    <definedName name="_77__123Graph_DCHART_25" hidden="1">#REF!</definedName>
    <definedName name="_78__123Graph_ACHART_7" hidden="1">#REF!</definedName>
    <definedName name="_78__123Graph_CCHART_12" hidden="1">#REF!</definedName>
    <definedName name="_8__123Graph_ACHART_2" hidden="1">#REF!</definedName>
    <definedName name="_8__123Graph_ACHART_7" hidden="1">#REF!</definedName>
    <definedName name="_80__123Graph_BCHART_2" hidden="1">#REF!</definedName>
    <definedName name="_80__123Graph_BCHART_6" hidden="1">#REF!</definedName>
    <definedName name="_80__123Graph_DCHART_7" hidden="1">#REF!</definedName>
    <definedName name="_81__123Graph_BCHART_25" hidden="1">#REF!</definedName>
    <definedName name="_81__123Graph_ECHART_26" hidden="1">#REF!</definedName>
    <definedName name="_82__123Graph_BCHART_26" hidden="1">#REF!</definedName>
    <definedName name="_82__123Graph_CCHART_2" hidden="1">#REF!</definedName>
    <definedName name="_83__123Graph_CCHART_26" hidden="1">#REF!</definedName>
    <definedName name="_84__123Graph_XCHART_1" hidden="1">#REF!</definedName>
    <definedName name="_85__123Graph_BCHART_7" hidden="1">#REF!</definedName>
    <definedName name="_87__123Graph_CCHART_4" hidden="1">#REF!</definedName>
    <definedName name="_87__123Graph_XCHART_8" hidden="1">#REF!</definedName>
    <definedName name="_89__123Graph_ACHART_8" hidden="1">#REF!</definedName>
    <definedName name="_89__123Graph_BCHART_3" hidden="1">#REF!</definedName>
    <definedName name="_9__123Graph_ACHART_25" hidden="1">#REF!</definedName>
    <definedName name="_9__123Graph_ACHART_4" hidden="1">#REF!</definedName>
    <definedName name="_9__123Graph_ACHART_8" hidden="1">#REF!</definedName>
    <definedName name="_90__123Graph_BCHART_8" hidden="1">#REF!</definedName>
    <definedName name="_91__123Graph_CCHART_5" hidden="1">#REF!</definedName>
    <definedName name="_95__123Graph_BCHART_9" hidden="1">#REF!</definedName>
    <definedName name="_95__123Graph_CCHART_6" hidden="1">#REF!</definedName>
    <definedName name="_96__123Graph_BCHART_4" hidden="1">#REF!</definedName>
    <definedName name="_96__123Graph_CCHART_12" hidden="1">#REF!</definedName>
    <definedName name="_99__123Graph_CCHART_7" hidden="1">#REF!</definedName>
    <definedName name="_ADDIN_LOAD__L_">#REF!</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ultipleCPUManualCount" hidden="1">4</definedName>
    <definedName name="_AtRisk_SimSetting_MultipleCPUMode" hidden="1">0</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0</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0</definedName>
    <definedName name="_AtRisk_SimSetting_ReportOptionCustomItemSummaryGraphType02" hidden="1">0</definedName>
    <definedName name="_AtRisk_SimSetting_ReportOptionCustomItemSummaryGraphType03" hidden="1">0</definedName>
    <definedName name="_AtRisk_SimSetting_ReportOptionCustomItemSummaryGraphType04" hidden="1">0</definedName>
    <definedName name="_AtRisk_SimSetting_ReportOptionCustomItemSummaryGraphType05" hidden="1">0</definedName>
    <definedName name="_AtRisk_SimSetting_ReportOptionCustomItemSummaryGraphType06"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0</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cpi1">#REF!</definedName>
    <definedName name="_CPI2">#REF!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3">#REF!</definedName>
    <definedName name="_DAT4">#REF!</definedName>
    <definedName name="_DAT5">#REF!</definedName>
    <definedName name="_DAT500">#REF!</definedName>
    <definedName name="_DAT6">#REF!</definedName>
    <definedName name="_DAT7">#REF!</definedName>
    <definedName name="_DAT8">#REF!</definedName>
    <definedName name="_DAT9">#REF!</definedName>
    <definedName name="_Fill" hidden="1">#REF!</definedName>
    <definedName name="_INT22">#REF!</definedName>
    <definedName name="_int997">#REF!</definedName>
    <definedName name="_IRR1">#REF!</definedName>
    <definedName name="_IZS2">#REF!</definedName>
    <definedName name="_Jnl26">#REF!</definedName>
    <definedName name="_JUN09">#REF!</definedName>
    <definedName name="_Key1" hidden="1">#REF!</definedName>
    <definedName name="_Key2" hidden="1">#REF!</definedName>
    <definedName name="_LUT1">#REF!</definedName>
    <definedName name="_May08">#REF!</definedName>
    <definedName name="_MAY09">#REF!</definedName>
    <definedName name="_NPV1">#REF!</definedName>
    <definedName name="_NPV2">#REF!</definedName>
    <definedName name="_Order1" hidden="1">255</definedName>
    <definedName name="_Order2" hidden="1">255</definedName>
    <definedName name="_pdCalendarDate">#REF!</definedName>
    <definedName name="_pdCalendarDay">#REF!</definedName>
    <definedName name="_pdCommencementDate">#REF!</definedName>
    <definedName name="_pdFirstPaymentDate">#REF!</definedName>
    <definedName name="_pdFrequency">#REF!</definedName>
    <definedName name="_pdInstrumentCalendarDate">#REF!</definedName>
    <definedName name="_pdInstrumentCommencement">#REF!</definedName>
    <definedName name="_pdInstrumentFirstRegularDate">#REF!</definedName>
    <definedName name="_pdInstrumentNoOfPayments">#REF!</definedName>
    <definedName name="_pdNoOfPayments">#REF!</definedName>
    <definedName name="_pdPaymentFrequency">#REF!</definedName>
    <definedName name="_pdUnadjustedDates">OFFSET(#REF!,1,0,_pdNoOfPayments+1,1)</definedName>
    <definedName name="_PL1">#REF!</definedName>
    <definedName name="_sch2">#REF!</definedName>
    <definedName name="_sch3">#REF!</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_tab1">#REF!</definedName>
    <definedName name="_TB1">#REF!</definedName>
    <definedName name="_Tot199">#REF!</definedName>
    <definedName name="_Tot20015">#REF!</definedName>
    <definedName name="_Tot20686">#REF!</definedName>
    <definedName name="_Tot20983">#REF!</definedName>
    <definedName name="_Tot21233">#REF!</definedName>
    <definedName name="_Tot220">#REF!</definedName>
    <definedName name="_Tot221">#REF!</definedName>
    <definedName name="_Tot222">#REF!</definedName>
    <definedName name="_Tot229">#REF!</definedName>
    <definedName name="_Tot230">#REF!</definedName>
    <definedName name="_Tot232">#REF!</definedName>
    <definedName name="_Tot237">#REF!</definedName>
    <definedName name="_Tot238">#REF!</definedName>
    <definedName name="_Tot241">#REF!</definedName>
    <definedName name="_Tot242">#REF!</definedName>
    <definedName name="_Tot243">#REF!</definedName>
    <definedName name="_Tot244">#REF!</definedName>
    <definedName name="_tot245">#REF!</definedName>
    <definedName name="_tot253">#REF!</definedName>
    <definedName name="_Tot255">#REF!</definedName>
    <definedName name="_Tot257">#REF!</definedName>
    <definedName name="_Tot258">#REF!</definedName>
    <definedName name="_Tot259">#REF!</definedName>
    <definedName name="_Tot261">#REF!</definedName>
    <definedName name="_Tot262">#REF!</definedName>
    <definedName name="_Tot263">#REF!</definedName>
    <definedName name="_Tot265">#REF!</definedName>
    <definedName name="_Tot266">#REF!</definedName>
    <definedName name="_Tot30235">#REF!</definedName>
    <definedName name="_Tot30241">#REF!</definedName>
    <definedName name="_Tot30242">#REF!</definedName>
    <definedName name="_Tot30243">#REF!</definedName>
    <definedName name="_Tot30357">#REF!</definedName>
    <definedName name="_Tot30490">#REF!</definedName>
    <definedName name="_UAG99">#REF!</definedName>
    <definedName name="_User">#REF!</definedName>
    <definedName name="_WP234">#REF!</definedName>
    <definedName name="a">#REF!</definedName>
    <definedName name="A_Resid_Input">#REF!</definedName>
    <definedName name="A_Resid_Mrgins">#REF!</definedName>
    <definedName name="A10remlife">#REF!</definedName>
    <definedName name="A10stdlife">#REF!</definedName>
    <definedName name="A10taxremlife">#REF!</definedName>
    <definedName name="A10taxstdlife">#REF!</definedName>
    <definedName name="A10taxvalue">#REF!</definedName>
    <definedName name="A10value">#REF!</definedName>
    <definedName name="A11remlife">#REF!</definedName>
    <definedName name="A11stdlife">#REF!</definedName>
    <definedName name="A11taxremlife">#REF!</definedName>
    <definedName name="A11taxstdlife">#REF!</definedName>
    <definedName name="A11taxvalue">#REF!</definedName>
    <definedName name="A11value">#REF!</definedName>
    <definedName name="A12remlife">#REF!</definedName>
    <definedName name="A12stdlife">#REF!</definedName>
    <definedName name="A12taxremlife">#REF!</definedName>
    <definedName name="A12taxstdlife">#REF!</definedName>
    <definedName name="A12taxvalue">#REF!</definedName>
    <definedName name="A12value">#REF!</definedName>
    <definedName name="A13remlife">#REF!</definedName>
    <definedName name="A13stdlife">#REF!</definedName>
    <definedName name="A13taxremlife">#REF!</definedName>
    <definedName name="A13taxstdlife">#REF!</definedName>
    <definedName name="A13taxvalue">#REF!</definedName>
    <definedName name="A13value">#REF!</definedName>
    <definedName name="A14remlife">#REF!</definedName>
    <definedName name="A14stdlife">#REF!</definedName>
    <definedName name="A14taxremlife">#REF!</definedName>
    <definedName name="A14taxstdlife">#REF!</definedName>
    <definedName name="A14taxvalue">#REF!</definedName>
    <definedName name="A14value">#REF!</definedName>
    <definedName name="A15remlife">#REF!</definedName>
    <definedName name="A15stdlife">#REF!</definedName>
    <definedName name="A15taxremlife">#REF!</definedName>
    <definedName name="A15taxstdlife">#REF!</definedName>
    <definedName name="A15taxvalue">#REF!</definedName>
    <definedName name="A15value">#REF!</definedName>
    <definedName name="A16remlife">#REF!</definedName>
    <definedName name="A16stdlife">#REF!</definedName>
    <definedName name="A16taxremlife">#REF!</definedName>
    <definedName name="A16taxstdlife">#REF!</definedName>
    <definedName name="A16taxvalue">#REF!</definedName>
    <definedName name="A16value">#REF!</definedName>
    <definedName name="A17remlife">#REF!</definedName>
    <definedName name="A17stdlife">#REF!</definedName>
    <definedName name="A17taxremlife">#REF!</definedName>
    <definedName name="A17taxstdlife">#REF!</definedName>
    <definedName name="A17taxvalue">#REF!</definedName>
    <definedName name="A17value">#REF!</definedName>
    <definedName name="A18remlife">#REF!</definedName>
    <definedName name="A18stdlife">#REF!</definedName>
    <definedName name="A18taxremlife">#REF!</definedName>
    <definedName name="A18taxstdlife">#REF!</definedName>
    <definedName name="A18taxvalue">#REF!</definedName>
    <definedName name="A18value">#REF!</definedName>
    <definedName name="A19remlife">#REF!</definedName>
    <definedName name="A19stdlife">#REF!</definedName>
    <definedName name="A19taxremlife">#REF!</definedName>
    <definedName name="A19taxstdlife">#REF!</definedName>
    <definedName name="A19taxvalue">#REF!</definedName>
    <definedName name="A19value">#REF!</definedName>
    <definedName name="A1remlife">#REF!</definedName>
    <definedName name="A1stdlife">#REF!</definedName>
    <definedName name="A1taxremlife">#REF!</definedName>
    <definedName name="A1taxstdlife">#REF!</definedName>
    <definedName name="A1taxvalue">#REF!</definedName>
    <definedName name="A1value">#REF!</definedName>
    <definedName name="A20remlife">#REF!</definedName>
    <definedName name="A20stdlife">#REF!</definedName>
    <definedName name="A20taxremlife">#REF!</definedName>
    <definedName name="A20taxstdlife">#REF!</definedName>
    <definedName name="A20taxvalue">#REF!</definedName>
    <definedName name="A20value">#REF!</definedName>
    <definedName name="A21remlife">#REF!</definedName>
    <definedName name="A21stdlife">#REF!</definedName>
    <definedName name="A21taxremlife">#REF!</definedName>
    <definedName name="A21taxstdlife">#REF!</definedName>
    <definedName name="A21taxvalue">#REF!</definedName>
    <definedName name="A21value">#REF!</definedName>
    <definedName name="A22remlife">#REF!</definedName>
    <definedName name="A22stdlife">#REF!</definedName>
    <definedName name="A22taxremlife">#REF!</definedName>
    <definedName name="A22taxstdlife">#REF!</definedName>
    <definedName name="A22taxvalue">#REF!</definedName>
    <definedName name="A22value">#REF!</definedName>
    <definedName name="A2325806K">#REF!,#REF!</definedName>
    <definedName name="A2325806K_Data">#REF!</definedName>
    <definedName name="A2325806K_Latest">#REF!</definedName>
    <definedName name="A2325807L">#REF!,#REF!</definedName>
    <definedName name="A2325807L_Data">#REF!</definedName>
    <definedName name="A2325807L_Latest">#REF!</definedName>
    <definedName name="A2325810A">#REF!,#REF!</definedName>
    <definedName name="A2325810A_Data">#REF!</definedName>
    <definedName name="A2325810A_Latest">#REF!</definedName>
    <definedName name="A2325811C">#REF!,#REF!</definedName>
    <definedName name="A2325811C_Data">#REF!</definedName>
    <definedName name="A2325811C_Latest">#REF!</definedName>
    <definedName name="A2325812F">#REF!,#REF!</definedName>
    <definedName name="A2325812F_Data">#REF!</definedName>
    <definedName name="A2325812F_Latest">#REF!</definedName>
    <definedName name="A2325815L">#REF!,#REF!</definedName>
    <definedName name="A2325815L_Data">#REF!</definedName>
    <definedName name="A2325815L_Latest">#REF!</definedName>
    <definedName name="A2325816R">#REF!,#REF!</definedName>
    <definedName name="A2325816R_Data">#REF!</definedName>
    <definedName name="A2325816R_Latest">#REF!</definedName>
    <definedName name="A2325817T">#REF!,#REF!</definedName>
    <definedName name="A2325817T_Data">#REF!</definedName>
    <definedName name="A2325817T_Latest">#REF!</definedName>
    <definedName name="A2325820F">#REF!,#REF!</definedName>
    <definedName name="A2325820F_Data">#REF!</definedName>
    <definedName name="A2325820F_Latest">#REF!</definedName>
    <definedName name="A2325821J">#REF!,#REF!</definedName>
    <definedName name="A2325821J_Data">#REF!</definedName>
    <definedName name="A2325821J_Latest">#REF!</definedName>
    <definedName name="A2325822K">#REF!,#REF!</definedName>
    <definedName name="A2325822K_Data">#REF!</definedName>
    <definedName name="A2325822K_Latest">#REF!</definedName>
    <definedName name="A2325825T">#REF!,#REF!</definedName>
    <definedName name="A2325825T_Data">#REF!</definedName>
    <definedName name="A2325825T_Latest">#REF!</definedName>
    <definedName name="A2325826V">#REF!,#REF!</definedName>
    <definedName name="A2325826V_Data">#REF!</definedName>
    <definedName name="A2325826V_Latest">#REF!</definedName>
    <definedName name="A2325827W">#REF!,#REF!</definedName>
    <definedName name="A2325827W_Data">#REF!</definedName>
    <definedName name="A2325827W_Latest">#REF!</definedName>
    <definedName name="A2325830K">#REF!,#REF!</definedName>
    <definedName name="A2325830K_Data">#REF!</definedName>
    <definedName name="A2325830K_Latest">#REF!</definedName>
    <definedName name="A2325831L">#REF!,#REF!</definedName>
    <definedName name="A2325831L_Data">#REF!</definedName>
    <definedName name="A2325831L_Latest">#REF!</definedName>
    <definedName name="A2325832R">#REF!,#REF!</definedName>
    <definedName name="A2325832R_Data">#REF!</definedName>
    <definedName name="A2325832R_Latest">#REF!</definedName>
    <definedName name="A2325835W">#REF!,#REF!</definedName>
    <definedName name="A2325835W_Data">#REF!</definedName>
    <definedName name="A2325835W_Latest">#REF!</definedName>
    <definedName name="A2325836X">#REF!,#REF!</definedName>
    <definedName name="A2325836X_Data">#REF!</definedName>
    <definedName name="A2325836X_Latest">#REF!</definedName>
    <definedName name="A2325837A">#REF!,#REF!</definedName>
    <definedName name="A2325837A_Data">#REF!</definedName>
    <definedName name="A2325837A_Latest">#REF!</definedName>
    <definedName name="A2325840R">#REF!,#REF!</definedName>
    <definedName name="A2325840R_Data">#REF!</definedName>
    <definedName name="A2325840R_Latest">#REF!</definedName>
    <definedName name="A2325841T">#REF!,#REF!</definedName>
    <definedName name="A2325841T_Data">#REF!</definedName>
    <definedName name="A2325841T_Latest">#REF!</definedName>
    <definedName name="A2325842V">#REF!,#REF!</definedName>
    <definedName name="A2325842V_Data">#REF!</definedName>
    <definedName name="A2325842V_Latest">#REF!</definedName>
    <definedName name="A2325845A">#REF!,#REF!</definedName>
    <definedName name="A2325845A_Data">#REF!</definedName>
    <definedName name="A2325845A_Latest">#REF!</definedName>
    <definedName name="A2325846C">#REF!,#REF!</definedName>
    <definedName name="A2325846C_Data">#REF!</definedName>
    <definedName name="A2325846C_Latest">#REF!</definedName>
    <definedName name="A2325847F">#REF!,#REF!</definedName>
    <definedName name="A2325847F_Data">#REF!</definedName>
    <definedName name="A2325847F_Latest">#REF!</definedName>
    <definedName name="A2325850V">#REF!,#REF!</definedName>
    <definedName name="A2325850V_Data">#REF!</definedName>
    <definedName name="A2325850V_Latest">#REF!</definedName>
    <definedName name="A2325891R">#REF!,#REF!</definedName>
    <definedName name="A2325892T">#REF!,#REF!</definedName>
    <definedName name="A2325895X">#REF!,#REF!</definedName>
    <definedName name="A2325936J">#REF!,#REF!</definedName>
    <definedName name="A2325937K">#REF!,#REF!</definedName>
    <definedName name="A2325940X">#REF!,#REF!</definedName>
    <definedName name="A2325981V">#REF!,#REF!</definedName>
    <definedName name="A2325982W">#REF!,#REF!</definedName>
    <definedName name="A2325985C">#REF!,#REF!</definedName>
    <definedName name="A2326026R">#REF!,#REF!</definedName>
    <definedName name="A2326027T">#REF!,#REF!</definedName>
    <definedName name="A2326030F">#REF!,#REF!</definedName>
    <definedName name="A2326071A">#REF!,#REF!</definedName>
    <definedName name="A2326072C">#REF!,#REF!</definedName>
    <definedName name="A2326075K">#REF!,#REF!</definedName>
    <definedName name="A2326116V">#REF!,#REF!</definedName>
    <definedName name="A2326117W">#REF!,#REF!</definedName>
    <definedName name="A2326120K">#REF!,#REF!</definedName>
    <definedName name="A2331111C">#REF!,#REF!</definedName>
    <definedName name="A2331112F">#REF!,#REF!</definedName>
    <definedName name="A2331115L">#REF!,#REF!</definedName>
    <definedName name="A2331201J">#REF!,#REF!</definedName>
    <definedName name="A2331202K">#REF!,#REF!</definedName>
    <definedName name="A2331205T">#REF!,#REF!</definedName>
    <definedName name="A2331246L">#REF!,#REF!</definedName>
    <definedName name="A2331247R">#REF!,#REF!</definedName>
    <definedName name="A2331250C">#REF!,#REF!</definedName>
    <definedName name="A2331426W">#REF!,#REF!</definedName>
    <definedName name="A2331427X">#REF!,#REF!</definedName>
    <definedName name="A2331430L">#REF!,#REF!</definedName>
    <definedName name="A2332596F">#REF!,#REF!</definedName>
    <definedName name="A2332597J">#REF!,#REF!</definedName>
    <definedName name="A2332600K">#REF!,#REF!</definedName>
    <definedName name="A23remlife">#REF!</definedName>
    <definedName name="A23stdlife">#REF!</definedName>
    <definedName name="A23taxremlife">#REF!</definedName>
    <definedName name="A23taxstdlife">#REF!</definedName>
    <definedName name="A23taxvalue">#REF!</definedName>
    <definedName name="A23value">#REF!</definedName>
    <definedName name="A24remlife">#REF!</definedName>
    <definedName name="A24stdlife">#REF!</definedName>
    <definedName name="A24taxremlife">#REF!</definedName>
    <definedName name="A24taxstdlife">#REF!</definedName>
    <definedName name="A24taxvalue">#REF!</definedName>
    <definedName name="A24value">#REF!</definedName>
    <definedName name="A25remlife">#REF!</definedName>
    <definedName name="A25stdlife">#REF!</definedName>
    <definedName name="A25taxremlife">#REF!</definedName>
    <definedName name="A25taxstdlife">#REF!</definedName>
    <definedName name="A25taxvalue">#REF!</definedName>
    <definedName name="A25value">#REF!</definedName>
    <definedName name="A26remlife">#REF!</definedName>
    <definedName name="A26stdlife">#REF!</definedName>
    <definedName name="A26taxremlife">#REF!</definedName>
    <definedName name="A26taxstdlife">#REF!</definedName>
    <definedName name="A26taxvalue">#REF!</definedName>
    <definedName name="A26value">#REF!</definedName>
    <definedName name="A27remlife">#REF!</definedName>
    <definedName name="A27stdlife">#REF!</definedName>
    <definedName name="A27taxremlife">#REF!</definedName>
    <definedName name="A27taxstdlife">#REF!</definedName>
    <definedName name="A27taxvalue">#REF!</definedName>
    <definedName name="A27value">#REF!</definedName>
    <definedName name="A28remlife">#REF!</definedName>
    <definedName name="A28stdlife">#REF!</definedName>
    <definedName name="A28taxremlife">#REF!</definedName>
    <definedName name="A28taxstdlife">#REF!</definedName>
    <definedName name="A28taxvalue">#REF!</definedName>
    <definedName name="A28value">#REF!</definedName>
    <definedName name="A29remlife">#REF!</definedName>
    <definedName name="A29stdlife">#REF!</definedName>
    <definedName name="A29taxremlife">#REF!</definedName>
    <definedName name="A29taxstdlife">#REF!</definedName>
    <definedName name="A29taxvalue">#REF!</definedName>
    <definedName name="A29value">#REF!</definedName>
    <definedName name="A2remlife">#REF!</definedName>
    <definedName name="A2stdlife">#REF!</definedName>
    <definedName name="A2taxremlife">#REF!</definedName>
    <definedName name="A2taxstdlife">#REF!</definedName>
    <definedName name="A2taxvalue">#REF!</definedName>
    <definedName name="A2value">#REF!</definedName>
    <definedName name="A30remlife">#REF!</definedName>
    <definedName name="A30stdlife">#REF!</definedName>
    <definedName name="A30taxremlife">#REF!</definedName>
    <definedName name="A30taxstdlife">#REF!</definedName>
    <definedName name="A30taxvalue">#REF!</definedName>
    <definedName name="A30value">#REF!</definedName>
    <definedName name="A3remlife">#REF!</definedName>
    <definedName name="A3stdlife">#REF!</definedName>
    <definedName name="A3taxremlife">#REF!</definedName>
    <definedName name="A3taxstdlife">#REF!</definedName>
    <definedName name="A3taxvalue">#REF!</definedName>
    <definedName name="A3value">#REF!</definedName>
    <definedName name="A4remlife">#REF!</definedName>
    <definedName name="A4stdlife">#REF!</definedName>
    <definedName name="A4taxremlife">#REF!</definedName>
    <definedName name="A4taxstdlife">#REF!</definedName>
    <definedName name="A4taxvalue">#REF!</definedName>
    <definedName name="A4value">#REF!</definedName>
    <definedName name="A5remlife">#REF!</definedName>
    <definedName name="A5stdlife">#REF!</definedName>
    <definedName name="A5taxremlife">#REF!</definedName>
    <definedName name="A5taxstdlife">#REF!</definedName>
    <definedName name="A5taxvalue">#REF!</definedName>
    <definedName name="A5value">#REF!</definedName>
    <definedName name="A6remlife">#REF!</definedName>
    <definedName name="A6stdlife">#REF!</definedName>
    <definedName name="A6taxremlife">#REF!</definedName>
    <definedName name="A6taxstdlife">#REF!</definedName>
    <definedName name="A6taxvalue">#REF!</definedName>
    <definedName name="A6value">#REF!</definedName>
    <definedName name="A7remlife">#REF!</definedName>
    <definedName name="A7stdlife">#REF!</definedName>
    <definedName name="A7taxremlife">#REF!</definedName>
    <definedName name="A7taxstdlife">#REF!</definedName>
    <definedName name="A7taxvalue">#REF!</definedName>
    <definedName name="A7value">#REF!</definedName>
    <definedName name="A8remlife">#REF!</definedName>
    <definedName name="A8stdlife">#REF!</definedName>
    <definedName name="A8taxremlife">#REF!</definedName>
    <definedName name="A8taxstdlife">#REF!</definedName>
    <definedName name="A8taxvalue">#REF!</definedName>
    <definedName name="A8value">#REF!</definedName>
    <definedName name="A9remlife">#REF!</definedName>
    <definedName name="A9stdlife">#REF!</definedName>
    <definedName name="A9taxremlife">#REF!</definedName>
    <definedName name="A9taxstdlife">#REF!</definedName>
    <definedName name="A9taxvalue">#REF!</definedName>
    <definedName name="A9value">#REF!</definedName>
    <definedName name="aa">#REF!</definedName>
    <definedName name="AAabove_tbl">#REF!</definedName>
    <definedName name="AB">INDEX(INDIRECT(CountryShortCode&amp;"Codes"),MATCH(Item,INDIRECT(CountryShortCode&amp;"Desc"),0))</definedName>
    <definedName name="ABN">Cover!$C$19</definedName>
    <definedName name="acc_prepay">#REF!</definedName>
    <definedName name="ACCAUST">#REF!</definedName>
    <definedName name="ACCC_CAPMLookupValue">#REF!</definedName>
    <definedName name="ACCC_ColIndexNum">#REF!</definedName>
    <definedName name="ACCC_CumActInflIndex">#REF!</definedName>
    <definedName name="ACCC_DebtValue">#REF!</definedName>
    <definedName name="ACCC_EquityValue">#REF!</definedName>
    <definedName name="ACCC_InflationRate">#REF!</definedName>
    <definedName name="ACCC_NominalVanillaWACC">#REF!</definedName>
    <definedName name="ACCC_PerfBonus1">#REF!</definedName>
    <definedName name="ACCC_PerfBonus2">#REF!</definedName>
    <definedName name="ACCC_PerfBonus3">#REF!</definedName>
    <definedName name="ACCC_PerfSens">#REF!</definedName>
    <definedName name="ACCC_PostTaxNominalReturnOnEquity">#REF!</definedName>
    <definedName name="ACCC_RAB">#REF!</definedName>
    <definedName name="Account_Manager">#REF!</definedName>
    <definedName name="ACCOUNTEDPERIODTYPE1">#REF!</definedName>
    <definedName name="ACCOUNTING">#REF!</definedName>
    <definedName name="Acct_Names">#REF!</definedName>
    <definedName name="AcctCodes">#REF!</definedName>
    <definedName name="AcctngDist">#REF!</definedName>
    <definedName name="Acquisition_NCA">#REF!</definedName>
    <definedName name="Act_LPGD">#REF!</definedName>
    <definedName name="ACTDEC09">#REF!</definedName>
    <definedName name="ActFinClose">#REF!</definedName>
    <definedName name="ACTIVITY">#REF!</definedName>
    <definedName name="activityview">#REF!</definedName>
    <definedName name="ActOTDAMDStartDate">#REF!</definedName>
    <definedName name="ACTPRICE">#REF!</definedName>
    <definedName name="ActTaxDepn">#REF!</definedName>
    <definedName name="Actual___by_month">#REF!</definedName>
    <definedName name="Actual___Year_to_date">#REF!</definedName>
    <definedName name="Actual_CBIT98">#REF!</definedName>
    <definedName name="ACTUAL_PRICE">#REF!</definedName>
    <definedName name="ACTUAL_REVENUE">#REF!</definedName>
    <definedName name="ACTUAL_TRANSPORT1">#REF!</definedName>
    <definedName name="ACTUAL_TRANSPORT2">#REF!</definedName>
    <definedName name="ACTUAL_YTDMIL">#REF!</definedName>
    <definedName name="ACTUAL_YTDTJ">#REF!</definedName>
    <definedName name="ActualCBIT">#REF!</definedName>
    <definedName name="Actuals">#REF!</definedName>
    <definedName name="Additional_MDQ">#REF!</definedName>
    <definedName name="AdditionalOM">#REF!</definedName>
    <definedName name="AdditionalOMDate">#REF!</definedName>
    <definedName name="Adelaide_Postcodes_Table">#REF!</definedName>
    <definedName name="AdelFixedAA_tbl">#REF!</definedName>
    <definedName name="AdelVarAA_tbl">#REF!</definedName>
    <definedName name="Adjustment">#REF!</definedName>
    <definedName name="adsc">#REF!</definedName>
    <definedName name="ADSWAPCount">#REF!</definedName>
    <definedName name="AEP">#REF!</definedName>
    <definedName name="afdvwrt">#REF!</definedName>
    <definedName name="AgencyFeePaymentMonths">#REF!</definedName>
    <definedName name="AGL_GAS_NETWORKS">"YTD-ACTUAL99"</definedName>
    <definedName name="AGLEIntProfit">#REF!</definedName>
    <definedName name="Agreed_Fees_Actual___by_month">#REF!</definedName>
    <definedName name="Agreed_Fees_Actual___Year_to_date">#REF!</definedName>
    <definedName name="Agreed_Fees_Budget___by_month">#REF!</definedName>
    <definedName name="Agreed_Fees_Budget___Year_to_date">#REF!</definedName>
    <definedName name="Agreed_Fees_Prior_Year___2000_2001____by_month">#REF!</definedName>
    <definedName name="Agreed_Fees_Prior_Year___2000_2001____Year_to_date">#REF!</definedName>
    <definedName name="Albury_April">#REF!</definedName>
    <definedName name="Albury_August">#REF!</definedName>
    <definedName name="Albury_December">#REF!</definedName>
    <definedName name="Albury_February">#REF!</definedName>
    <definedName name="Albury_January">#REF!</definedName>
    <definedName name="Albury_July">#REF!</definedName>
    <definedName name="Albury_June">#REF!</definedName>
    <definedName name="Albury_March">#REF!</definedName>
    <definedName name="Albury_May">#REF!</definedName>
    <definedName name="Albury_November">#REF!</definedName>
    <definedName name="Albury_October">#REF!</definedName>
    <definedName name="Albury_September">#REF!</definedName>
    <definedName name="ALFG">#REF!,#REF!</definedName>
    <definedName name="Allc">#REF!</definedName>
    <definedName name="Allco">#REF!</definedName>
    <definedName name="Alloc">#REF!</definedName>
    <definedName name="am">#REF!</definedName>
    <definedName name="amadeuscons">#REF!</definedName>
    <definedName name="amadeusdetailed">#REF!</definedName>
    <definedName name="AMADEUSSUMMARY">#REF!</definedName>
    <definedName name="Amcor">#REF!</definedName>
    <definedName name="AMDQ">#REF!</definedName>
    <definedName name="AMT">#REF!</definedName>
    <definedName name="AnalysisCommencementDate">#REF!</definedName>
    <definedName name="AnalysisFirstRegularDate">#REF!</definedName>
    <definedName name="AnalysisNoOfPayments">#REF!</definedName>
    <definedName name="AnalysisPaymentFrequency">#REF!</definedName>
    <definedName name="Ann">#REF!</definedName>
    <definedName name="AnnOverheadCosts">#REF!</definedName>
    <definedName name="Annual_Load">#REF!</definedName>
    <definedName name="ANP2_Holding">#REF!</definedName>
    <definedName name="ANP3_Holding">#REF!</definedName>
    <definedName name="ANZISDevFee">#REF!</definedName>
    <definedName name="AOS_1">#REF!</definedName>
    <definedName name="AOS_2">#REF!</definedName>
    <definedName name="AP">OFFSET(CalculatedDatesHeading,2,0,_pdNoOfPayments+1,1)</definedName>
    <definedName name="APA_op_savings">#REF!</definedName>
    <definedName name="APA_Performance_Factor">#REF!</definedName>
    <definedName name="APARefundIndicator">#REF!</definedName>
    <definedName name="APARefundNonAPAPerc">#REF!</definedName>
    <definedName name="APARefundofPurchasePrice">#REF!</definedName>
    <definedName name="APAShare">#REF!</definedName>
    <definedName name="APBriCY">OFFSET(#REF!,,#REF!-24,,24)</definedName>
    <definedName name="APBriMAT">OFFSET(#REF!,,#REF!-24,,24)</definedName>
    <definedName name="APBriPY">OFFSET(#REF!,,#REF!-24,,12)</definedName>
    <definedName name="APN">#REF!</definedName>
    <definedName name="APOakCY">OFFSET(#REF!,,#REF!-24,,24)</definedName>
    <definedName name="APOakMAT">OFFSET(#REF!,,#REF!-24,,24)</definedName>
    <definedName name="APOakPY">OFFSET(#REF!,,#REF!-24,,12)</definedName>
    <definedName name="Approvals">#REF!</definedName>
    <definedName name="APPSUSERNAME1">#REF!</definedName>
    <definedName name="APQldCY">OFFSET(#REF!,,#REF!-24,,24)</definedName>
    <definedName name="APQldMAT">OFFSET(#REF!,,#REF!-24,,24)</definedName>
    <definedName name="APQldPY">OFFSET(#REF!,,#REF!-24,,12)</definedName>
    <definedName name="Apr">#REF!</definedName>
    <definedName name="APR09SPEND">#REF!</definedName>
    <definedName name="APRivCY">OFFSET(#REF!,,#REF!-24,,24)</definedName>
    <definedName name="APRivMAT">OFFSET(#REF!,,#REF!-24,,24)</definedName>
    <definedName name="APRivPY">OFFSET(#REF!,,#REF!-24,,12)</definedName>
    <definedName name="APTIT_Profit">#REF!</definedName>
    <definedName name="APTooCY">OFFSET(#REF!,,#REF!-24,,24)</definedName>
    <definedName name="APTooMAT">OFFSET(#REF!,,#REF!-24,,24)</definedName>
    <definedName name="APTooPY">OFFSET(#REF!,,#REF!-24,,12)</definedName>
    <definedName name="APXAXIS">OFFSET(#REF!,,#REF!-24,,24)</definedName>
    <definedName name="arb">#REF!</definedName>
    <definedName name="Area">#REF!</definedName>
    <definedName name="AS2DocOpenMode" hidden="1">"AS2DocumentEdit"</definedName>
    <definedName name="ASD">#REF!</definedName>
    <definedName name="asdads">#REF!</definedName>
    <definedName name="asdc">#REF!</definedName>
    <definedName name="asdcasd">#REF!</definedName>
    <definedName name="Asset_Code_WA">#REF!</definedName>
    <definedName name="Asset_Life">#REF!</definedName>
    <definedName name="Asset1">#REF!</definedName>
    <definedName name="Asset10">#REF!</definedName>
    <definedName name="Asset10Life">#REF!</definedName>
    <definedName name="Asset10TaxLife">#REF!</definedName>
    <definedName name="Asset11">#REF!</definedName>
    <definedName name="Asset12">#REF!</definedName>
    <definedName name="Asset13">#REF!</definedName>
    <definedName name="Asset14">#REF!</definedName>
    <definedName name="Asset15">#REF!</definedName>
    <definedName name="Asset16">#REF!</definedName>
    <definedName name="Asset17">#REF!</definedName>
    <definedName name="Asset18">#REF!</definedName>
    <definedName name="Asset19">#REF!</definedName>
    <definedName name="Asset1Life">#REF!</definedName>
    <definedName name="Asset1TaxLife">#REF!</definedName>
    <definedName name="Asset2">#REF!</definedName>
    <definedName name="Asset20">#REF!</definedName>
    <definedName name="Asset21">#REF!</definedName>
    <definedName name="Asset22">#REF!</definedName>
    <definedName name="Asset23">#REF!</definedName>
    <definedName name="Asset24">#REF!</definedName>
    <definedName name="Asset25">#REF!</definedName>
    <definedName name="Asset26">#REF!</definedName>
    <definedName name="Asset27">#REF!</definedName>
    <definedName name="Asset28">#REF!</definedName>
    <definedName name="Asset29">#REF!</definedName>
    <definedName name="Asset2Life">#REF!</definedName>
    <definedName name="Asset2TaxLife">#REF!</definedName>
    <definedName name="Asset3">#REF!</definedName>
    <definedName name="Asset30">#REF!</definedName>
    <definedName name="Asset3Life">#REF!</definedName>
    <definedName name="Asset3TaxLife">#REF!</definedName>
    <definedName name="Asset4">#REF!</definedName>
    <definedName name="Asset4Life">#REF!</definedName>
    <definedName name="Asset4TaxLife">#REF!</definedName>
    <definedName name="Asset5">#REF!</definedName>
    <definedName name="Asset5Life">#REF!</definedName>
    <definedName name="Asset5TaxLife">#REF!</definedName>
    <definedName name="Asset6">#REF!</definedName>
    <definedName name="Asset6Life">#REF!</definedName>
    <definedName name="Asset6TaxLife">#REF!</definedName>
    <definedName name="Asset7">#REF!</definedName>
    <definedName name="Asset7Life">#REF!</definedName>
    <definedName name="Asset7TaxLife">#REF!</definedName>
    <definedName name="Asset8">#REF!</definedName>
    <definedName name="Asset8Life">#REF!</definedName>
    <definedName name="Asset8TaxLife">#REF!</definedName>
    <definedName name="Asset9">#REF!</definedName>
    <definedName name="Asset9Life">#REF!</definedName>
    <definedName name="Asset9TaxLife">#REF!</definedName>
    <definedName name="Assumed_MDQ_MAP">#REF!</definedName>
    <definedName name="Assumed_MDQ_SE">#REF!</definedName>
    <definedName name="Aug">#REF!</definedName>
    <definedName name="AUG08SPEND">#REF!</definedName>
    <definedName name="augvar">#REF!,#REF!,#REF!,#REF!,#REF!,#REF!,#REF!,#REF!,#REF!,#REF!,#REF!,#REF!,#REF!,#REF!,#REF!,#REF!,#REF!,#REF!,#REF!,#REF!,#REF!</definedName>
    <definedName name="AUSTDIVS">#REF!</definedName>
    <definedName name="Austicks">#REF!</definedName>
    <definedName name="AustralBricks">#REF!</definedName>
    <definedName name="AustralianFarmCorporation">#REF!</definedName>
    <definedName name="AustralianMeatHoldings">#REF!</definedName>
    <definedName name="AUTable">#REF!</definedName>
    <definedName name="Author">#REF!</definedName>
    <definedName name="Avail4SaleMTM_B002">#REF!</definedName>
    <definedName name="Avail4SaleMTM_B003">#REF!</definedName>
    <definedName name="b">#REF!</definedName>
    <definedName name="B002_BH_Equity">#REF!</definedName>
    <definedName name="B002_BH_Units">#REF!</definedName>
    <definedName name="B003_DebtMTM">#REF!</definedName>
    <definedName name="B003_FECMTM">#REF!</definedName>
    <definedName name="balancesheet">#REF!</definedName>
    <definedName name="Balancing_Margin">#REF!</definedName>
    <definedName name="BAPAYR">#REF!</definedName>
    <definedName name="BaseDeal">1000000</definedName>
    <definedName name="BaseSwapRateInput">#REF!</definedName>
    <definedName name="bb">#REF!</definedName>
    <definedName name="BBSW3M">#REF!</definedName>
    <definedName name="BBSW6M">#REF!</definedName>
    <definedName name="BBSY">#REF!</definedName>
    <definedName name="BBSY1M">#REF!</definedName>
    <definedName name="BBSY3M">#REF!</definedName>
    <definedName name="BBSY3MAllco">#REF!</definedName>
    <definedName name="BBSY6M">#REF!</definedName>
    <definedName name="BCCToowong">#REF!</definedName>
    <definedName name="Bcost_B003">#REF!</definedName>
    <definedName name="BCost_B014">#REF!</definedName>
    <definedName name="BCost_B094">#REF!</definedName>
    <definedName name="BCost_Total">#REF!</definedName>
    <definedName name="Be">#REF!</definedName>
    <definedName name="BEL">#REF!</definedName>
    <definedName name="BEP">#REF!</definedName>
    <definedName name="BH">#REF!</definedName>
    <definedName name="BHole_B003">#REF!</definedName>
    <definedName name="BHole_B007">#REF!</definedName>
    <definedName name="BHole_B009">#REF!</definedName>
    <definedName name="BHole_B010">#REF!</definedName>
    <definedName name="BHole_B014">#REF!</definedName>
    <definedName name="BHole_B022">#REF!</definedName>
    <definedName name="BHole_B028">#REF!</definedName>
    <definedName name="BHole_B036">#REF!</definedName>
    <definedName name="BHole_B047">#REF!</definedName>
    <definedName name="BHole_B055">#REF!</definedName>
    <definedName name="BHole_B082">#REF!</definedName>
    <definedName name="BHole_B094">#REF!</definedName>
    <definedName name="BHole_B121">#REF!</definedName>
    <definedName name="BHole_B122">#REF!</definedName>
    <definedName name="BHole_B124">#REF!</definedName>
    <definedName name="BHole_B135">#REF!</definedName>
    <definedName name="BHole_B136">#REF!</definedName>
    <definedName name="BHole_B151">#REF!</definedName>
    <definedName name="BHole_B152">#REF!</definedName>
    <definedName name="BHole_B159">#REF!</definedName>
    <definedName name="BHole_B162">#REF!</definedName>
    <definedName name="BHole_Equity">#REF!</definedName>
    <definedName name="BHole_Units">#REF!</definedName>
    <definedName name="Bill">#REF!</definedName>
    <definedName name="Bill_Start">#REF!</definedName>
    <definedName name="Billed_Margin">#REF!</definedName>
    <definedName name="Billion">#REF!</definedName>
    <definedName name="Billions">#REF!</definedName>
    <definedName name="BkPymtDate">#REF!</definedName>
    <definedName name="BLUE">#REF!</definedName>
    <definedName name="BonaparteAdditionalCapex2008">#REF!</definedName>
    <definedName name="BonaparteAdditionalDrawdownDate">#REF!</definedName>
    <definedName name="BonaparteAdditionalOpex2008">#REF!</definedName>
    <definedName name="BonaparteCapexBookDepnRate">#REF!</definedName>
    <definedName name="BonaparteCapexFacAmtExclInt">#REF!</definedName>
    <definedName name="BonaparteCapexSens">#REF!</definedName>
    <definedName name="BonaparteContractEnd">#REF!</definedName>
    <definedName name="BonaparteContractEndDate">#REF!</definedName>
    <definedName name="BonaparteEndDateFlag">#REF!</definedName>
    <definedName name="BonaparteNLCOptionDate">#REF!</definedName>
    <definedName name="BonaparteOMMargin">#REF!</definedName>
    <definedName name="BonaparteOpexContingency">#REF!</definedName>
    <definedName name="BonaparteOpexSens">#REF!</definedName>
    <definedName name="BonaparteOpsFlag">#REF!</definedName>
    <definedName name="BonaparteOptionSolveIndicator">#REF!</definedName>
    <definedName name="BonaparteRealYrlyRevenue">#REF!</definedName>
    <definedName name="BonaparteRevPerc">#REF!</definedName>
    <definedName name="BonaparteRevPostContract">#REF!</definedName>
    <definedName name="BonaparteRevPostContractEndDate">#REF!</definedName>
    <definedName name="BonaparteRevSens">#REF!</definedName>
    <definedName name="BonaparteStartOps">#REF!</definedName>
    <definedName name="Bookedgas">#REF!</definedName>
    <definedName name="BP_1">#REF!</definedName>
    <definedName name="BP_2">#REF!</definedName>
    <definedName name="BP_StandBy">#REF!</definedName>
    <definedName name="brad1">#REF!</definedName>
    <definedName name="brad10">#REF!</definedName>
    <definedName name="brad11">#REF!</definedName>
    <definedName name="brad12">#REF!</definedName>
    <definedName name="brad2">#REF!</definedName>
    <definedName name="brad3">#REF!</definedName>
    <definedName name="brad4">#REF!</definedName>
    <definedName name="brad5">#REF!</definedName>
    <definedName name="brad6">#REF!</definedName>
    <definedName name="brad7">#REF!</definedName>
    <definedName name="brad8">#REF!</definedName>
    <definedName name="brad9">#REF!</definedName>
    <definedName name="Brisbane">#REF!</definedName>
    <definedName name="Brisbane_cost">#REF!</definedName>
    <definedName name="BrisbaneCityCouncil">#REF!</definedName>
    <definedName name="BrisStep1">#REF!</definedName>
    <definedName name="BrisStep2">#REF!</definedName>
    <definedName name="BrisStep3">#REF!</definedName>
    <definedName name="BrisStep4">#REF!</definedName>
    <definedName name="BrisStep5">#REF!</definedName>
    <definedName name="BrisStep6">#REF!</definedName>
    <definedName name="BS">#REF!</definedName>
    <definedName name="BS_RepItems">#REF!</definedName>
    <definedName name="bssumm">#REF!</definedName>
    <definedName name="BTARIFF_BUD99">#REF!</definedName>
    <definedName name="Bud_catergory">#REF!</definedName>
    <definedName name="BUD_PRICE">#REF!</definedName>
    <definedName name="BUD_RECEIPTS">#REF!</definedName>
    <definedName name="BUD_YTDMIL">#REF!</definedName>
    <definedName name="BUD_YTDTJ">#REF!</definedName>
    <definedName name="BUD_YTTJ">#REF!</definedName>
    <definedName name="Budget">#REF!</definedName>
    <definedName name="Budget___by_month">#REF!</definedName>
    <definedName name="Budget___Year_to_date">#REF!</definedName>
    <definedName name="BUDGET_TRANSPORT1">#REF!</definedName>
    <definedName name="BUDGET_TRANSPORT2">#REF!</definedName>
    <definedName name="budget_variance9900">#REF!</definedName>
    <definedName name="BudgetCBIT">#REF!</definedName>
    <definedName name="BudgetCurrencyCode1">#REF!</definedName>
    <definedName name="BudgetName1">#REF!</definedName>
    <definedName name="BudgetOrg1">#REF!</definedName>
    <definedName name="BUDSTAT">#REF!</definedName>
    <definedName name="BUDVARTJ">#REF!</definedName>
    <definedName name="Bundaberg">#REF!</definedName>
    <definedName name="Bundaberg_Cost">#REF!</definedName>
    <definedName name="Bundled_Fixed_Allocation">#REF!</definedName>
    <definedName name="Bundled_Uplift">#REF!</definedName>
    <definedName name="business99">#REF!</definedName>
    <definedName name="BWIZS">#REF!</definedName>
    <definedName name="BWIZS2">#REF!</definedName>
    <definedName name="BWMLP">#REF!</definedName>
    <definedName name="C_">#REF!</definedName>
    <definedName name="C_unit">#REF!</definedName>
    <definedName name="CADEOMSPOT">#REF!</definedName>
    <definedName name="Cairns">#REF!</definedName>
    <definedName name="Cairns_Cost">#REF!</definedName>
    <definedName name="CalculatedDatesHeading">#REF!</definedName>
    <definedName name="CAMS_equity">#REF!</definedName>
    <definedName name="CAMS_equity1">#REF!</definedName>
    <definedName name="Cap_June">#REF!</definedName>
    <definedName name="CAPACT_98">#REF!</definedName>
    <definedName name="CAPACT98">#REF!</definedName>
    <definedName name="CAPACT99">#REF!</definedName>
    <definedName name="CAPBUD99">#REF!</definedName>
    <definedName name="capex">#REF!,#REF!</definedName>
    <definedName name="capex_proj">#REF!</definedName>
    <definedName name="capex_types">#REF!</definedName>
    <definedName name="CapexDepn">#REF!</definedName>
    <definedName name="CapexSensitivityInd">#REF!</definedName>
    <definedName name="CapexSensitivityTable">#REF!</definedName>
    <definedName name="Capital_Category">#REF!</definedName>
    <definedName name="CAPITAL_EXPENDITURE">#REF!</definedName>
    <definedName name="CAPITALMAY09">#REF!</definedName>
    <definedName name="Capral">#REF!</definedName>
    <definedName name="CAPVAR99">#REF!</definedName>
    <definedName name="CARPDETAILED">#REF!</definedName>
    <definedName name="carpsumm">#REF!</definedName>
    <definedName name="CashAccrualIndicator">#REF!</definedName>
    <definedName name="CashAcctIndicator">#REF!</definedName>
    <definedName name="CashAcctOpen">#REF!</definedName>
    <definedName name="CASHBOOK">#REF!</definedName>
    <definedName name="CastlemainePerkins">#REF!</definedName>
    <definedName name="Category">#REF!</definedName>
    <definedName name="CBIT99">#REF!</definedName>
    <definedName name="cBoard">1</definedName>
    <definedName name="Charge">#REF!</definedName>
    <definedName name="CHART">#REF!</definedName>
    <definedName name="CHARTOFACCOUNTSID1">#REF!</definedName>
    <definedName name="CHQREQ">#REF!</definedName>
    <definedName name="CINo_Tbl">#REF!</definedName>
    <definedName name="citysheet">#REF!</definedName>
    <definedName name="Claimed_to_Date">#REF!,#REF!,#REF!,#REF!,#REF!,#REF!</definedName>
    <definedName name="CLIENTCODE">#REF!</definedName>
    <definedName name="CLIENTTAB">#REF!</definedName>
    <definedName name="CM">#REF!</definedName>
    <definedName name="cManual">0</definedName>
    <definedName name="Code">INDEX(INDIRECT(CountryShortCode&amp;"Codes"),MATCH(Item,INDIRECT(CountryShortCode&amp;"Desc"),0))</definedName>
    <definedName name="CoG">#REF!</definedName>
    <definedName name="COG_2000">#REF!</definedName>
    <definedName name="COG_Fixed">#REF!</definedName>
    <definedName name="col">#REF!</definedName>
    <definedName name="combine">#REF!</definedName>
    <definedName name="Companies">#REF!</definedName>
    <definedName name="COMPANY">#REF!</definedName>
    <definedName name="COMPANY1">#REF!</definedName>
    <definedName name="Compressor">#REF!</definedName>
    <definedName name="CONAME">#REF!</definedName>
    <definedName name="ConInt_B007">#REF!</definedName>
    <definedName name="ConInt_B008">#REF!</definedName>
    <definedName name="ConInt_B010">#REF!</definedName>
    <definedName name="ConInt_B015">#REF!</definedName>
    <definedName name="ConInt_B022">#REF!</definedName>
    <definedName name="ConInt_B027">#REF!</definedName>
    <definedName name="ConInt_B028">#REF!</definedName>
    <definedName name="ConInt_B036">#REF!</definedName>
    <definedName name="ConInt_Total">#REF!</definedName>
    <definedName name="CONNECTSTRING1">#REF!</definedName>
    <definedName name="cons">#REF!</definedName>
    <definedName name="consdetailed">#REF!</definedName>
    <definedName name="ConsolidateRutile">#REF!</definedName>
    <definedName name="consRT2">#REF!</definedName>
    <definedName name="ConsRT3">#REF!</definedName>
    <definedName name="ConsRT4">#REF!</definedName>
    <definedName name="ConsRT5">#REF!</definedName>
    <definedName name="CONSSUMMARY">#REF!</definedName>
    <definedName name="ContIntang_J117">#REF!</definedName>
    <definedName name="CONTRACT">#REF!</definedName>
    <definedName name="Contract_Lift">#REF!</definedName>
    <definedName name="Contract_Term">#REF!</definedName>
    <definedName name="Contract_TOP">#REF!</definedName>
    <definedName name="Contract_Values">#REF!,#REF!,#REF!,#REF!,#REF!,#REF!</definedName>
    <definedName name="CONTRACTCUST_BUD99">#REF!</definedName>
    <definedName name="ContractMDQ">#REF!</definedName>
    <definedName name="ContractsIntangible">#REF!</definedName>
    <definedName name="CONTRACTTRANSPORT">#REF!</definedName>
    <definedName name="CONTROL">#REF!</definedName>
    <definedName name="Copy_Area">#REF!</definedName>
    <definedName name="cor_var">#REF!</definedName>
    <definedName name="CorporateRevDSCRTable">#REF!</definedName>
    <definedName name="CorpTaxRate">#REF!</definedName>
    <definedName name="counter">COUNTA(INDEX(valdata,,MATCH(#REF!,#REF!,0)))</definedName>
    <definedName name="counter2">COUNTA(INDEX(valdata2,,MATCH(#REF!,#REF!,0)))</definedName>
    <definedName name="counter3">COUNTA(INDEX(valdata3,,MATCH(#REF!,#REF!,0)))</definedName>
    <definedName name="counter4">COUNTA(INDEX(valdata4,,MATCH(#REF!,#REF!,0)))</definedName>
    <definedName name="Countries">#REF!</definedName>
    <definedName name="Country">#REF!</definedName>
    <definedName name="CountryShortCode">VLOOKUP(Country,CountryTable,2,FALSE)</definedName>
    <definedName name="CountryTable">#REF!</definedName>
    <definedName name="CPI">#REF!</definedName>
    <definedName name="CPI_Indexation">#REF!</definedName>
    <definedName name="CPI_tbl">#REF!</definedName>
    <definedName name="Cr_Int_Rate">#REF!</definedName>
    <definedName name="CRCP_y4">#REF!</definedName>
    <definedName name="CRCP_y5">#REF!</definedName>
    <definedName name="CREATESUMMARYJNLS1">#REF!</definedName>
    <definedName name="CredEntAcqu_NC_J117">#REF!</definedName>
    <definedName name="CreditorDays">#REF!</definedName>
    <definedName name="CRITERIACOLUMN1">#REF!</definedName>
    <definedName name="CT">#REF!</definedName>
    <definedName name="CtnAgencyFees">#REF!</definedName>
    <definedName name="CtnAgencySecurityFees">#REF!</definedName>
    <definedName name="CtnAmount">#REF!</definedName>
    <definedName name="CtnCommitmentFeePerc">#REF!</definedName>
    <definedName name="CtnEndDate">#REF!</definedName>
    <definedName name="CtnEndDateMonth">#REF!</definedName>
    <definedName name="CtnMarginTable">#REF!</definedName>
    <definedName name="CtnMinHedgeLevelTable">#REF!</definedName>
    <definedName name="CtnMonths">#REF!</definedName>
    <definedName name="CtnProjectCostsBookDepn">#REF!</definedName>
    <definedName name="CtnSecurityFees">#REF!</definedName>
    <definedName name="CtnStartDate">#REF!</definedName>
    <definedName name="CtnSwapRateTable">#REF!</definedName>
    <definedName name="CtnYieldReqt">#REF!</definedName>
    <definedName name="Cur_Catergory">#REF!</definedName>
    <definedName name="Cur_period">#REF!</definedName>
    <definedName name="Currency">#REF!</definedName>
    <definedName name="Current_valuations">#REF!</definedName>
    <definedName name="CurrentMonth">#REF!</definedName>
    <definedName name="CurrentYear">#REF!</definedName>
    <definedName name="Cust_Status">#REF!</definedName>
    <definedName name="Cust_Table">#REF!</definedName>
    <definedName name="CUSTBUD99">#REF!</definedName>
    <definedName name="CUSTGAINS">#REF!</definedName>
    <definedName name="CUSTGAINS99">#REF!</definedName>
    <definedName name="CUSTMENU">#REF!</definedName>
    <definedName name="Customer_Name">#REF!</definedName>
    <definedName name="CUSTOMER_SITES">#REF!</definedName>
    <definedName name="Customer_Table">#REF!</definedName>
    <definedName name="CUSTOMER_TABLE_2">#REF!</definedName>
    <definedName name="Customer_Type">#REF!</definedName>
    <definedName name="CUSTOMERS">#REF!</definedName>
    <definedName name="CUSTOMERSITES">#REF!</definedName>
    <definedName name="CUSTOMERTABLE">#REF!</definedName>
    <definedName name="Cylinder">#REF!</definedName>
    <definedName name="d">#REF!</definedName>
    <definedName name="DaandineAdminFee">#REF!</definedName>
    <definedName name="DaandineAnnualVariableOM">#REF!</definedName>
    <definedName name="DaandineBookBase">#REF!</definedName>
    <definedName name="DaandineBookLife">#REF!</definedName>
    <definedName name="DaandineEndOps">#REF!</definedName>
    <definedName name="DaandineOMMargin">#REF!</definedName>
    <definedName name="DaandineOpexContingency">#REF!</definedName>
    <definedName name="DaandineOpexSens">#REF!</definedName>
    <definedName name="DaandineOpsFlag">#REF!</definedName>
    <definedName name="DaandineOpsStart">#REF!</definedName>
    <definedName name="DaandineOptionAmount">#REF!</definedName>
    <definedName name="DaandineOptionExerciseDate">#REF!</definedName>
    <definedName name="DaandineOptionIndicator">#REF!</definedName>
    <definedName name="DaandineRealInsurance">#REF!</definedName>
    <definedName name="DaandineRealRev">#REF!</definedName>
    <definedName name="DaandineRevSens">#REF!</definedName>
    <definedName name="DaandineTaxBase">#REF!</definedName>
    <definedName name="data">#REF!</definedName>
    <definedName name="data_budget">IF(UPPER(#REF!)="JULY",#REF!,#REF!)</definedName>
    <definedName name="data_chart">IF(UPPER(#REF!)="JULY",#REF!,IF(UPPER(#REF!)="AUGUST",#REF!,#REF!))</definedName>
    <definedName name="data2">#REF!</definedName>
    <definedName name="data3">#REF!</definedName>
    <definedName name="Data30Jun">#REF!</definedName>
    <definedName name="Data31Dec">#REF!</definedName>
    <definedName name="data4">#REF!</definedName>
    <definedName name="_xlnm.Database">#REF!</definedName>
    <definedName name="DataRange">#REF!</definedName>
    <definedName name="DATE">#REF!</definedName>
    <definedName name="date_">#REF!</definedName>
    <definedName name="Date_Range">#REF!,#REF!</definedName>
    <definedName name="Date_Range_Data">#REF!</definedName>
    <definedName name="DateColumn">OFFSET(DateHeading,0,0,_pdNoOfPayments+3,1)</definedName>
    <definedName name="DateHeading">#REF!</definedName>
    <definedName name="Dates">OFFSET(CalculatedDatesHeading,2,0,_pdNoOfPayments+1,1)</definedName>
    <definedName name="DATOk">#REF!</definedName>
    <definedName name="DATXS">#REF!</definedName>
    <definedName name="days">#REF!</definedName>
    <definedName name="Days_In_Wk">#REF!</definedName>
    <definedName name="DaysWhole">#REF!</definedName>
    <definedName name="DB">"WIREAUPROD"</definedName>
    <definedName name="DBNAME1">#REF!</definedName>
    <definedName name="DBPath">#REF!</definedName>
    <definedName name="DBUSERNAME1">#REF!</definedName>
    <definedName name="DD_Denom">#REF!</definedName>
    <definedName name="DD_Ent_Val_CF_Timing">#REF!</definedName>
    <definedName name="DD_Fin_YE_Mth">#REF!</definedName>
    <definedName name="DD_Model_Per_Type">#REF!</definedName>
    <definedName name="dDaysSeniorPymt">#REF!</definedName>
    <definedName name="dddd">#REF!</definedName>
    <definedName name="DealerSwapInput">#REF!</definedName>
    <definedName name="DEALLIST">#REF!</definedName>
    <definedName name="Debt_Case">#REF!</definedName>
    <definedName name="DebtorDays">#REF!</definedName>
    <definedName name="DebtRepaymentDate">#REF!</definedName>
    <definedName name="Dec">#REF!</definedName>
    <definedName name="Dec08spend">#REF!</definedName>
    <definedName name="DEC09SPEND">#REF!</definedName>
    <definedName name="Ded_Div43">#REF!</definedName>
    <definedName name="DefA1">#REF!</definedName>
    <definedName name="DefA2">#REF!</definedName>
    <definedName name="degrates10">#REF!</definedName>
    <definedName name="DELETELOGICTYPE1">#REF!</definedName>
    <definedName name="DepositRateTable">#REF!</definedName>
    <definedName name="DEPT">#REF!</definedName>
    <definedName name="desc">#REF!</definedName>
    <definedName name="DETAILEDCONSOLIDATION">#REF!</definedName>
    <definedName name="Details">#REF!</definedName>
    <definedName name="DF_GRID_2">Movement #REF!</definedName>
    <definedName name="DinStep1">#REF!</definedName>
    <definedName name="DinStep2">#REF!</definedName>
    <definedName name="DinStep3">#REF!</definedName>
    <definedName name="DinStep4">#REF!</definedName>
    <definedName name="DinStep5">#REF!</definedName>
    <definedName name="DinStep6">#REF!</definedName>
    <definedName name="disc_rate">#REF!</definedName>
    <definedName name="Discount">#REF!</definedName>
    <definedName name="DiscR">#REF!</definedName>
    <definedName name="Distn_Envestra">#REF!</definedName>
    <definedName name="DistnRec_ANPSPV">#REF!</definedName>
    <definedName name="DistnRec_Eii">#REF!</definedName>
    <definedName name="DistnRec_Envestra">#REF!</definedName>
    <definedName name="Distributor">#REF!</definedName>
    <definedName name="Div43Claim_B055">#REF!</definedName>
    <definedName name="DLACCC_CorpTaxRate">#REF!</definedName>
    <definedName name="DLACCC_InflationRate">#REF!</definedName>
    <definedName name="DLACCC_LTPropDebtFunding">#REF!</definedName>
    <definedName name="DLACCC_LTPropEquityFunding">#REF!</definedName>
    <definedName name="DLACCC_NomPreTaxCostOfDebt">#REF!</definedName>
    <definedName name="DLACCC_PerfBonus1">#REF!</definedName>
    <definedName name="DLACCC_PerfBonus2">#REF!</definedName>
    <definedName name="DLACCC_PerfBonus3">#REF!</definedName>
    <definedName name="DLACCC_PropFrankingCredits">#REF!</definedName>
    <definedName name="DLACCC_RealAssetLife_1">#REF!</definedName>
    <definedName name="DLACCC_RealAssetLife_2">#REF!</definedName>
    <definedName name="DLACCC_RealAssetLife_3">#REF!</definedName>
    <definedName name="DLACCC_RealAssetValue_1">#REF!</definedName>
    <definedName name="DLACCC_RealAssetValue_2">#REF!</definedName>
    <definedName name="DLACCC_RealAssetValue_3">#REF!</definedName>
    <definedName name="DLACCC_RealAssetValueOB_1">#REF!</definedName>
    <definedName name="DLACCC_RealAssetValueOB_2">#REF!</definedName>
    <definedName name="DLACCC_RealAssetValueOB_3">#REF!</definedName>
    <definedName name="DLACCC_Sens">#REF!</definedName>
    <definedName name="DLACCC_TaxAssetLife_1">#REF!</definedName>
    <definedName name="DLACCC_TaxAssetLife_2">#REF!</definedName>
    <definedName name="DLACCC_TaxAssetLife_3">#REF!</definedName>
    <definedName name="DLACCC_TaxAssetValue_1">#REF!</definedName>
    <definedName name="DLACCC_TaxAssetValue_2">#REF!</definedName>
    <definedName name="DLACCC_TaxAssetValue_3">#REF!</definedName>
    <definedName name="DLACCC_TaxAssetValueOB_1">#REF!</definedName>
    <definedName name="DLACCC_TaxAssetValueOB_2">#REF!</definedName>
    <definedName name="DLACCC_TaxAssetValueOB_3">#REF!</definedName>
    <definedName name="DLAssetClass_1BookOriginal">#REF!</definedName>
    <definedName name="DLAssetClass_1TaxOriginal">#REF!</definedName>
    <definedName name="DLAssetClass_2BookOriginal">#REF!</definedName>
    <definedName name="DLAssetClass_2TaxOriginal">#REF!</definedName>
    <definedName name="DLAssetClass_3BookOriginal">#REF!</definedName>
    <definedName name="DLAssetClass_3TaxOriginal">#REF!</definedName>
    <definedName name="DLAssetClass_4BookOriginal">#REF!</definedName>
    <definedName name="DLAssetClass_4TaxOriginal">#REF!</definedName>
    <definedName name="DLAssetClass_5BookOriginal">#REF!</definedName>
    <definedName name="DLBookDepnRateAssetClass_1">#REF!</definedName>
    <definedName name="DLBookDepnRateAssetClass_2">#REF!</definedName>
    <definedName name="DLBookDepnRateAssetClass_3">#REF!</definedName>
    <definedName name="DLBookDepnRateAssetClass_4">#REF!</definedName>
    <definedName name="DLBookDepnRateAssetClass_5">#REF!</definedName>
    <definedName name="DLBookDepnRateCapex">#REF!</definedName>
    <definedName name="DLCapexBaseDate">#REF!</definedName>
    <definedName name="DLCapexInd">#REF!</definedName>
    <definedName name="DLEndOps">#REF!</definedName>
    <definedName name="DLFifthRegResetDate">#REF!</definedName>
    <definedName name="DLFirstRegResetDate">#REF!</definedName>
    <definedName name="DLFourthRegResetDate">#REF!</definedName>
    <definedName name="DLOMMargin">#REF!</definedName>
    <definedName name="DLOMPerformancePerc">#REF!</definedName>
    <definedName name="DLOpexContingency">#REF!</definedName>
    <definedName name="DLOpexEscDate">#REF!</definedName>
    <definedName name="DLOpexSens">#REF!</definedName>
    <definedName name="DLOpsFlag">#REF!</definedName>
    <definedName name="DLRABCapexAssetLife">#REF!</definedName>
    <definedName name="DLRegCostsInd">#REF!</definedName>
    <definedName name="DLRegPeriodStart">#REF!</definedName>
    <definedName name="DLRegResetAssTable">#REF!</definedName>
    <definedName name="DLTaxDepnRateAssetClass_1">#REF!</definedName>
    <definedName name="DLTaxDepnRateAssetClass_2">#REF!</definedName>
    <definedName name="DLTaxDepnRateAssetClass_3">#REF!</definedName>
    <definedName name="DLTaxDepnRateAssetClass_4">#REF!</definedName>
    <definedName name="DLTaxDepnRateCapex">#REF!</definedName>
    <definedName name="DLThirdRegResetDate">#REF!</definedName>
    <definedName name="DLYearsRegReset">#REF!</definedName>
    <definedName name="dms_DollarReal">#REF!</definedName>
    <definedName name="dms_Header_Span">#REF!</definedName>
    <definedName name="dms_Model">#REF!</definedName>
    <definedName name="dms_Model_List">#REF!</definedName>
    <definedName name="dms_MultiYear_ResponseFlag">#REF!</definedName>
    <definedName name="dms_TradingName">#REF!</definedName>
    <definedName name="dms_TradingName_List">#REF!</definedName>
    <definedName name="dms_TradingNameFull_List">#REF!</definedName>
    <definedName name="dms_Worksheet_List">#REF!</definedName>
    <definedName name="Doc_number">#REF!</definedName>
    <definedName name="dOldSFAdt">#REF!</definedName>
    <definedName name="Dollars">#REF!</definedName>
    <definedName name="DomLF">#REF!</definedName>
    <definedName name="DownArrow">#REF!</definedName>
    <definedName name="dProjCompDt">#REF!</definedName>
    <definedName name="Dr">#REF!</definedName>
    <definedName name="dRefidate1">#REF!</definedName>
    <definedName name="dRefiDate2">#REF!</definedName>
    <definedName name="Drp">#REF!</definedName>
    <definedName name="DRR">#REF!</definedName>
    <definedName name="DSRA_CF_Diff">#REF!</definedName>
    <definedName name="DSRA_Pasted">#REF!</definedName>
    <definedName name="DSRA_Target">#REF!</definedName>
    <definedName name="DSRADrawdownDate">#REF!</definedName>
    <definedName name="DSRAEndDate">#REF!</definedName>
    <definedName name="DSRAFlag">#REF!</definedName>
    <definedName name="DSRAPeriods">#REF!</definedName>
    <definedName name="DTA_ChgToEquity">#REF!</definedName>
    <definedName name="DTA_ClosBal">#REF!</definedName>
    <definedName name="Duke">#REF!</definedName>
    <definedName name="DUOSRIVPL">#REF!</definedName>
    <definedName name="Dv">#REF!</definedName>
    <definedName name="DZone">#REF!</definedName>
    <definedName name="e">#REF!</definedName>
    <definedName name="ear">OFFSET(InstrumentPeriodNumberHeading,2,0,_pdInstrumentNoOfPayments+1,1)</definedName>
    <definedName name="efqwef">OFFSET(ADSWAPCount,0,1+ItemsCols,1,ADSWAPCount)</definedName>
    <definedName name="Elgas">#REF!</definedName>
    <definedName name="EMPBUD99">#REF!</definedName>
    <definedName name="EMPLOYEES">#REF!</definedName>
    <definedName name="EN">#REF!</definedName>
    <definedName name="End_Date">#REF!</definedName>
    <definedName name="EndPeriodName1">#REF!</definedName>
    <definedName name="ene_var">#REF!</definedName>
    <definedName name="Engineering">#REF!</definedName>
    <definedName name="ENT">#REF!</definedName>
    <definedName name="EntNotTaxEffected">#REF!</definedName>
    <definedName name="Env_Servfee">#REF!</definedName>
    <definedName name="Envestra_equity">#REF!</definedName>
    <definedName name="Epic_PLcharge">#REF!</definedName>
    <definedName name="EqAcctInvest_B111">#REF!</definedName>
    <definedName name="EqAcctInvest_J002">#REF!</definedName>
    <definedName name="EqAcctInvest_J074">#REF!</definedName>
    <definedName name="EqiInjDate">#REF!</definedName>
    <definedName name="EqInc_Cams">#REF!</definedName>
    <definedName name="EqInc_Cams1">#REF!</definedName>
    <definedName name="EqInc_SeaGas">#REF!</definedName>
    <definedName name="EqInc_SeaGas1">#REF!</definedName>
    <definedName name="Equipment_Environmental_Requirements">#REF!</definedName>
    <definedName name="EquityAcc_Envestra">#REF!</definedName>
    <definedName name="EquityLCAmount">#REF!</definedName>
    <definedName name="EquityLCEstabFee">#REF!</definedName>
    <definedName name="EquityOrdinary">#REF!</definedName>
    <definedName name="Esc_Date">#REF!</definedName>
    <definedName name="ESTIMATED_REVENUE">#REF!</definedName>
    <definedName name="Ethane_other_3P">#REF!</definedName>
    <definedName name="EUREOMSPOT">#REF!</definedName>
    <definedName name="EUSWECodes">#REF!</definedName>
    <definedName name="EUSWECount">#REF!</definedName>
    <definedName name="EUSWEItems">#REF!</definedName>
    <definedName name="EUTable">#REF!</definedName>
    <definedName name="EXECUTIVE_SUMMARY">#REF!</definedName>
    <definedName name="Exit_Date">#REF!</definedName>
    <definedName name="Exit_PE_Multiple">#REF!</definedName>
    <definedName name="Export_Member_Data_by_PLAN">#REF!</definedName>
    <definedName name="EYRFlag">#REF!</definedName>
    <definedName name="EYRInterestInput">#REF!</definedName>
    <definedName name="f">#REF!</definedName>
    <definedName name="F_Capex_Expense_Type_Forecast">#REF!</definedName>
    <definedName name="F_Other_Income_Forecast">#REF!</definedName>
    <definedName name="FAFee">#REF!</definedName>
    <definedName name="FAFeeDiff">#REF!</definedName>
    <definedName name="FAFeePaste">#REF!</definedName>
    <definedName name="fbt_total_operating_cost">#REF!</definedName>
    <definedName name="Fcast_Pers">#REF!</definedName>
    <definedName name="FCMIYAUG05D">#REF!</definedName>
    <definedName name="FCMIYAUG95D">#REF!</definedName>
    <definedName name="FCMIYAUG98D">#REF!</definedName>
    <definedName name="FCMYAPR00D">#REF!</definedName>
    <definedName name="FCMYAPR95D">#REF!</definedName>
    <definedName name="FCMYAUG03D">#REF!</definedName>
    <definedName name="FCMYAUG08D">#REF!</definedName>
    <definedName name="FCMYAUG98D">#REF!</definedName>
    <definedName name="FCMYFEB06D">#REF!</definedName>
    <definedName name="FCMYJAN01D">#REF!</definedName>
    <definedName name="FCMYJAN98D">#REF!</definedName>
    <definedName name="FCMYJUL00D">#REF!</definedName>
    <definedName name="FCMYJUL05D">#REF!</definedName>
    <definedName name="FCMYJUL96D">#REF!</definedName>
    <definedName name="FCMYJUL99D">#REF!</definedName>
    <definedName name="FCMYMAR02D">#REF!</definedName>
    <definedName name="FCMYMAR97D">#REF!</definedName>
    <definedName name="FCMYMAR99D">#REF!</definedName>
    <definedName name="FCMYNOV01D">#REF!</definedName>
    <definedName name="FCMYNOV06D">#REF!</definedName>
    <definedName name="FCMYOCT02D">#REF!</definedName>
    <definedName name="FCMYOCT07D">#REF!</definedName>
    <definedName name="FCMYSEP04D">#REF!</definedName>
    <definedName name="FCMYSEP94D">#REF!</definedName>
    <definedName name="FCMYSEP95D">#REF!</definedName>
    <definedName name="FCMYSEP97D">#REF!</definedName>
    <definedName name="FDS">#REF!</definedName>
    <definedName name="Feb">#REF!</definedName>
    <definedName name="FEB10_SPEND">#REF!</definedName>
    <definedName name="FFAPPCOLNAME1_1">#REF!</definedName>
    <definedName name="FFAPPCOLNAME2_1">#REF!</definedName>
    <definedName name="FFAPPCOLNAME3_1">#REF!</definedName>
    <definedName name="FFAPPCOLNAME4_1">#REF!</definedName>
    <definedName name="FFAPPCOLNAME5_1">#REF!</definedName>
    <definedName name="FFAPPCOLNAME6_1">#REF!</definedName>
    <definedName name="FFAPPCOLNAME7_1">#REF!</definedName>
    <definedName name="ffgfgf">#REF!,#REF!</definedName>
    <definedName name="FFSEGMENT1_1">#REF!</definedName>
    <definedName name="FFSEGMENT2_1">#REF!</definedName>
    <definedName name="FFSEGMENT3_1">#REF!</definedName>
    <definedName name="FFSEGMENT4_1">#REF!</definedName>
    <definedName name="FFSEGMENT5_1">#REF!</definedName>
    <definedName name="FFSEGMENT6_1">#REF!</definedName>
    <definedName name="FFSEGMENT7_1">#REF!</definedName>
    <definedName name="FFSEGSEPARATOR1">#REF!</definedName>
    <definedName name="FIELDNAMECOLUMN1">#REF!</definedName>
    <definedName name="FIELDNAMEROW1">#REF!</definedName>
    <definedName name="FinClose">#REF!</definedName>
    <definedName name="FinCloseEqInjInd">#REF!</definedName>
    <definedName name="FinCloseQtr">#REF!</definedName>
    <definedName name="FIRSTDATAROW1">#REF!</definedName>
    <definedName name="FirstDistDate">#REF!</definedName>
    <definedName name="FixedAA_tbl">#REF!</definedName>
    <definedName name="FloatingRateTable">#REF!</definedName>
    <definedName name="FNDNAM1">#REF!</definedName>
    <definedName name="FNDUSERID1">#REF!</definedName>
    <definedName name="Fone">#REF!</definedName>
    <definedName name="FormatOffset">#REF!</definedName>
    <definedName name="FRCP_y1">#REF!</definedName>
    <definedName name="FRCP_y2">#REF!</definedName>
    <definedName name="FRCP_y3">#REF!</definedName>
    <definedName name="FRCP_y4">#REF!</definedName>
    <definedName name="FRCP_y5">#REF!</definedName>
    <definedName name="FREQ">#REF!</definedName>
    <definedName name="FSFSDGSFGH">#REF!</definedName>
    <definedName name="Fthree">#REF!</definedName>
    <definedName name="Ftwo">#REF!</definedName>
    <definedName name="FUEL">#REF!</definedName>
    <definedName name="Full_year">#REF!</definedName>
    <definedName name="FULLAUSTDIV">#REF!</definedName>
    <definedName name="Function_Code">#REF!</definedName>
    <definedName name="FUNCTIONALCURRENCY1">#REF!</definedName>
    <definedName name="FutIncRights_B082">#REF!</definedName>
    <definedName name="FVU_Actual___by_month">#REF!</definedName>
    <definedName name="FVU_Actual___Year_to_date">#REF!</definedName>
    <definedName name="FVU_Budget___by_month">#REF!</definedName>
    <definedName name="FVU_Budget___Year_to_date">#REF!</definedName>
    <definedName name="FVU_Prior_Year___2000_2001____by_month">#REF!</definedName>
    <definedName name="FVU_Prior_Year___2000_2001____Year_to_date">#REF!</definedName>
    <definedName name="FY">#REF!</definedName>
    <definedName name="g">#REF!</definedName>
    <definedName name="Gamma">#REF!</definedName>
    <definedName name="GasP1">#REF!</definedName>
    <definedName name="GasP2">#REF!</definedName>
    <definedName name="GASRECEIPTS">#REF!</definedName>
    <definedName name="GASSALES">#REF!</definedName>
    <definedName name="GASTRANSPORT">#REF!</definedName>
    <definedName name="GBPEOMSPOT">#REF!</definedName>
    <definedName name="Gdwill_Impairment">#REF!</definedName>
    <definedName name="Gearing">#REF!</definedName>
    <definedName name="george">#REF!</definedName>
    <definedName name="Gladstone">#REF!</definedName>
    <definedName name="Gladstone_Costs">#REF!</definedName>
    <definedName name="GoalMargin">#REF!</definedName>
    <definedName name="Gold_Coast">#REF!</definedName>
    <definedName name="Gold_Coast_Cost">#REF!</definedName>
    <definedName name="Governance">#REF!</definedName>
    <definedName name="GPE">#REF!</definedName>
    <definedName name="Grade">#REF!</definedName>
    <definedName name="Graphs">#REF!</definedName>
    <definedName name="gst">#REF!</definedName>
    <definedName name="GSTCredit">#REF!</definedName>
    <definedName name="GWYUID1">#REF!</definedName>
    <definedName name="Gympie">#REF!</definedName>
    <definedName name="Gympie_Cost">#REF!</definedName>
    <definedName name="H4PurchaseConsideration">#REF!</definedName>
    <definedName name="Half_1">#REF!</definedName>
    <definedName name="Half_2">#REF!</definedName>
    <definedName name="Half_Yr_Name">#REF!</definedName>
    <definedName name="Halves_In_Yr">#REF!</definedName>
    <definedName name="HealthIndicators">#REF!</definedName>
    <definedName name="HedgeAssetMTM_B003">#REF!</definedName>
    <definedName name="HES">#REF!</definedName>
    <definedName name="HPRINT">#REF!</definedName>
    <definedName name="HR_Structure">#REF!</definedName>
    <definedName name="HRESPONSE">#REF!</definedName>
    <definedName name="Hrs_In_Day">#REF!</definedName>
    <definedName name="Hundred">#REF!</definedName>
    <definedName name="Hybrid_Conversion">#REF!</definedName>
    <definedName name="hyperion">#REF!</definedName>
    <definedName name="HYPWORK">#REF!</definedName>
    <definedName name="I_CLF">#REF!</definedName>
    <definedName name="ia_qld_other_income">#REF!</definedName>
    <definedName name="ia_sa_other_income">#REF!</definedName>
    <definedName name="ia_vic_other_income">#REF!</definedName>
    <definedName name="ib_qld_other_income">#REF!</definedName>
    <definedName name="ib_sa_other_income">#REF!</definedName>
    <definedName name="ib_vic_other_income">#REF!</definedName>
    <definedName name="ICT">#REF!</definedName>
    <definedName name="IDC">#REF!</definedName>
    <definedName name="IEProfit_ShareSales">#REF!</definedName>
    <definedName name="if_Other_income_full_year_forcast">#REF!</definedName>
    <definedName name="impact">#REF!</definedName>
    <definedName name="impact_rating">#REF!</definedName>
    <definedName name="Impact_Values">#REF!</definedName>
    <definedName name="ImpCredits_B002">#REF!</definedName>
    <definedName name="ImpCredits_B074">#REF!</definedName>
    <definedName name="implicitrate">#REF!</definedName>
    <definedName name="IMPORTDFF1">#REF!</definedName>
    <definedName name="Importrange">#REF!</definedName>
    <definedName name="INDACT98">#REF!</definedName>
    <definedName name="INDACT99">#REF!</definedName>
    <definedName name="INDBUD99">#REF!</definedName>
    <definedName name="INDVAR99">#REF!</definedName>
    <definedName name="inflation">#REF!</definedName>
    <definedName name="InstrumentCalculatedDatesHeading">#REF!</definedName>
    <definedName name="InstrumentDateColumn">OFFSET(InstrumentDateHeading,0,0,_pdInstrumentNoOfPayments+3,1)</definedName>
    <definedName name="InstrumentDateColumn2">OFFSET(InstrumentDateHeading,0,0,_pdInstrumentNoOfPayments+3,1)</definedName>
    <definedName name="InstrumentDateHeading">#REF!</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Heading">#REF!</definedName>
    <definedName name="InstrumentPeriodNumbers">OFFSET(InstrumentPeriodNumberHeading,2,0,_pdInstrumentNoOfPayments+1,1)</definedName>
    <definedName name="Insurance">#REF!</definedName>
    <definedName name="InsuranceFlag">#REF!</definedName>
    <definedName name="InsuranceSensitivity">#REF!</definedName>
    <definedName name="InsurRec_B002">#REF!</definedName>
    <definedName name="InsurRec_B007">#REF!</definedName>
    <definedName name="int_rate">#REF!</definedName>
    <definedName name="InterestbtwActModFinClose">#REF!</definedName>
    <definedName name="InterestTiming">#REF!</definedName>
    <definedName name="INVENTORY">#REF!</definedName>
    <definedName name="InvestAllow">#REF!</definedName>
    <definedName name="InvestmentAllowanceAmount">#REF!</definedName>
    <definedName name="InvoiceA27">#REF!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Z_SCORE" hidden="1">"c1339"</definedName>
    <definedName name="IS">#REF!</definedName>
    <definedName name="IS_RIBBON_CREATE_SUCCESS">TRUE</definedName>
    <definedName name="IS_RIBBON_SHOW_GRAPH_GROUP">FALSE</definedName>
    <definedName name="IS_RIBBON_SHOW_MAIN_GROUP">TRUE</definedName>
    <definedName name="IssuesForDiscussion">#REF!</definedName>
    <definedName name="Item">#REF!</definedName>
    <definedName name="item3">#REF!</definedName>
    <definedName name="item4_5">#REF!</definedName>
    <definedName name="ItemsCols">COLUMN(#REF!)-COLUMN(#REF!)</definedName>
    <definedName name="Iterations">#REF!</definedName>
    <definedName name="ixRange0">#REF!</definedName>
    <definedName name="ixRange0_1">#REF!</definedName>
    <definedName name="ixRange1">#REF!</definedName>
    <definedName name="ixRange1_1">#REF!</definedName>
    <definedName name="ixRange10">#REF!</definedName>
    <definedName name="ixRange10_1">#REF!</definedName>
    <definedName name="ixRange100">#REF!</definedName>
    <definedName name="ixRange100_1">#REF!</definedName>
    <definedName name="ixRange101">#REF!</definedName>
    <definedName name="ixRange101_1">#REF!</definedName>
    <definedName name="ixRange102">#REF!</definedName>
    <definedName name="ixRange102_1">#REF!</definedName>
    <definedName name="ixRange103">#REF!</definedName>
    <definedName name="ixRange103_1">#REF!</definedName>
    <definedName name="ixRange104">#REF!</definedName>
    <definedName name="ixRange104_1">#REF!</definedName>
    <definedName name="ixRange105">#REF!</definedName>
    <definedName name="ixRange105_1">#REF!</definedName>
    <definedName name="ixRange106">#REF!</definedName>
    <definedName name="ixRange106_1">#REF!</definedName>
    <definedName name="ixRange107">#REF!</definedName>
    <definedName name="ixRange107_1">#REF!</definedName>
    <definedName name="ixRange108">#REF!</definedName>
    <definedName name="ixRange108_1">#REF!</definedName>
    <definedName name="ixRange109">#REF!</definedName>
    <definedName name="ixRange109_1">#REF!</definedName>
    <definedName name="ixRange11">#REF!</definedName>
    <definedName name="ixRange11_1">#REF!</definedName>
    <definedName name="ixRange110">#REF!</definedName>
    <definedName name="ixRange110_1">#REF!</definedName>
    <definedName name="ixRange111">#REF!</definedName>
    <definedName name="ixRange111_1">#REF!</definedName>
    <definedName name="ixRange112">#REF!</definedName>
    <definedName name="ixRange112_1">#REF!</definedName>
    <definedName name="ixRange113">#REF!</definedName>
    <definedName name="ixRange113_1">#REF!</definedName>
    <definedName name="ixRange114">#REF!</definedName>
    <definedName name="ixRange114_1">#REF!</definedName>
    <definedName name="ixRange115">#REF!</definedName>
    <definedName name="ixRange115_1">#REF!</definedName>
    <definedName name="ixRange116">#REF!</definedName>
    <definedName name="ixRange116_1">#REF!</definedName>
    <definedName name="ixRange117">#REF!</definedName>
    <definedName name="ixRange117_1">#REF!</definedName>
    <definedName name="ixRange118">#REF!</definedName>
    <definedName name="ixRange118_1">#REF!</definedName>
    <definedName name="ixRange119">#REF!</definedName>
    <definedName name="ixRange119_1">#REF!</definedName>
    <definedName name="ixRange12">#REF!</definedName>
    <definedName name="ixRange12_1">#REF!</definedName>
    <definedName name="ixRange120">#REF!</definedName>
    <definedName name="ixRange120_1">#REF!</definedName>
    <definedName name="ixRange121">#REF!</definedName>
    <definedName name="ixRange121_1">#REF!</definedName>
    <definedName name="ixRange122">#REF!</definedName>
    <definedName name="ixRange122_1">#REF!</definedName>
    <definedName name="ixRange123">#REF!</definedName>
    <definedName name="ixRange123_1">#REF!</definedName>
    <definedName name="ixRange124">#REF!</definedName>
    <definedName name="ixRange124_1">#REF!</definedName>
    <definedName name="ixRange125">#REF!</definedName>
    <definedName name="ixRange125_1">#REF!</definedName>
    <definedName name="ixRange126">#REF!</definedName>
    <definedName name="ixRange126_1">#REF!</definedName>
    <definedName name="ixRange127">#REF!</definedName>
    <definedName name="ixRange127_1">#REF!</definedName>
    <definedName name="ixRange128">#REF!</definedName>
    <definedName name="ixRange128_1">#REF!</definedName>
    <definedName name="ixRange129">#REF!</definedName>
    <definedName name="ixRange129_1">#REF!</definedName>
    <definedName name="ixRange13">#REF!</definedName>
    <definedName name="ixRange13_1">#REF!</definedName>
    <definedName name="ixRange130">#REF!</definedName>
    <definedName name="ixRange130_1">#REF!</definedName>
    <definedName name="ixRange131">#REF!</definedName>
    <definedName name="ixRange131_1">#REF!</definedName>
    <definedName name="ixRange132">#REF!</definedName>
    <definedName name="ixRange132_1">#REF!</definedName>
    <definedName name="ixRange133">#REF!</definedName>
    <definedName name="ixRange133_1">#REF!</definedName>
    <definedName name="ixRange134">#REF!</definedName>
    <definedName name="ixRange134_1">#REF!</definedName>
    <definedName name="ixRange135">#REF!</definedName>
    <definedName name="ixRange135_1">#REF!</definedName>
    <definedName name="ixRange136">#REF!</definedName>
    <definedName name="ixRange136_1">#REF!</definedName>
    <definedName name="ixRange137">#REF!</definedName>
    <definedName name="ixRange137_1">#REF!</definedName>
    <definedName name="ixRange138">#REF!</definedName>
    <definedName name="ixRange138_1">#REF!</definedName>
    <definedName name="ixRange139">#REF!</definedName>
    <definedName name="ixRange139_1">#REF!</definedName>
    <definedName name="ixRange14">#REF!</definedName>
    <definedName name="ixRange14_1">#REF!</definedName>
    <definedName name="ixRange140">#REF!</definedName>
    <definedName name="ixRange140_1">#REF!</definedName>
    <definedName name="ixRange141">#REF!</definedName>
    <definedName name="ixRange141_1">#REF!</definedName>
    <definedName name="ixRange142">#REF!</definedName>
    <definedName name="ixRange142_1">#REF!</definedName>
    <definedName name="ixRange143">#REF!</definedName>
    <definedName name="ixRange143_1">#REF!</definedName>
    <definedName name="ixRange144">#REF!</definedName>
    <definedName name="ixRange144_1">#REF!</definedName>
    <definedName name="ixRange145">#REF!</definedName>
    <definedName name="ixRange145_1">#REF!</definedName>
    <definedName name="ixRange146">#REF!</definedName>
    <definedName name="ixRange146_1">#REF!</definedName>
    <definedName name="ixRange147">#REF!</definedName>
    <definedName name="ixRange147_1">#REF!</definedName>
    <definedName name="ixRange148">#REF!</definedName>
    <definedName name="ixRange148_1">#REF!</definedName>
    <definedName name="ixRange149">#REF!</definedName>
    <definedName name="ixRange149_1">#REF!</definedName>
    <definedName name="ixRange15">#REF!</definedName>
    <definedName name="ixRange15_1">#REF!</definedName>
    <definedName name="ixRange150">#REF!</definedName>
    <definedName name="ixRange150_1">#REF!</definedName>
    <definedName name="ixRange151">#REF!</definedName>
    <definedName name="ixRange151_1">#REF!</definedName>
    <definedName name="ixRange152">#REF!</definedName>
    <definedName name="ixRange152_1">#REF!</definedName>
    <definedName name="ixRange153">#REF!</definedName>
    <definedName name="ixRange153_1">#REF!</definedName>
    <definedName name="ixRange154">#REF!</definedName>
    <definedName name="ixRange154_1">#REF!</definedName>
    <definedName name="ixRange155">#REF!</definedName>
    <definedName name="ixRange155_1">#REF!</definedName>
    <definedName name="ixRange156">#REF!</definedName>
    <definedName name="ixRange156_1">#REF!</definedName>
    <definedName name="ixRange157">#REF!</definedName>
    <definedName name="ixRange157_1">#REF!</definedName>
    <definedName name="ixRange158">#REF!</definedName>
    <definedName name="ixRange158_1">#REF!</definedName>
    <definedName name="ixRange159">#REF!</definedName>
    <definedName name="ixRange159_1">#REF!</definedName>
    <definedName name="ixRange16">#REF!</definedName>
    <definedName name="ixRange16_1">#REF!</definedName>
    <definedName name="ixRange160">#REF!</definedName>
    <definedName name="ixRange160_1">#REF!</definedName>
    <definedName name="ixRange161">#REF!</definedName>
    <definedName name="ixRange161_1">#REF!</definedName>
    <definedName name="ixRange162">#REF!</definedName>
    <definedName name="ixRange162_1">#REF!</definedName>
    <definedName name="ixRange163">#REF!</definedName>
    <definedName name="ixRange163_1">#REF!</definedName>
    <definedName name="ixRange164">#REF!</definedName>
    <definedName name="ixRange164_1">#REF!</definedName>
    <definedName name="ixRange165">#REF!</definedName>
    <definedName name="ixRange165_1">#REF!</definedName>
    <definedName name="ixRange166">#REF!</definedName>
    <definedName name="ixRange166_1">#REF!</definedName>
    <definedName name="ixRange167">#REF!</definedName>
    <definedName name="ixRange167_1">#REF!</definedName>
    <definedName name="ixRange168">#REF!</definedName>
    <definedName name="ixRange168_1">#REF!</definedName>
    <definedName name="ixRange169">#REF!</definedName>
    <definedName name="ixRange169_1">#REF!</definedName>
    <definedName name="ixRange17">#REF!</definedName>
    <definedName name="ixRange17_1">#REF!</definedName>
    <definedName name="ixRange170">#REF!</definedName>
    <definedName name="ixRange170_1">#REF!</definedName>
    <definedName name="ixRange171">#REF!</definedName>
    <definedName name="ixRange171_1">#REF!</definedName>
    <definedName name="ixRange172">#REF!</definedName>
    <definedName name="ixRange172_1">#REF!</definedName>
    <definedName name="ixRange173">#REF!</definedName>
    <definedName name="ixRange173_1">#REF!</definedName>
    <definedName name="ixRange174">#REF!</definedName>
    <definedName name="ixRange174_1">#REF!</definedName>
    <definedName name="ixRange175">#REF!</definedName>
    <definedName name="ixRange175_1">#REF!</definedName>
    <definedName name="ixRange176">#REF!</definedName>
    <definedName name="ixRange176_1">#REF!</definedName>
    <definedName name="ixRange177">#REF!</definedName>
    <definedName name="ixRange177_1">#REF!</definedName>
    <definedName name="ixRange178">#REF!</definedName>
    <definedName name="ixRange178_1">#REF!</definedName>
    <definedName name="ixRange179">#REF!</definedName>
    <definedName name="ixRange179_1">#REF!</definedName>
    <definedName name="ixRange18">#REF!</definedName>
    <definedName name="ixRange18_1">#REF!</definedName>
    <definedName name="ixRange180">#REF!</definedName>
    <definedName name="ixRange180_1">#REF!</definedName>
    <definedName name="ixRange181">#REF!</definedName>
    <definedName name="ixRange181_1">#REF!</definedName>
    <definedName name="ixRange182">#REF!</definedName>
    <definedName name="ixRange182_1">#REF!</definedName>
    <definedName name="ixRange183">#REF!</definedName>
    <definedName name="ixRange183_1">#REF!</definedName>
    <definedName name="ixRange184">#REF!</definedName>
    <definedName name="ixRange184_1">#REF!</definedName>
    <definedName name="ixRange185">#REF!</definedName>
    <definedName name="ixRange185_1">#REF!</definedName>
    <definedName name="ixRange186">#REF!</definedName>
    <definedName name="ixRange186_1">#REF!</definedName>
    <definedName name="ixRange187">#REF!</definedName>
    <definedName name="ixRange187_1">#REF!</definedName>
    <definedName name="ixRange188">#REF!</definedName>
    <definedName name="ixRange188_1">#REF!</definedName>
    <definedName name="ixRange189">#REF!</definedName>
    <definedName name="ixRange189_1">#REF!</definedName>
    <definedName name="ixRange19">#REF!</definedName>
    <definedName name="ixRange19_1">#REF!</definedName>
    <definedName name="ixRange190">#REF!</definedName>
    <definedName name="ixRange190_1">#REF!</definedName>
    <definedName name="ixRange191">#REF!</definedName>
    <definedName name="ixRange191_1">#REF!</definedName>
    <definedName name="ixRange192">#REF!</definedName>
    <definedName name="ixRange192_1">#REF!</definedName>
    <definedName name="ixRange193">#REF!</definedName>
    <definedName name="ixRange193_1">#REF!</definedName>
    <definedName name="ixRange194">#REF!</definedName>
    <definedName name="ixRange194_1">#REF!</definedName>
    <definedName name="ixRange195">#REF!</definedName>
    <definedName name="ixRange195_1">#REF!</definedName>
    <definedName name="ixRange196">#REF!</definedName>
    <definedName name="ixRange196_1">#REF!</definedName>
    <definedName name="ixRange197">#REF!</definedName>
    <definedName name="ixRange197_1">#REF!</definedName>
    <definedName name="ixRange198">#REF!</definedName>
    <definedName name="ixRange198_1">#REF!</definedName>
    <definedName name="ixRange199">#REF!</definedName>
    <definedName name="ixRange199_1">#REF!</definedName>
    <definedName name="ixRange2">#REF!</definedName>
    <definedName name="ixRange2_1">#REF!</definedName>
    <definedName name="ixRange20">#REF!</definedName>
    <definedName name="ixRange20_1">#REF!</definedName>
    <definedName name="ixRange200">#REF!</definedName>
    <definedName name="ixRange200_1">#REF!</definedName>
    <definedName name="ixRange201">#REF!</definedName>
    <definedName name="ixRange201_1">#REF!</definedName>
    <definedName name="ixRange202">#REF!</definedName>
    <definedName name="ixRange202_1">#REF!</definedName>
    <definedName name="ixRange203">#REF!</definedName>
    <definedName name="ixRange203_1">#REF!</definedName>
    <definedName name="ixRange204">#REF!</definedName>
    <definedName name="ixRange204_1">#REF!</definedName>
    <definedName name="ixRange205">#REF!</definedName>
    <definedName name="ixRange205_1">#REF!</definedName>
    <definedName name="ixRange206">#REF!</definedName>
    <definedName name="ixRange206_1">#REF!</definedName>
    <definedName name="ixRange207">#REF!</definedName>
    <definedName name="ixRange207_1">#REF!</definedName>
    <definedName name="ixRange208">#REF!</definedName>
    <definedName name="ixRange208_1">#REF!</definedName>
    <definedName name="ixRange209">#REF!</definedName>
    <definedName name="ixRange209_1">#REF!</definedName>
    <definedName name="ixRange21">#REF!</definedName>
    <definedName name="ixRange21_1">#REF!</definedName>
    <definedName name="ixRange210">#REF!</definedName>
    <definedName name="ixRange210_1">#REF!</definedName>
    <definedName name="ixRange211">#REF!</definedName>
    <definedName name="ixRange211_1">#REF!</definedName>
    <definedName name="ixRange212">#REF!</definedName>
    <definedName name="ixRange212_1">#REF!</definedName>
    <definedName name="ixRange213">#REF!</definedName>
    <definedName name="ixRange213_1">#REF!</definedName>
    <definedName name="ixRange214">#REF!</definedName>
    <definedName name="ixRange214_1">#REF!</definedName>
    <definedName name="ixRange215">#REF!</definedName>
    <definedName name="ixRange215_1">#REF!</definedName>
    <definedName name="ixRange216">#REF!</definedName>
    <definedName name="ixRange216_1">#REF!</definedName>
    <definedName name="ixRange217">#REF!</definedName>
    <definedName name="ixRange217_1">#REF!</definedName>
    <definedName name="ixRange218">#REF!</definedName>
    <definedName name="ixRange218_1">#REF!</definedName>
    <definedName name="ixRange219">#REF!</definedName>
    <definedName name="ixRange219_1">#REF!</definedName>
    <definedName name="ixRange22">#REF!</definedName>
    <definedName name="ixRange22_1">#REF!</definedName>
    <definedName name="ixRange220">#REF!</definedName>
    <definedName name="ixRange220_1">#REF!</definedName>
    <definedName name="ixRange221">#REF!</definedName>
    <definedName name="ixRange221_1">#REF!</definedName>
    <definedName name="ixRange222">#REF!</definedName>
    <definedName name="ixRange222_1">#REF!</definedName>
    <definedName name="ixRange223">#REF!</definedName>
    <definedName name="ixRange223_1">#REF!</definedName>
    <definedName name="ixRange224">#REF!</definedName>
    <definedName name="ixRange224_1">#REF!</definedName>
    <definedName name="ixRange225">#REF!</definedName>
    <definedName name="ixRange225_1">#REF!</definedName>
    <definedName name="ixRange226">#REF!</definedName>
    <definedName name="ixRange226_1">#REF!</definedName>
    <definedName name="ixRange227">#REF!</definedName>
    <definedName name="ixRange227_1">#REF!</definedName>
    <definedName name="ixRange228">#REF!</definedName>
    <definedName name="ixRange228_1">#REF!</definedName>
    <definedName name="ixRange229">#REF!</definedName>
    <definedName name="ixRange229_1">#REF!</definedName>
    <definedName name="ixRange23">#REF!</definedName>
    <definedName name="ixRange23_1">#REF!</definedName>
    <definedName name="ixRange230">#REF!</definedName>
    <definedName name="ixRange230_1">#REF!</definedName>
    <definedName name="ixRange231">#REF!</definedName>
    <definedName name="ixRange231_1">#REF!</definedName>
    <definedName name="ixRange232">#REF!</definedName>
    <definedName name="ixRange232_1">#REF!</definedName>
    <definedName name="ixRange233">#REF!</definedName>
    <definedName name="ixRange233_1">#REF!</definedName>
    <definedName name="ixRange234">#REF!</definedName>
    <definedName name="ixRange234_1">#REF!</definedName>
    <definedName name="ixRange235">#REF!</definedName>
    <definedName name="ixRange235_1">#REF!</definedName>
    <definedName name="ixRange236">#REF!</definedName>
    <definedName name="ixRange236_1">#REF!</definedName>
    <definedName name="ixRange237">#REF!</definedName>
    <definedName name="ixRange237_1">#REF!</definedName>
    <definedName name="ixRange238">#REF!</definedName>
    <definedName name="ixRange238_1">#REF!</definedName>
    <definedName name="ixRange239">#REF!</definedName>
    <definedName name="ixRange239_1">#REF!</definedName>
    <definedName name="ixRange24">#REF!</definedName>
    <definedName name="ixRange24_1">#REF!</definedName>
    <definedName name="ixRange240">#REF!</definedName>
    <definedName name="ixRange240_1">#REF!</definedName>
    <definedName name="ixRange241">#REF!</definedName>
    <definedName name="ixRange241_1">#REF!</definedName>
    <definedName name="ixRange242">#REF!</definedName>
    <definedName name="ixRange242_1">#REF!</definedName>
    <definedName name="ixRange243">#REF!</definedName>
    <definedName name="ixRange243_1">#REF!</definedName>
    <definedName name="ixRange244">#REF!</definedName>
    <definedName name="ixRange244_1">#REF!</definedName>
    <definedName name="ixRange245">#REF!</definedName>
    <definedName name="ixRange245_1">#REF!</definedName>
    <definedName name="ixRange246">#REF!</definedName>
    <definedName name="ixRange246_1">#REF!</definedName>
    <definedName name="ixRange247">#REF!</definedName>
    <definedName name="ixRange247_1">#REF!</definedName>
    <definedName name="ixRange248">#REF!</definedName>
    <definedName name="ixRange248_1">#REF!</definedName>
    <definedName name="ixRange249">#REF!</definedName>
    <definedName name="ixRange249_1">#REF!</definedName>
    <definedName name="ixRange25">#REF!</definedName>
    <definedName name="ixRange25_1">#REF!</definedName>
    <definedName name="ixRange250">#REF!</definedName>
    <definedName name="ixRange250_1">#REF!</definedName>
    <definedName name="ixRange251">#REF!</definedName>
    <definedName name="ixRange251_1">#REF!</definedName>
    <definedName name="ixRange252">#REF!</definedName>
    <definedName name="ixRange252_1">#REF!</definedName>
    <definedName name="ixRange253">#REF!</definedName>
    <definedName name="ixRange253_1">#REF!</definedName>
    <definedName name="ixRange254">#REF!</definedName>
    <definedName name="ixRange254_1">#REF!</definedName>
    <definedName name="ixRange255">#REF!</definedName>
    <definedName name="ixRange255_1">#REF!</definedName>
    <definedName name="ixRange256">#REF!</definedName>
    <definedName name="ixRange256_1">#REF!</definedName>
    <definedName name="ixRange257">#REF!</definedName>
    <definedName name="ixRange257_1">#REF!</definedName>
    <definedName name="ixRange258">#REF!</definedName>
    <definedName name="ixRange258_1">#REF!</definedName>
    <definedName name="ixRange259">#REF!</definedName>
    <definedName name="ixRange259_1">#REF!</definedName>
    <definedName name="ixRange26">#REF!</definedName>
    <definedName name="ixRange26_1">#REF!</definedName>
    <definedName name="ixRange260">#REF!</definedName>
    <definedName name="ixRange260_1">#REF!</definedName>
    <definedName name="ixRange261">#REF!</definedName>
    <definedName name="ixRange261_1">#REF!</definedName>
    <definedName name="ixRange262">#REF!</definedName>
    <definedName name="ixRange262_1">#REF!</definedName>
    <definedName name="ixRange263">#REF!</definedName>
    <definedName name="ixRange263_1">#REF!</definedName>
    <definedName name="ixRange264">#REF!</definedName>
    <definedName name="ixRange264_1">#REF!</definedName>
    <definedName name="ixRange265">#REF!</definedName>
    <definedName name="ixRange265_1">#REF!</definedName>
    <definedName name="ixRange266">#REF!</definedName>
    <definedName name="ixRange266_1">#REF!</definedName>
    <definedName name="ixRange267">#REF!</definedName>
    <definedName name="ixRange267_1">#REF!</definedName>
    <definedName name="ixRange268">#REF!</definedName>
    <definedName name="ixRange268_1">#REF!</definedName>
    <definedName name="ixRange269">#REF!</definedName>
    <definedName name="ixRange269_1">#REF!</definedName>
    <definedName name="ixRange27">#REF!</definedName>
    <definedName name="ixRange27_1">#REF!</definedName>
    <definedName name="ixRange270">#REF!</definedName>
    <definedName name="ixRange270_1">#REF!</definedName>
    <definedName name="ixRange271">#REF!</definedName>
    <definedName name="ixRange271_1">#REF!</definedName>
    <definedName name="ixRange272">#REF!</definedName>
    <definedName name="ixRange272_1">#REF!</definedName>
    <definedName name="ixRange273">#REF!</definedName>
    <definedName name="ixRange273_1">#REF!</definedName>
    <definedName name="ixRange274">#REF!</definedName>
    <definedName name="ixRange274_1">#REF!</definedName>
    <definedName name="ixRange275">#REF!</definedName>
    <definedName name="ixRange275_1">#REF!</definedName>
    <definedName name="ixRange276">#REF!</definedName>
    <definedName name="ixRange276_1">#REF!</definedName>
    <definedName name="ixRange277">#REF!</definedName>
    <definedName name="ixRange277_1">#REF!</definedName>
    <definedName name="ixRange278">#REF!</definedName>
    <definedName name="ixRange278_1">#REF!</definedName>
    <definedName name="ixRange279">#REF!</definedName>
    <definedName name="ixRange279_1">#REF!</definedName>
    <definedName name="ixRange28">#REF!</definedName>
    <definedName name="ixRange28_1">#REF!</definedName>
    <definedName name="ixRange280">#REF!</definedName>
    <definedName name="ixRange280_1">#REF!</definedName>
    <definedName name="ixRange281">#REF!</definedName>
    <definedName name="ixRange281_1">#REF!</definedName>
    <definedName name="ixRange282">#REF!</definedName>
    <definedName name="ixRange282_1">#REF!</definedName>
    <definedName name="ixRange283">#REF!</definedName>
    <definedName name="ixRange283_1">#REF!</definedName>
    <definedName name="ixRange284">#REF!</definedName>
    <definedName name="ixRange284_1">#REF!</definedName>
    <definedName name="ixRange285">#REF!</definedName>
    <definedName name="ixRange285_1">#REF!</definedName>
    <definedName name="ixRange286">#REF!</definedName>
    <definedName name="ixRange286_1">#REF!</definedName>
    <definedName name="ixRange287">#REF!</definedName>
    <definedName name="ixRange287_1">#REF!</definedName>
    <definedName name="ixRange288">#REF!</definedName>
    <definedName name="ixRange288_1">#REF!</definedName>
    <definedName name="ixRange289">#REF!</definedName>
    <definedName name="ixRange289_1">#REF!</definedName>
    <definedName name="ixRange29">#REF!</definedName>
    <definedName name="ixRange29_1">#REF!</definedName>
    <definedName name="ixRange290">#REF!</definedName>
    <definedName name="ixRange290_1">#REF!</definedName>
    <definedName name="ixRange291">#REF!</definedName>
    <definedName name="ixRange291_1">#REF!</definedName>
    <definedName name="ixRange292">#REF!</definedName>
    <definedName name="ixRange292_1">#REF!</definedName>
    <definedName name="ixRange293">#REF!</definedName>
    <definedName name="ixRange293_1">#REF!</definedName>
    <definedName name="ixRange294">#REF!</definedName>
    <definedName name="ixRange294_1">#REF!</definedName>
    <definedName name="ixRange295">#REF!</definedName>
    <definedName name="ixRange295_1">#REF!</definedName>
    <definedName name="ixRange296">#REF!</definedName>
    <definedName name="ixRange296_1">#REF!</definedName>
    <definedName name="ixRange297">#REF!</definedName>
    <definedName name="ixRange297_1">#REF!</definedName>
    <definedName name="ixRange298">#REF!</definedName>
    <definedName name="ixRange298_1">#REF!</definedName>
    <definedName name="ixRange299">#REF!</definedName>
    <definedName name="ixRange299_1">#REF!</definedName>
    <definedName name="ixRange3">#REF!</definedName>
    <definedName name="ixRange3_1">#REF!</definedName>
    <definedName name="ixRange30">#REF!</definedName>
    <definedName name="ixRange30_1">#REF!</definedName>
    <definedName name="ixRange300">#REF!</definedName>
    <definedName name="ixRange300_1">#REF!</definedName>
    <definedName name="ixRange301">#REF!</definedName>
    <definedName name="ixRange301_1">#REF!</definedName>
    <definedName name="ixRange302">#REF!</definedName>
    <definedName name="ixRange302_1">#REF!</definedName>
    <definedName name="ixRange303">#REF!</definedName>
    <definedName name="ixRange303_1">#REF!</definedName>
    <definedName name="ixRange304">#REF!</definedName>
    <definedName name="ixRange304_1">#REF!</definedName>
    <definedName name="ixRange305">#REF!</definedName>
    <definedName name="ixRange305_1">#REF!</definedName>
    <definedName name="ixRange306">#REF!</definedName>
    <definedName name="ixRange306_1">#REF!</definedName>
    <definedName name="ixRange307">#REF!</definedName>
    <definedName name="ixRange307_1">#REF!</definedName>
    <definedName name="ixRange308">#REF!</definedName>
    <definedName name="ixRange308_1">#REF!</definedName>
    <definedName name="ixRange309">#REF!</definedName>
    <definedName name="ixRange309_1">#REF!</definedName>
    <definedName name="ixRange31">#REF!</definedName>
    <definedName name="ixRange31_1">#REF!</definedName>
    <definedName name="ixRange310">#REF!</definedName>
    <definedName name="ixRange310_1">#REF!</definedName>
    <definedName name="ixRange311">#REF!</definedName>
    <definedName name="ixRange311_1">#REF!</definedName>
    <definedName name="ixRange312">#REF!</definedName>
    <definedName name="ixRange312_1">#REF!</definedName>
    <definedName name="ixRange313">#REF!</definedName>
    <definedName name="ixRange313_1">#REF!</definedName>
    <definedName name="ixRange314">#REF!</definedName>
    <definedName name="ixRange314_1">#REF!</definedName>
    <definedName name="ixRange315">#REF!</definedName>
    <definedName name="ixRange315_1">#REF!</definedName>
    <definedName name="ixRange316">#REF!</definedName>
    <definedName name="ixRange316_1">#REF!</definedName>
    <definedName name="ixRange317">#REF!</definedName>
    <definedName name="ixRange317_1">#REF!</definedName>
    <definedName name="ixRange318">#REF!</definedName>
    <definedName name="ixRange318_1">#REF!</definedName>
    <definedName name="ixRange319">#REF!</definedName>
    <definedName name="ixRange319_1">#REF!</definedName>
    <definedName name="ixRange32">#REF!</definedName>
    <definedName name="ixRange32_1">#REF!</definedName>
    <definedName name="ixRange320">#REF!</definedName>
    <definedName name="ixRange320_1">#REF!</definedName>
    <definedName name="ixRange321">#REF!</definedName>
    <definedName name="ixRange321_1">#REF!</definedName>
    <definedName name="ixRange322">#REF!</definedName>
    <definedName name="ixRange322_1">#REF!</definedName>
    <definedName name="ixRange323">#REF!</definedName>
    <definedName name="ixRange323_1">#REF!</definedName>
    <definedName name="ixRange324">#REF!</definedName>
    <definedName name="ixRange324_1">#REF!</definedName>
    <definedName name="ixRange325">#REF!</definedName>
    <definedName name="ixRange325_1">#REF!</definedName>
    <definedName name="ixRange326">#REF!</definedName>
    <definedName name="ixRange326_1">#REF!</definedName>
    <definedName name="ixRange327">#REF!</definedName>
    <definedName name="ixRange327_1">#REF!</definedName>
    <definedName name="ixRange328">#REF!</definedName>
    <definedName name="ixRange328_1">#REF!</definedName>
    <definedName name="ixRange329">#REF!</definedName>
    <definedName name="ixRange329_1">#REF!</definedName>
    <definedName name="ixRange33">#REF!</definedName>
    <definedName name="ixRange33_1">#REF!</definedName>
    <definedName name="ixRange330">#REF!</definedName>
    <definedName name="ixRange330_1">#REF!</definedName>
    <definedName name="ixRange331">#REF!</definedName>
    <definedName name="ixRange331_1">#REF!</definedName>
    <definedName name="ixRange332">#REF!</definedName>
    <definedName name="ixRange332_1">#REF!</definedName>
    <definedName name="ixRange333">#REF!</definedName>
    <definedName name="ixRange333_1">#REF!</definedName>
    <definedName name="ixRange334">#REF!</definedName>
    <definedName name="ixRange334_1">#REF!</definedName>
    <definedName name="ixRange335">#REF!</definedName>
    <definedName name="ixRange335_1">#REF!</definedName>
    <definedName name="ixRange336">#REF!</definedName>
    <definedName name="ixRange336_1">#REF!</definedName>
    <definedName name="ixRange337">#REF!</definedName>
    <definedName name="ixRange337_1">#REF!</definedName>
    <definedName name="ixRange338">#REF!</definedName>
    <definedName name="ixRange338_1">#REF!</definedName>
    <definedName name="ixRange339">#REF!</definedName>
    <definedName name="ixRange339_1">#REF!</definedName>
    <definedName name="ixRange34">#REF!</definedName>
    <definedName name="ixRange34_1">#REF!</definedName>
    <definedName name="ixRange340">#REF!</definedName>
    <definedName name="ixRange340_1">#REF!</definedName>
    <definedName name="ixRange341">#REF!</definedName>
    <definedName name="ixRange341_1">#REF!</definedName>
    <definedName name="ixRange342">#REF!</definedName>
    <definedName name="ixRange342_1">#REF!</definedName>
    <definedName name="ixRange343">#REF!</definedName>
    <definedName name="ixRange343_1">#REF!</definedName>
    <definedName name="ixRange344">#REF!</definedName>
    <definedName name="ixRange344_1">#REF!</definedName>
    <definedName name="ixRange345">#REF!</definedName>
    <definedName name="ixRange345_1">#REF!</definedName>
    <definedName name="ixRange346">#REF!</definedName>
    <definedName name="ixRange346_1">#REF!</definedName>
    <definedName name="ixRange347">#REF!</definedName>
    <definedName name="ixRange347_1">#REF!</definedName>
    <definedName name="ixRange348">#REF!</definedName>
    <definedName name="ixRange348_1">#REF!</definedName>
    <definedName name="ixRange349">#REF!</definedName>
    <definedName name="ixRange349_1">#REF!</definedName>
    <definedName name="ixRange35">#REF!</definedName>
    <definedName name="ixRange35_1">#REF!</definedName>
    <definedName name="ixRange350">#REF!</definedName>
    <definedName name="ixRange350_1">#REF!</definedName>
    <definedName name="ixRange351">#REF!</definedName>
    <definedName name="ixRange351_1">#REF!</definedName>
    <definedName name="ixRange352">#REF!</definedName>
    <definedName name="ixRange352_1">#REF!</definedName>
    <definedName name="ixRange353">#REF!</definedName>
    <definedName name="ixRange353_1">#REF!</definedName>
    <definedName name="ixRange354">#REF!</definedName>
    <definedName name="ixRange354_1">#REF!</definedName>
    <definedName name="ixRange355">#REF!</definedName>
    <definedName name="ixRange355_1">#REF!</definedName>
    <definedName name="ixRange356">#REF!</definedName>
    <definedName name="ixRange356_1">#REF!</definedName>
    <definedName name="ixRange357">#REF!</definedName>
    <definedName name="ixRange357_1">#REF!</definedName>
    <definedName name="ixRange358">#REF!</definedName>
    <definedName name="ixRange358_1">#REF!</definedName>
    <definedName name="ixRange359">#REF!</definedName>
    <definedName name="ixRange359_1">#REF!</definedName>
    <definedName name="ixRange36">#REF!</definedName>
    <definedName name="ixRange36_1">#REF!</definedName>
    <definedName name="ixRange360">#REF!</definedName>
    <definedName name="ixRange360_1">#REF!</definedName>
    <definedName name="ixRange361">#REF!</definedName>
    <definedName name="ixRange361_1">#REF!</definedName>
    <definedName name="ixRange362">#REF!</definedName>
    <definedName name="ixRange362_1">#REF!</definedName>
    <definedName name="ixRange363">#REF!</definedName>
    <definedName name="ixRange363_1">#REF!</definedName>
    <definedName name="ixRange364">#REF!</definedName>
    <definedName name="ixRange364_1">#REF!</definedName>
    <definedName name="ixRange365">#REF!</definedName>
    <definedName name="ixRange365_1">#REF!</definedName>
    <definedName name="ixRange366">#REF!</definedName>
    <definedName name="ixRange366_1">#REF!</definedName>
    <definedName name="ixRange367">#REF!</definedName>
    <definedName name="ixRange367_1">#REF!</definedName>
    <definedName name="ixRange368">#REF!</definedName>
    <definedName name="ixRange368_1">#REF!</definedName>
    <definedName name="ixRange369">#REF!</definedName>
    <definedName name="ixRange369_1">#REF!</definedName>
    <definedName name="ixRange37">#REF!</definedName>
    <definedName name="ixRange37_1">#REF!</definedName>
    <definedName name="ixRange370">#REF!</definedName>
    <definedName name="ixRange370_1">#REF!</definedName>
    <definedName name="ixRange371">#REF!</definedName>
    <definedName name="ixRange371_1">#REF!</definedName>
    <definedName name="ixRange372">#REF!</definedName>
    <definedName name="ixRange372_1">#REF!</definedName>
    <definedName name="ixRange373">#REF!</definedName>
    <definedName name="ixRange373_1">#REF!</definedName>
    <definedName name="ixRange374">#REF!</definedName>
    <definedName name="ixRange374_1">#REF!</definedName>
    <definedName name="ixRange375">#REF!</definedName>
    <definedName name="ixRange375_1">#REF!</definedName>
    <definedName name="ixRange376">#REF!</definedName>
    <definedName name="ixRange376_1">#REF!</definedName>
    <definedName name="ixRange377">#REF!</definedName>
    <definedName name="ixRange377_1">#REF!</definedName>
    <definedName name="ixRange378">#REF!</definedName>
    <definedName name="ixRange378_1">#REF!</definedName>
    <definedName name="ixRange379">#REF!</definedName>
    <definedName name="ixRange379_1">#REF!</definedName>
    <definedName name="ixRange38">#REF!</definedName>
    <definedName name="ixRange38_1">#REF!</definedName>
    <definedName name="ixRange380">#REF!</definedName>
    <definedName name="ixRange380_1">#REF!</definedName>
    <definedName name="ixRange381">#REF!</definedName>
    <definedName name="ixRange381_1">#REF!</definedName>
    <definedName name="ixRange382">#REF!</definedName>
    <definedName name="ixRange382_1">#REF!</definedName>
    <definedName name="ixRange383">#REF!</definedName>
    <definedName name="ixRange383_1">#REF!</definedName>
    <definedName name="ixRange384">#REF!</definedName>
    <definedName name="ixRange384_1">#REF!</definedName>
    <definedName name="ixRange385">#REF!</definedName>
    <definedName name="ixRange385_1">#REF!</definedName>
    <definedName name="ixRange386">#REF!</definedName>
    <definedName name="ixRange386_1">#REF!</definedName>
    <definedName name="ixRange387">#REF!</definedName>
    <definedName name="ixRange387_1">#REF!</definedName>
    <definedName name="ixRange388">#REF!</definedName>
    <definedName name="ixRange388_1">#REF!</definedName>
    <definedName name="ixRange389">#REF!</definedName>
    <definedName name="ixRange389_1">#REF!</definedName>
    <definedName name="ixRange39">#REF!</definedName>
    <definedName name="ixRange39_1">#REF!</definedName>
    <definedName name="ixRange390">#REF!</definedName>
    <definedName name="ixRange390_1">#REF!</definedName>
    <definedName name="ixRange391">#REF!</definedName>
    <definedName name="ixRange391_1">#REF!</definedName>
    <definedName name="ixRange392">#REF!</definedName>
    <definedName name="ixRange392_1">#REF!</definedName>
    <definedName name="ixRange393">#REF!</definedName>
    <definedName name="ixRange393_1">#REF!</definedName>
    <definedName name="ixRange394">#REF!</definedName>
    <definedName name="ixRange394_1">#REF!</definedName>
    <definedName name="ixRange395">#REF!</definedName>
    <definedName name="ixRange395_1">#REF!</definedName>
    <definedName name="ixRange396">#REF!</definedName>
    <definedName name="ixRange396_1">#REF!</definedName>
    <definedName name="ixRange397">#REF!</definedName>
    <definedName name="ixRange397_1">#REF!</definedName>
    <definedName name="ixRange398">#REF!</definedName>
    <definedName name="ixRange398_1">#REF!</definedName>
    <definedName name="ixRange399">#REF!</definedName>
    <definedName name="ixRange399_1">#REF!</definedName>
    <definedName name="ixRange4">#REF!</definedName>
    <definedName name="ixRange4_1">#REF!</definedName>
    <definedName name="ixRange40">#REF!</definedName>
    <definedName name="ixRange40_1">#REF!</definedName>
    <definedName name="ixRange400">#REF!</definedName>
    <definedName name="ixRange400_1">#REF!</definedName>
    <definedName name="ixRange401">#REF!</definedName>
    <definedName name="ixRange401_1">#REF!</definedName>
    <definedName name="ixRange402">#REF!</definedName>
    <definedName name="ixRange402_1">#REF!</definedName>
    <definedName name="ixRange403">#REF!</definedName>
    <definedName name="ixRange403_1">#REF!</definedName>
    <definedName name="ixRange404">#REF!</definedName>
    <definedName name="ixRange404_1">#REF!</definedName>
    <definedName name="ixRange405">#REF!</definedName>
    <definedName name="ixRange405_1">#REF!</definedName>
    <definedName name="ixRange406">#REF!</definedName>
    <definedName name="ixRange406_1">#REF!</definedName>
    <definedName name="ixRange407">#REF!</definedName>
    <definedName name="ixRange407_1">#REF!</definedName>
    <definedName name="ixRange408">#REF!</definedName>
    <definedName name="ixRange408_1">#REF!</definedName>
    <definedName name="ixRange409">#REF!</definedName>
    <definedName name="ixRange409_1">#REF!</definedName>
    <definedName name="ixRange41">#REF!</definedName>
    <definedName name="ixRange41_1">#REF!</definedName>
    <definedName name="ixRange410">#REF!</definedName>
    <definedName name="ixRange410_1">#REF!</definedName>
    <definedName name="ixRange411">#REF!</definedName>
    <definedName name="ixRange411_1">#REF!</definedName>
    <definedName name="ixRange412">#REF!</definedName>
    <definedName name="ixRange412_1">#REF!</definedName>
    <definedName name="ixRange413">#REF!</definedName>
    <definedName name="ixRange413_1">#REF!</definedName>
    <definedName name="ixRange414">#REF!</definedName>
    <definedName name="ixRange414_1">#REF!</definedName>
    <definedName name="ixRange415">#REF!</definedName>
    <definedName name="ixRange415_1">#REF!</definedName>
    <definedName name="ixRange416">#REF!</definedName>
    <definedName name="ixRange416_1">#REF!</definedName>
    <definedName name="ixRange417">#REF!</definedName>
    <definedName name="ixRange417_1">#REF!</definedName>
    <definedName name="ixRange418">#REF!</definedName>
    <definedName name="ixRange418_1">#REF!</definedName>
    <definedName name="ixRange419">#REF!</definedName>
    <definedName name="ixRange419_1">#REF!</definedName>
    <definedName name="ixRange42">#REF!</definedName>
    <definedName name="ixRange42_1">#REF!</definedName>
    <definedName name="ixRange420">#REF!</definedName>
    <definedName name="ixRange420_1">#REF!</definedName>
    <definedName name="ixRange421">#REF!</definedName>
    <definedName name="ixRange421_1">#REF!</definedName>
    <definedName name="ixRange422">#REF!</definedName>
    <definedName name="ixRange422_1">#REF!</definedName>
    <definedName name="ixRange423">#REF!</definedName>
    <definedName name="ixRange423_1">#REF!</definedName>
    <definedName name="ixRange424">#REF!</definedName>
    <definedName name="ixRange424_1">#REF!</definedName>
    <definedName name="ixRange425">#REF!</definedName>
    <definedName name="ixRange425_1">#REF!</definedName>
    <definedName name="ixRange426">#REF!</definedName>
    <definedName name="ixRange426_1">#REF!</definedName>
    <definedName name="ixRange427">#REF!</definedName>
    <definedName name="ixRange427_1">#REF!</definedName>
    <definedName name="ixRange428">#REF!</definedName>
    <definedName name="ixRange428_1">#REF!</definedName>
    <definedName name="ixRange429">#REF!</definedName>
    <definedName name="ixRange429_1">#REF!</definedName>
    <definedName name="ixRange43">#REF!</definedName>
    <definedName name="ixRange43_1">#REF!</definedName>
    <definedName name="ixRange430">#REF!</definedName>
    <definedName name="ixRange430_1">#REF!</definedName>
    <definedName name="ixRange431">#REF!</definedName>
    <definedName name="ixRange431_1">#REF!</definedName>
    <definedName name="ixRange432">#REF!</definedName>
    <definedName name="ixRange432_1">#REF!</definedName>
    <definedName name="ixRange433">#REF!</definedName>
    <definedName name="ixRange433_1">#REF!</definedName>
    <definedName name="ixRange434">#REF!</definedName>
    <definedName name="ixRange434_1">#REF!</definedName>
    <definedName name="ixRange435">#REF!</definedName>
    <definedName name="ixRange435_1">#REF!</definedName>
    <definedName name="ixRange436">#REF!</definedName>
    <definedName name="ixRange436_1">#REF!</definedName>
    <definedName name="ixRange437">#REF!</definedName>
    <definedName name="ixRange437_1">#REF!</definedName>
    <definedName name="ixRange438">#REF!</definedName>
    <definedName name="ixRange438_1">#REF!</definedName>
    <definedName name="ixRange439">#REF!</definedName>
    <definedName name="ixRange439_1">#REF!</definedName>
    <definedName name="ixRange44">#REF!</definedName>
    <definedName name="ixRange44_1">#REF!</definedName>
    <definedName name="ixRange440">#REF!</definedName>
    <definedName name="ixRange440_1">#REF!</definedName>
    <definedName name="ixRange441">#REF!</definedName>
    <definedName name="ixRange441_1">#REF!</definedName>
    <definedName name="ixRange442">#REF!</definedName>
    <definedName name="ixRange442_1">#REF!</definedName>
    <definedName name="ixRange443">#REF!</definedName>
    <definedName name="ixRange443_1">#REF!</definedName>
    <definedName name="ixRange444">#REF!</definedName>
    <definedName name="ixRange444_1">#REF!</definedName>
    <definedName name="ixRange445">#REF!</definedName>
    <definedName name="ixRange445_1">#REF!</definedName>
    <definedName name="ixRange446">#REF!</definedName>
    <definedName name="ixRange446_1">#REF!</definedName>
    <definedName name="ixRange447">#REF!</definedName>
    <definedName name="ixRange447_1">#REF!</definedName>
    <definedName name="ixRange448">#REF!</definedName>
    <definedName name="ixRange448_1">#REF!</definedName>
    <definedName name="ixRange449">#REF!</definedName>
    <definedName name="ixRange449_1">#REF!</definedName>
    <definedName name="ixRange45">#REF!</definedName>
    <definedName name="ixRange45_1">#REF!</definedName>
    <definedName name="ixRange450">#REF!</definedName>
    <definedName name="ixRange450_1">#REF!</definedName>
    <definedName name="ixRange451">#REF!</definedName>
    <definedName name="ixRange451_1">#REF!</definedName>
    <definedName name="ixRange452">#REF!</definedName>
    <definedName name="ixRange452_1">#REF!</definedName>
    <definedName name="ixRange453">#REF!</definedName>
    <definedName name="ixRange453_1">#REF!</definedName>
    <definedName name="ixRange454">#REF!</definedName>
    <definedName name="ixRange454_1">#REF!</definedName>
    <definedName name="ixRange455">#REF!</definedName>
    <definedName name="ixRange455_1">#REF!</definedName>
    <definedName name="ixRange456">#REF!</definedName>
    <definedName name="ixRange456_1">#REF!</definedName>
    <definedName name="ixRange457">#REF!</definedName>
    <definedName name="ixRange457_1">#REF!</definedName>
    <definedName name="ixRange458">#REF!</definedName>
    <definedName name="ixRange458_1">#REF!</definedName>
    <definedName name="ixRange459">#REF!</definedName>
    <definedName name="ixRange459_1">#REF!</definedName>
    <definedName name="ixRange46">#REF!</definedName>
    <definedName name="ixRange46_1">#REF!</definedName>
    <definedName name="ixRange460">#REF!</definedName>
    <definedName name="ixRange460_1">#REF!</definedName>
    <definedName name="ixRange461">#REF!</definedName>
    <definedName name="ixRange461_1">#REF!</definedName>
    <definedName name="ixRange462">#REF!</definedName>
    <definedName name="ixRange462_1">#REF!</definedName>
    <definedName name="ixRange463">#REF!</definedName>
    <definedName name="ixRange463_1">#REF!</definedName>
    <definedName name="ixRange464">#REF!</definedName>
    <definedName name="ixRange464_1">#REF!</definedName>
    <definedName name="ixRange465">#REF!</definedName>
    <definedName name="ixRange465_1">#REF!</definedName>
    <definedName name="ixRange466">#REF!</definedName>
    <definedName name="ixRange466_1">#REF!</definedName>
    <definedName name="ixRange467">#REF!</definedName>
    <definedName name="ixRange467_1">#REF!</definedName>
    <definedName name="ixRange468">#REF!</definedName>
    <definedName name="ixRange468_1">#REF!</definedName>
    <definedName name="ixRange469">#REF!</definedName>
    <definedName name="ixRange469_1">#REF!</definedName>
    <definedName name="ixRange47">#REF!</definedName>
    <definedName name="ixRange47_1">#REF!</definedName>
    <definedName name="ixRange470">#REF!</definedName>
    <definedName name="ixRange470_1">#REF!</definedName>
    <definedName name="ixRange471">#REF!</definedName>
    <definedName name="ixRange471_1">#REF!</definedName>
    <definedName name="ixRange472">#REF!</definedName>
    <definedName name="ixRange472_1">#REF!</definedName>
    <definedName name="ixRange473">#REF!</definedName>
    <definedName name="ixRange473_1">#REF!</definedName>
    <definedName name="ixRange474">#REF!</definedName>
    <definedName name="ixRange474_1">#REF!</definedName>
    <definedName name="ixRange475">#REF!</definedName>
    <definedName name="ixRange475_1">#REF!</definedName>
    <definedName name="ixRange476">#REF!</definedName>
    <definedName name="ixRange476_1">#REF!</definedName>
    <definedName name="ixRange477">#REF!</definedName>
    <definedName name="ixRange477_1">#REF!</definedName>
    <definedName name="ixRange478">#REF!</definedName>
    <definedName name="ixRange478_1">#REF!</definedName>
    <definedName name="ixRange479">#REF!</definedName>
    <definedName name="ixRange479_1">#REF!</definedName>
    <definedName name="ixRange48">#REF!</definedName>
    <definedName name="ixRange48_1">#REF!</definedName>
    <definedName name="ixRange480">#REF!</definedName>
    <definedName name="ixRange480_1">#REF!</definedName>
    <definedName name="ixRange481">#REF!</definedName>
    <definedName name="ixRange481_1">#REF!</definedName>
    <definedName name="ixRange482">#REF!</definedName>
    <definedName name="ixRange482_1">#REF!</definedName>
    <definedName name="ixRange483">#REF!</definedName>
    <definedName name="ixRange483_1">#REF!</definedName>
    <definedName name="ixRange484">#REF!</definedName>
    <definedName name="ixRange484_1">#REF!</definedName>
    <definedName name="ixRange485">#REF!</definedName>
    <definedName name="ixRange485_1">#REF!</definedName>
    <definedName name="ixRange486">#REF!</definedName>
    <definedName name="ixRange486_1">#REF!</definedName>
    <definedName name="ixRange487">#REF!</definedName>
    <definedName name="ixRange487_1">#REF!</definedName>
    <definedName name="ixRange488">#REF!</definedName>
    <definedName name="ixRange488_1">#REF!</definedName>
    <definedName name="ixRange489">#REF!</definedName>
    <definedName name="ixRange489_1">#REF!</definedName>
    <definedName name="ixRange49">#REF!</definedName>
    <definedName name="ixRange49_1">#REF!</definedName>
    <definedName name="ixRange490">#REF!</definedName>
    <definedName name="ixRange490_1">#REF!</definedName>
    <definedName name="ixRange491">#REF!</definedName>
    <definedName name="ixRange491_1">#REF!</definedName>
    <definedName name="ixRange492">#REF!</definedName>
    <definedName name="ixRange492_1">#REF!</definedName>
    <definedName name="ixRange493">#REF!</definedName>
    <definedName name="ixRange493_1">#REF!</definedName>
    <definedName name="ixRange494">#REF!</definedName>
    <definedName name="ixRange494_1">#REF!</definedName>
    <definedName name="ixRange495">#REF!</definedName>
    <definedName name="ixRange495_1">#REF!</definedName>
    <definedName name="ixRange496">#REF!</definedName>
    <definedName name="ixRange496_1">#REF!</definedName>
    <definedName name="ixRange497">#REF!</definedName>
    <definedName name="ixRange497_1">#REF!</definedName>
    <definedName name="ixRange498">#REF!</definedName>
    <definedName name="ixRange498_1">#REF!</definedName>
    <definedName name="ixRange499">#REF!</definedName>
    <definedName name="ixRange499_1">#REF!</definedName>
    <definedName name="ixRange5">#REF!</definedName>
    <definedName name="ixRange5_1">#REF!</definedName>
    <definedName name="ixRange50">#REF!</definedName>
    <definedName name="ixRange50_1">#REF!</definedName>
    <definedName name="ixRange500">#REF!</definedName>
    <definedName name="ixRange500_1">#REF!</definedName>
    <definedName name="ixRange501">#REF!</definedName>
    <definedName name="ixRange501_1">#REF!</definedName>
    <definedName name="ixRange502">#REF!</definedName>
    <definedName name="ixRange502_1">#REF!</definedName>
    <definedName name="ixRange503">#REF!</definedName>
    <definedName name="ixRange503_1">#REF!</definedName>
    <definedName name="ixRange504">#REF!</definedName>
    <definedName name="ixRange504_1">#REF!</definedName>
    <definedName name="ixRange505">#REF!</definedName>
    <definedName name="ixRange505_1">#REF!</definedName>
    <definedName name="ixRange506">#REF!</definedName>
    <definedName name="ixRange506_1">#REF!</definedName>
    <definedName name="ixRange507">#REF!</definedName>
    <definedName name="ixRange507_1">#REF!</definedName>
    <definedName name="ixRange508">#REF!</definedName>
    <definedName name="ixRange508_1">#REF!</definedName>
    <definedName name="ixRange509">#REF!</definedName>
    <definedName name="ixRange509_1">#REF!</definedName>
    <definedName name="ixRange51">#REF!</definedName>
    <definedName name="ixRange51_1">#REF!</definedName>
    <definedName name="ixRange510">#REF!</definedName>
    <definedName name="ixRange510_1">#REF!</definedName>
    <definedName name="ixRange511">#REF!</definedName>
    <definedName name="ixRange511_1">#REF!</definedName>
    <definedName name="ixRange512">#REF!</definedName>
    <definedName name="ixRange512_1">#REF!</definedName>
    <definedName name="ixRange513">#REF!</definedName>
    <definedName name="ixRange513_1">#REF!</definedName>
    <definedName name="ixRange514">#REF!</definedName>
    <definedName name="ixRange514_1">#REF!</definedName>
    <definedName name="ixRange515">#REF!</definedName>
    <definedName name="ixRange515_1">#REF!</definedName>
    <definedName name="ixRange516">#REF!</definedName>
    <definedName name="ixRange516_1">#REF!</definedName>
    <definedName name="ixRange517">#REF!</definedName>
    <definedName name="ixRange517_1">#REF!</definedName>
    <definedName name="ixRange518">#REF!</definedName>
    <definedName name="ixRange518_1">#REF!</definedName>
    <definedName name="ixRange519">#REF!</definedName>
    <definedName name="ixRange519_1">#REF!</definedName>
    <definedName name="ixRange52">#REF!</definedName>
    <definedName name="ixRange52_1">#REF!</definedName>
    <definedName name="ixRange520">#REF!</definedName>
    <definedName name="ixRange520_1">#REF!</definedName>
    <definedName name="ixRange521">#REF!</definedName>
    <definedName name="ixRange521_1">#REF!</definedName>
    <definedName name="ixRange522">#REF!</definedName>
    <definedName name="ixRange522_1">#REF!</definedName>
    <definedName name="ixRange523">#REF!</definedName>
    <definedName name="ixRange523_1">#REF!</definedName>
    <definedName name="ixRange524">#REF!</definedName>
    <definedName name="ixRange524_1">#REF!</definedName>
    <definedName name="ixRange525">#REF!</definedName>
    <definedName name="ixRange525_1">#REF!</definedName>
    <definedName name="ixRange526">#REF!</definedName>
    <definedName name="ixRange526_1">#REF!</definedName>
    <definedName name="ixRange527">#REF!</definedName>
    <definedName name="ixRange527_1">#REF!</definedName>
    <definedName name="ixRange528">#REF!</definedName>
    <definedName name="ixRange528_1">#REF!</definedName>
    <definedName name="ixRange529">#REF!</definedName>
    <definedName name="ixRange529_1">#REF!</definedName>
    <definedName name="ixRange53">#REF!</definedName>
    <definedName name="ixRange53_1">#REF!</definedName>
    <definedName name="ixRange530">#REF!</definedName>
    <definedName name="ixRange530_1">#REF!</definedName>
    <definedName name="ixRange531">#REF!</definedName>
    <definedName name="ixRange531_1">#REF!</definedName>
    <definedName name="ixRange532">#REF!</definedName>
    <definedName name="ixRange532_1">#REF!</definedName>
    <definedName name="ixRange533">#REF!</definedName>
    <definedName name="ixRange533_1">#REF!</definedName>
    <definedName name="ixRange534">#REF!</definedName>
    <definedName name="ixRange534_1">#REF!</definedName>
    <definedName name="ixRange535">#REF!</definedName>
    <definedName name="ixRange535_1">#REF!</definedName>
    <definedName name="ixRange536">#REF!</definedName>
    <definedName name="ixRange536_1">#REF!</definedName>
    <definedName name="ixRange537">#REF!</definedName>
    <definedName name="ixRange537_1">#REF!</definedName>
    <definedName name="ixRange538">#REF!</definedName>
    <definedName name="ixRange538_1">#REF!</definedName>
    <definedName name="ixRange539">#REF!</definedName>
    <definedName name="ixRange539_1">#REF!</definedName>
    <definedName name="ixRange54">#REF!</definedName>
    <definedName name="ixRange54_1">#REF!</definedName>
    <definedName name="ixRange540">#REF!</definedName>
    <definedName name="ixRange540_1">#REF!</definedName>
    <definedName name="ixRange541">#REF!</definedName>
    <definedName name="ixRange541_1">#REF!</definedName>
    <definedName name="ixRange542">#REF!</definedName>
    <definedName name="ixRange542_1">#REF!</definedName>
    <definedName name="ixRange543">#REF!</definedName>
    <definedName name="ixRange543_1">#REF!</definedName>
    <definedName name="ixRange544">#REF!</definedName>
    <definedName name="ixRange544_1">#REF!</definedName>
    <definedName name="ixRange545">#REF!</definedName>
    <definedName name="ixRange545_1">#REF!</definedName>
    <definedName name="ixRange546">#REF!</definedName>
    <definedName name="ixRange546_1">#REF!</definedName>
    <definedName name="ixRange547">#REF!</definedName>
    <definedName name="ixRange547_1">#REF!</definedName>
    <definedName name="ixRange548">#REF!</definedName>
    <definedName name="ixRange548_1">#REF!</definedName>
    <definedName name="ixRange549">#REF!</definedName>
    <definedName name="ixRange549_1">#REF!</definedName>
    <definedName name="ixRange55">#REF!</definedName>
    <definedName name="ixRange55_1">#REF!</definedName>
    <definedName name="ixRange550">#REF!</definedName>
    <definedName name="ixRange550_1">#REF!</definedName>
    <definedName name="ixRange551">#REF!</definedName>
    <definedName name="ixRange551_1">#REF!</definedName>
    <definedName name="ixRange552">#REF!</definedName>
    <definedName name="ixRange552_1">#REF!</definedName>
    <definedName name="ixRange553">#REF!</definedName>
    <definedName name="ixRange553_1">#REF!</definedName>
    <definedName name="ixRange554">#REF!</definedName>
    <definedName name="ixRange554_1">#REF!</definedName>
    <definedName name="ixRange555">#REF!</definedName>
    <definedName name="ixRange555_1">#REF!</definedName>
    <definedName name="ixRange556">#REF!</definedName>
    <definedName name="ixRange556_1">#REF!</definedName>
    <definedName name="ixRange557">#REF!</definedName>
    <definedName name="ixRange557_1">#REF!</definedName>
    <definedName name="ixRange558">#REF!</definedName>
    <definedName name="ixRange558_1">#REF!</definedName>
    <definedName name="ixRange559">#REF!</definedName>
    <definedName name="ixRange559_1">#REF!</definedName>
    <definedName name="ixRange56">#REF!</definedName>
    <definedName name="ixRange56_1">#REF!</definedName>
    <definedName name="ixRange560">#REF!</definedName>
    <definedName name="ixRange560_1">#REF!</definedName>
    <definedName name="ixRange561">#REF!</definedName>
    <definedName name="ixRange561_1">#REF!</definedName>
    <definedName name="ixRange562">#REF!</definedName>
    <definedName name="ixRange562_1">#REF!</definedName>
    <definedName name="ixRange563">#REF!</definedName>
    <definedName name="ixRange563_1">#REF!</definedName>
    <definedName name="ixRange564">#REF!</definedName>
    <definedName name="ixRange564_1">#REF!</definedName>
    <definedName name="ixRange565">#REF!</definedName>
    <definedName name="ixRange566">#REF!</definedName>
    <definedName name="ixRange567">#REF!</definedName>
    <definedName name="ixRange568">#REF!</definedName>
    <definedName name="ixRange569">#REF!</definedName>
    <definedName name="ixRange57">#REF!</definedName>
    <definedName name="ixRange57_1">#REF!</definedName>
    <definedName name="ixRange570">#REF!</definedName>
    <definedName name="ixRange571">#REF!</definedName>
    <definedName name="ixRange572">#REF!</definedName>
    <definedName name="ixRange573">#REF!</definedName>
    <definedName name="ixRange574">#REF!</definedName>
    <definedName name="ixRange575">#REF!</definedName>
    <definedName name="ixRange576">#REF!</definedName>
    <definedName name="ixRange577">#REF!</definedName>
    <definedName name="ixRange578">#REF!</definedName>
    <definedName name="ixRange579">#REF!</definedName>
    <definedName name="ixRange58">#REF!</definedName>
    <definedName name="ixRange58_1">#REF!</definedName>
    <definedName name="ixRange580">#REF!</definedName>
    <definedName name="ixRange581">#REF!</definedName>
    <definedName name="ixRange582">#REF!</definedName>
    <definedName name="ixRange583">#REF!</definedName>
    <definedName name="ixRange584">#REF!</definedName>
    <definedName name="ixRange585">#REF!</definedName>
    <definedName name="ixRange586">#REF!</definedName>
    <definedName name="ixRange587">#REF!</definedName>
    <definedName name="ixRange588">#REF!</definedName>
    <definedName name="ixRange589">#REF!</definedName>
    <definedName name="ixRange59">#REF!</definedName>
    <definedName name="ixRange59_1">#REF!</definedName>
    <definedName name="ixRange590">#REF!</definedName>
    <definedName name="ixRange591">#REF!</definedName>
    <definedName name="ixRange592">#REF!</definedName>
    <definedName name="ixRange593">#REF!</definedName>
    <definedName name="ixRange594">#REF!</definedName>
    <definedName name="ixRange595">#REF!</definedName>
    <definedName name="ixRange596">#REF!</definedName>
    <definedName name="ixRange597">#REF!</definedName>
    <definedName name="ixRange598">#REF!</definedName>
    <definedName name="ixRange599">#REF!</definedName>
    <definedName name="ixRange6">#REF!</definedName>
    <definedName name="ixRange6_1">#REF!</definedName>
    <definedName name="ixRange60">#REF!</definedName>
    <definedName name="ixRange60_1">#REF!</definedName>
    <definedName name="ixRange600">#REF!</definedName>
    <definedName name="ixRange601">#REF!</definedName>
    <definedName name="ixRange602">#REF!</definedName>
    <definedName name="ixRange603">#REF!</definedName>
    <definedName name="ixRange604">#REF!</definedName>
    <definedName name="ixRange605">#REF!</definedName>
    <definedName name="ixRange606">#REF!</definedName>
    <definedName name="ixRange607">#REF!</definedName>
    <definedName name="ixRange608">#REF!</definedName>
    <definedName name="ixRange609">#REF!</definedName>
    <definedName name="ixRange61">#REF!</definedName>
    <definedName name="ixRange61_1">#REF!</definedName>
    <definedName name="ixRange610">#REF!</definedName>
    <definedName name="ixRange611">#REF!</definedName>
    <definedName name="ixRange612">#REF!</definedName>
    <definedName name="ixRange613">#REF!</definedName>
    <definedName name="ixRange614">#REF!</definedName>
    <definedName name="ixRange615">#REF!</definedName>
    <definedName name="ixRange616">#REF!</definedName>
    <definedName name="ixRange617">#REF!</definedName>
    <definedName name="ixRange618">#REF!</definedName>
    <definedName name="ixRange619">#REF!</definedName>
    <definedName name="ixRange62">#REF!</definedName>
    <definedName name="ixRange62_1">#REF!</definedName>
    <definedName name="ixRange620">#REF!</definedName>
    <definedName name="ixRange621">#REF!</definedName>
    <definedName name="ixRange622">#REF!</definedName>
    <definedName name="ixRange623">#REF!</definedName>
    <definedName name="ixRange624">#REF!</definedName>
    <definedName name="ixRange625">#REF!</definedName>
    <definedName name="ixRange626">#REF!</definedName>
    <definedName name="ixRange627">#REF!</definedName>
    <definedName name="ixRange628">#REF!</definedName>
    <definedName name="ixRange629">#REF!</definedName>
    <definedName name="ixRange63">#REF!</definedName>
    <definedName name="ixRange63_1">#REF!</definedName>
    <definedName name="ixRange630">#REF!</definedName>
    <definedName name="ixRange631">#REF!</definedName>
    <definedName name="ixRange632">#REF!</definedName>
    <definedName name="ixRange633">#REF!</definedName>
    <definedName name="ixRange634">#REF!</definedName>
    <definedName name="ixRange635">#REF!</definedName>
    <definedName name="ixRange636">#REF!</definedName>
    <definedName name="ixRange637">#REF!</definedName>
    <definedName name="ixRange638">#REF!</definedName>
    <definedName name="ixRange639">#REF!</definedName>
    <definedName name="ixRange64">#REF!</definedName>
    <definedName name="ixRange64_1">#REF!</definedName>
    <definedName name="ixRange640">#REF!</definedName>
    <definedName name="ixRange641">#REF!</definedName>
    <definedName name="ixRange642">#REF!</definedName>
    <definedName name="ixRange643">#REF!</definedName>
    <definedName name="ixRange644">#REF!</definedName>
    <definedName name="ixRange645">#REF!</definedName>
    <definedName name="ixRange646">#REF!</definedName>
    <definedName name="ixRange647">#REF!</definedName>
    <definedName name="ixRange648">#REF!</definedName>
    <definedName name="ixRange649">#REF!</definedName>
    <definedName name="ixRange65">#REF!</definedName>
    <definedName name="ixRange65_1">#REF!</definedName>
    <definedName name="ixRange650">#REF!</definedName>
    <definedName name="ixRange651">#REF!</definedName>
    <definedName name="ixRange652">#REF!</definedName>
    <definedName name="ixRange653">#REF!</definedName>
    <definedName name="ixRange654">#REF!</definedName>
    <definedName name="ixRange655">#REF!</definedName>
    <definedName name="ixRange656">#REF!</definedName>
    <definedName name="ixRange657">#REF!</definedName>
    <definedName name="ixRange658">#REF!</definedName>
    <definedName name="ixRange659">#REF!</definedName>
    <definedName name="ixRange66">#REF!</definedName>
    <definedName name="ixRange66_1">#REF!</definedName>
    <definedName name="ixRange660">#REF!</definedName>
    <definedName name="ixRange661">#REF!</definedName>
    <definedName name="ixRange662">#REF!</definedName>
    <definedName name="ixRange663">#REF!</definedName>
    <definedName name="ixRange664">#REF!</definedName>
    <definedName name="ixRange665">#REF!</definedName>
    <definedName name="ixRange666">#REF!</definedName>
    <definedName name="ixRange667">#REF!</definedName>
    <definedName name="ixRange668">#REF!</definedName>
    <definedName name="ixRange669">#REF!</definedName>
    <definedName name="ixRange67">#REF!</definedName>
    <definedName name="ixRange67_1">#REF!</definedName>
    <definedName name="ixRange670">#REF!</definedName>
    <definedName name="ixRange671">#REF!</definedName>
    <definedName name="ixRange672">#REF!</definedName>
    <definedName name="ixRange673">#REF!</definedName>
    <definedName name="ixRange674">#REF!</definedName>
    <definedName name="ixRange675">#REF!</definedName>
    <definedName name="ixRange676">#REF!</definedName>
    <definedName name="ixRange677">#REF!</definedName>
    <definedName name="ixRange678">#REF!</definedName>
    <definedName name="ixRange679">#REF!</definedName>
    <definedName name="ixRange68">#REF!</definedName>
    <definedName name="ixRange68_1">#REF!</definedName>
    <definedName name="ixRange680">#REF!</definedName>
    <definedName name="ixRange681">#REF!</definedName>
    <definedName name="ixRange682">#REF!</definedName>
    <definedName name="ixRange683">#REF!</definedName>
    <definedName name="ixRange684">#REF!</definedName>
    <definedName name="ixRange685">#REF!</definedName>
    <definedName name="ixRange686">#REF!</definedName>
    <definedName name="ixRange687">#REF!</definedName>
    <definedName name="ixRange688">#REF!</definedName>
    <definedName name="ixRange689">#REF!</definedName>
    <definedName name="ixRange69">#REF!</definedName>
    <definedName name="ixRange69_1">#REF!</definedName>
    <definedName name="ixRange690">#REF!</definedName>
    <definedName name="ixRange691">#REF!</definedName>
    <definedName name="ixRange692">#REF!</definedName>
    <definedName name="ixRange693">#REF!</definedName>
    <definedName name="ixRange694">#REF!</definedName>
    <definedName name="ixRange695">#REF!</definedName>
    <definedName name="ixRange696">#REF!</definedName>
    <definedName name="ixRange697">#REF!</definedName>
    <definedName name="ixRange698">#REF!</definedName>
    <definedName name="ixRange699">#REF!</definedName>
    <definedName name="ixRange7">#REF!</definedName>
    <definedName name="ixRange7_1">#REF!</definedName>
    <definedName name="ixRange70">#REF!</definedName>
    <definedName name="ixRange70_1">#REF!</definedName>
    <definedName name="ixRange700">#REF!</definedName>
    <definedName name="ixRange701">#REF!</definedName>
    <definedName name="ixRange702">#REF!</definedName>
    <definedName name="ixRange703">#REF!</definedName>
    <definedName name="ixRange704">#REF!</definedName>
    <definedName name="ixRange705">#REF!</definedName>
    <definedName name="ixRange706">#REF!</definedName>
    <definedName name="ixRange707">#REF!</definedName>
    <definedName name="ixRange708">#REF!</definedName>
    <definedName name="ixRange709">#REF!</definedName>
    <definedName name="ixRange71">#REF!</definedName>
    <definedName name="ixRange71_1">#REF!</definedName>
    <definedName name="ixRange710">#REF!</definedName>
    <definedName name="ixRange711">#REF!</definedName>
    <definedName name="ixRange712">#REF!</definedName>
    <definedName name="ixRange713">#REF!</definedName>
    <definedName name="ixRange714">#REF!</definedName>
    <definedName name="ixRange715">#REF!</definedName>
    <definedName name="ixRange716">#REF!</definedName>
    <definedName name="ixRange717">#REF!</definedName>
    <definedName name="ixRange718">#REF!</definedName>
    <definedName name="ixRange719">#REF!</definedName>
    <definedName name="ixRange72">#REF!</definedName>
    <definedName name="ixRange72_1">#REF!</definedName>
    <definedName name="ixRange720">#REF!</definedName>
    <definedName name="ixRange721">#REF!</definedName>
    <definedName name="ixRange722">#REF!</definedName>
    <definedName name="ixRange723">#REF!</definedName>
    <definedName name="ixRange724">#REF!</definedName>
    <definedName name="ixRange725">#REF!</definedName>
    <definedName name="ixRange726">#REF!</definedName>
    <definedName name="ixRange727">#REF!</definedName>
    <definedName name="ixRange728">#REF!</definedName>
    <definedName name="ixRange729">#REF!</definedName>
    <definedName name="ixRange73">#REF!</definedName>
    <definedName name="ixRange73_1">#REF!</definedName>
    <definedName name="ixRange730">#REF!</definedName>
    <definedName name="ixRange731">#REF!</definedName>
    <definedName name="ixRange732">#REF!</definedName>
    <definedName name="ixRange733">#REF!</definedName>
    <definedName name="ixRange734">#REF!</definedName>
    <definedName name="ixRange735">#REF!</definedName>
    <definedName name="ixRange736">#REF!</definedName>
    <definedName name="ixRange737">#REF!</definedName>
    <definedName name="ixRange738">#REF!</definedName>
    <definedName name="ixRange739">#REF!</definedName>
    <definedName name="ixRange74">#REF!</definedName>
    <definedName name="ixRange74_1">#REF!</definedName>
    <definedName name="ixRange740">#REF!</definedName>
    <definedName name="ixRange741">#REF!</definedName>
    <definedName name="ixRange742">#REF!</definedName>
    <definedName name="ixRange743">#REF!</definedName>
    <definedName name="ixRange744">#REF!</definedName>
    <definedName name="ixRange745">#REF!</definedName>
    <definedName name="ixRange746">#REF!</definedName>
    <definedName name="ixRange747">#REF!</definedName>
    <definedName name="ixRange748">#REF!</definedName>
    <definedName name="ixRange749">#REF!</definedName>
    <definedName name="ixRange75">#REF!</definedName>
    <definedName name="ixRange75_1">#REF!</definedName>
    <definedName name="ixRange750">#REF!</definedName>
    <definedName name="ixRange76">#REF!</definedName>
    <definedName name="ixRange76_1">#REF!</definedName>
    <definedName name="ixRange761">#REF!</definedName>
    <definedName name="ixRange77">#REF!</definedName>
    <definedName name="ixRange77_1">#REF!</definedName>
    <definedName name="ixRange78">#REF!</definedName>
    <definedName name="ixRange78_1">#REF!</definedName>
    <definedName name="ixRange780">#REF!</definedName>
    <definedName name="ixRange79">#REF!</definedName>
    <definedName name="ixRange79_1">#REF!</definedName>
    <definedName name="ixRange8">#REF!</definedName>
    <definedName name="ixRange8_1">#REF!</definedName>
    <definedName name="ixRange80">#REF!</definedName>
    <definedName name="ixRange80_1">#REF!</definedName>
    <definedName name="ixRange81">#REF!</definedName>
    <definedName name="ixRange81_1">#REF!</definedName>
    <definedName name="ixRange82">#REF!</definedName>
    <definedName name="ixRange82_1">#REF!</definedName>
    <definedName name="ixRange83">#REF!</definedName>
    <definedName name="ixRange83_1">#REF!</definedName>
    <definedName name="ixRange84">#REF!</definedName>
    <definedName name="ixRange84_1">#REF!</definedName>
    <definedName name="ixRange85">#REF!</definedName>
    <definedName name="ixRange85_1">#REF!</definedName>
    <definedName name="ixRange86">#REF!</definedName>
    <definedName name="ixRange86_1">#REF!</definedName>
    <definedName name="ixRange87">#REF!</definedName>
    <definedName name="ixRange87_1">#REF!</definedName>
    <definedName name="ixRange88">#REF!</definedName>
    <definedName name="ixRange88_1">#REF!</definedName>
    <definedName name="ixRange89">#REF!</definedName>
    <definedName name="ixRange89_1">#REF!</definedName>
    <definedName name="ixRange9">#REF!</definedName>
    <definedName name="ixRange9_1">#REF!</definedName>
    <definedName name="ixRange90">#REF!</definedName>
    <definedName name="ixRange90_1">#REF!</definedName>
    <definedName name="ixRange91">#REF!</definedName>
    <definedName name="ixRange91_1">#REF!</definedName>
    <definedName name="ixRange92">#REF!</definedName>
    <definedName name="ixRange92_1">#REF!</definedName>
    <definedName name="ixRange93">#REF!</definedName>
    <definedName name="ixRange93_1">#REF!</definedName>
    <definedName name="ixRange94">#REF!</definedName>
    <definedName name="ixRange94_1">#REF!</definedName>
    <definedName name="ixRange95">#REF!</definedName>
    <definedName name="ixRange95_1">#REF!</definedName>
    <definedName name="ixRange96">#REF!</definedName>
    <definedName name="ixRange96_1">#REF!</definedName>
    <definedName name="ixRange97">#REF!</definedName>
    <definedName name="ixRange97_1">#REF!</definedName>
    <definedName name="ixRange98">#REF!</definedName>
    <definedName name="ixRange98_1">#REF!</definedName>
    <definedName name="ixRange99">#REF!</definedName>
    <definedName name="ixRange99_1">#REF!</definedName>
    <definedName name="IZS">#REF!</definedName>
    <definedName name="Jan">#REF!</definedName>
    <definedName name="Jan09SPEND">#REF!</definedName>
    <definedName name="jfdijf">#REF!</definedName>
    <definedName name="JKHJF">#REF!</definedName>
    <definedName name="JNL">#REF!</definedName>
    <definedName name="JPYEOMSPOT">#REF!</definedName>
    <definedName name="Jul">#REF!</definedName>
    <definedName name="JUL09SPEND">#REF!</definedName>
    <definedName name="Jun">#REF!</definedName>
    <definedName name="jun08data">#REF!</definedName>
    <definedName name="JUN09SPEND">#REF!</definedName>
    <definedName name="June08">#REF!</definedName>
    <definedName name="Katnook">#REF!</definedName>
    <definedName name="KCAPrint">#REF!</definedName>
    <definedName name="Kleenheat">#REF!</definedName>
    <definedName name="KoganNorthAdminFee">#REF!</definedName>
    <definedName name="KoganNorthBookBase">#REF!</definedName>
    <definedName name="KoganNorthBookDepnRate">#REF!</definedName>
    <definedName name="KoganNorthBookLife">#REF!</definedName>
    <definedName name="KoganNorthEndOps">#REF!</definedName>
    <definedName name="KoganNorthOMMargin">#REF!</definedName>
    <definedName name="KoganNorthOpexContingency">#REF!</definedName>
    <definedName name="KoganNorthOpexSens">#REF!</definedName>
    <definedName name="KoganNorthOpsFlag">#REF!</definedName>
    <definedName name="KoganNorthOpsStart">#REF!</definedName>
    <definedName name="KoganNorthOptionAmount">#REF!</definedName>
    <definedName name="KoganNorthOptionExerciseDate">#REF!</definedName>
    <definedName name="KoganNorthOptionIndicator">#REF!</definedName>
    <definedName name="KoganNorthRealInsurance">#REF!</definedName>
    <definedName name="KoganNorthRealOpex">#REF!</definedName>
    <definedName name="KoganNorthRealRev">#REF!</definedName>
    <definedName name="KoganNorthRevSens">#REF!</definedName>
    <definedName name="KoganNorthTaxBase">#REF!</definedName>
    <definedName name="LABELTEXTCOLUMN1">#REF!</definedName>
    <definedName name="LABELTEXTROW1">#REF!</definedName>
    <definedName name="LastMonth">#REF!</definedName>
    <definedName name="laterals">#REF!</definedName>
    <definedName name="Latrobe03">#REF!</definedName>
    <definedName name="LCCtnAmount">#REF!</definedName>
    <definedName name="LCCtnDrawnAmount">#REF!</definedName>
    <definedName name="LCCtnMarginTable">#REF!</definedName>
    <definedName name="LCFacBuffer">#REF!</definedName>
    <definedName name="LCFacilitySwitch">#REF!</definedName>
    <definedName name="LeadIndicator">#REF!</definedName>
    <definedName name="LEASE">#REF!</definedName>
    <definedName name="LeaseReceivableDiff">#REF!</definedName>
    <definedName name="LeaseReceivableDiscRate">#REF!</definedName>
    <definedName name="Led">#REF!</definedName>
    <definedName name="LetterA17">#REF!</definedName>
    <definedName name="LetterA20">#REF!</definedName>
    <definedName name="LF">#REF!</definedName>
    <definedName name="Lfmktrate">#REF!</definedName>
    <definedName name="liability">#REF!</definedName>
    <definedName name="limcount" hidden="1">1</definedName>
    <definedName name="List.PayFreq">#REF!</definedName>
    <definedName name="List.States">#REF!</definedName>
    <definedName name="List.YN">#REF!</definedName>
    <definedName name="Lithogow">#REF!</definedName>
    <definedName name="LoansForgiven">#REF!</definedName>
    <definedName name="LockupDSCR">#REF!</definedName>
    <definedName name="LOG_No.">#REF!</definedName>
    <definedName name="Lookup">#REF!</definedName>
    <definedName name="Lookup_sheets">#REF!</definedName>
    <definedName name="LTI_Per_Cent">#REF!</definedName>
    <definedName name="LU_Denom">#REF!</definedName>
    <definedName name="LU_Halves">#REF!</definedName>
    <definedName name="LU_Mths">#REF!</definedName>
    <definedName name="LU_Per_Names">#REF!</definedName>
    <definedName name="LU_Pers">#REF!</definedName>
    <definedName name="LU_Pers_In_Yr">#REF!</definedName>
    <definedName name="LU_Qtrs">#REF!</definedName>
    <definedName name="LU_Yes_No">#REF!</definedName>
    <definedName name="LYN">#REF!</definedName>
    <definedName name="Lytton">#REF!</definedName>
    <definedName name="m_no">#REF!</definedName>
    <definedName name="Mackay">#REF!</definedName>
    <definedName name="Mackay_Cost">#REF!</definedName>
    <definedName name="MAIN">#REF!</definedName>
    <definedName name="MAINT">#REF!</definedName>
    <definedName name="Maintenance">#REF!</definedName>
    <definedName name="makeupgas">#REF!</definedName>
    <definedName name="Map">#REF!</definedName>
    <definedName name="MAP_Retail_Vol">#REF!</definedName>
    <definedName name="MAP_Wholesale_Vol">#REF!</definedName>
    <definedName name="Mar">#REF!</definedName>
    <definedName name="MAR09SPEND">#REF!</definedName>
    <definedName name="MAR10SPEND">#REF!</definedName>
    <definedName name="margin">#REF!</definedName>
    <definedName name="MarubeniShare">#REF!</definedName>
    <definedName name="Maryborough">#REF!</definedName>
    <definedName name="Maryborough_cost">#REF!</definedName>
    <definedName name="MaryboroughPrison">#REF!</definedName>
    <definedName name="MaxFacilitiesReq">#REF!</definedName>
    <definedName name="MaxX">#REF!</definedName>
    <definedName name="May">#REF!</definedName>
    <definedName name="MAY09AL">#REF!</definedName>
    <definedName name="MAY09SPEND">#REF!</definedName>
    <definedName name="MAY09TB">#REF!</definedName>
    <definedName name="MCMS_AS_Jun">#REF!</definedName>
    <definedName name="MCMS_OM_Jun">#REF!</definedName>
    <definedName name="MCMS_SP_Jun">#REF!</definedName>
    <definedName name="MDQ">#REF!</definedName>
    <definedName name="MDQ_Cost">#REF!</definedName>
    <definedName name="MDQc">#REF!</definedName>
    <definedName name="medvolsheet">#REF!</definedName>
    <definedName name="MER">#REF!</definedName>
    <definedName name="meter">#REF!</definedName>
    <definedName name="METRICSLIST">#REF!</definedName>
    <definedName name="METRICSTAB">#REF!</definedName>
    <definedName name="MezzHsty">#REF!</definedName>
    <definedName name="MezzSch">#REF!</definedName>
    <definedName name="MgmtRgts_B002">#REF!</definedName>
    <definedName name="MHFile">#REF!</definedName>
    <definedName name="mhpath">#REF!</definedName>
    <definedName name="MHQ">#REF!</definedName>
    <definedName name="MIDWESTSUMM">#REF!</definedName>
    <definedName name="Mild_cust">#REF!</definedName>
    <definedName name="MILDURA_BudgetData">#REF!</definedName>
    <definedName name="Million">#REF!</definedName>
    <definedName name="Millions">#REF!</definedName>
    <definedName name="MinCashFlowDate">#REF!</definedName>
    <definedName name="MinChg">#REF!</definedName>
    <definedName name="MinPayTarBud03">#REF!</definedName>
    <definedName name="Mins_In_Hr">#REF!</definedName>
    <definedName name="MinX">#REF!</definedName>
    <definedName name="MinYear">#REF!</definedName>
    <definedName name="MizuhoMaxSwap">#REF!</definedName>
    <definedName name="MizuhoTermDebt">#REF!</definedName>
    <definedName name="MLACCC_CorpTaxRate">#REF!</definedName>
    <definedName name="MLACCC_InflationRate">#REF!</definedName>
    <definedName name="MLACCC_LTPropDebtFunding">#REF!</definedName>
    <definedName name="MLACCC_LTPropEquityFunding">#REF!</definedName>
    <definedName name="MLACCC_NomPreTaxCostOfDebt">#REF!</definedName>
    <definedName name="MLACCC_PropFrankingCredits">#REF!</definedName>
    <definedName name="MLACCC_RealAssetLife_1">#REF!</definedName>
    <definedName name="MLACCC_RealAssetLife_2">#REF!</definedName>
    <definedName name="MLACCC_RealAssetLife_3">#REF!</definedName>
    <definedName name="MLACCC_RealAssetValue_1">#REF!</definedName>
    <definedName name="MLACCC_RealAssetValue_2">#REF!</definedName>
    <definedName name="MLACCC_RealAssetValue_3">#REF!</definedName>
    <definedName name="MLACCC_RealAssetValueOB_1">#REF!</definedName>
    <definedName name="MLACCC_RealAssetValueOB_2">#REF!</definedName>
    <definedName name="MLACCC_RealAssetValueOB_3">#REF!</definedName>
    <definedName name="MLACCC_TaxAssetLife_1">#REF!</definedName>
    <definedName name="MLACCC_TaxAssetLife_2">#REF!</definedName>
    <definedName name="MLACCC_TaxAssetLife_3">#REF!</definedName>
    <definedName name="MLACCC_TaxAssetValue_1">#REF!</definedName>
    <definedName name="MLACCC_TaxAssetValue_2">#REF!</definedName>
    <definedName name="MLACCC_TaxAssetValue_3">#REF!</definedName>
    <definedName name="MLACCC_TaxAssetValueOB_1">#REF!</definedName>
    <definedName name="MLACCC_TaxAssetValueOB_2">#REF!</definedName>
    <definedName name="MLACCC_TaxAssetValueOB_3">#REF!</definedName>
    <definedName name="MLAssetClass_1BookOriginal">#REF!</definedName>
    <definedName name="MLAssetClass_1TaxOriginal">#REF!</definedName>
    <definedName name="MLAssetClass_2BookOriginal">#REF!</definedName>
    <definedName name="MLAssetClass_2TaxOriginal">#REF!</definedName>
    <definedName name="MLAssetClass_3BookOriginal">#REF!</definedName>
    <definedName name="MLAssetClass_3TaxOriginal">#REF!</definedName>
    <definedName name="MLAssetClass_4BookOriginal">#REF!</definedName>
    <definedName name="MLAssetClass_4TaxOriginal">#REF!</definedName>
    <definedName name="MLAssetClass_5BookOriginal">#REF!</definedName>
    <definedName name="MLAssetClass_5TaxOriginal">#REF!</definedName>
    <definedName name="MLAssetClass_ProjectPool">#REF!</definedName>
    <definedName name="MLBookDepnRateAssetClass_1">#REF!</definedName>
    <definedName name="MLBookDepnRateAssetClass_2">#REF!</definedName>
    <definedName name="MLBookDepnRateAssetClass_3">#REF!</definedName>
    <definedName name="MLBookDepnRateAssetClass_4">#REF!</definedName>
    <definedName name="MLBookDepnRateAssetClass_5">#REF!</definedName>
    <definedName name="MLBookDepnRateCapex">#REF!</definedName>
    <definedName name="MLCapexBaseDate">#REF!</definedName>
    <definedName name="MLCapexInd">#REF!</definedName>
    <definedName name="MLEndOps">#REF!</definedName>
    <definedName name="MLFifthRegResetDate">#REF!</definedName>
    <definedName name="MLFirstRegResetDate">#REF!</definedName>
    <definedName name="MLFourthRegResetDate">#REF!</definedName>
    <definedName name="MLOMMargin">#REF!</definedName>
    <definedName name="MLOMPerformancePerc">#REF!</definedName>
    <definedName name="MLOpexContingency">#REF!</definedName>
    <definedName name="MLOpexEscDate">#REF!</definedName>
    <definedName name="MLOpexSens">#REF!</definedName>
    <definedName name="MLOpsFlag">#REF!</definedName>
    <definedName name="MLRABCapexAssetLife">#REF!</definedName>
    <definedName name="MLRegCostsInd">#REF!</definedName>
    <definedName name="MLRegPeriodStart">#REF!</definedName>
    <definedName name="MLRegResetAssTable">#REF!</definedName>
    <definedName name="MLTaxDepnRateAssetClass_1">#REF!</definedName>
    <definedName name="MLTaxDepnRateAssetClass_2">#REF!</definedName>
    <definedName name="MLTaxDepnRateAssetClass_3">#REF!</definedName>
    <definedName name="MLTaxDepnRateAssetClass_4">#REF!</definedName>
    <definedName name="MLTaxDepnRateAssetClass_5">#REF!</definedName>
    <definedName name="MLTaxDepnRateAssetClass_ProjectPool">#REF!</definedName>
    <definedName name="MLTaxDepnRateCapex">#REF!</definedName>
    <definedName name="MLThirdRegResetDate">#REF!</definedName>
    <definedName name="MLYearsRegReset">#REF!</definedName>
    <definedName name="Model_Input">#REF!</definedName>
    <definedName name="Model_Start_Date">#REF!</definedName>
    <definedName name="ModelStartDate">#REF!</definedName>
    <definedName name="Month">#REF!</definedName>
    <definedName name="MonthEnd">#REF!</definedName>
    <definedName name="MonthNum">#REF!</definedName>
    <definedName name="Months">#REF!</definedName>
    <definedName name="MonthsInYear">#REF!</definedName>
    <definedName name="Moomba">#REF!</definedName>
    <definedName name="moomba1">#REF!</definedName>
    <definedName name="Moomba2">#REF!</definedName>
    <definedName name="Moombap">#REF!</definedName>
    <definedName name="MPS_Rating_2011">#REF!</definedName>
    <definedName name="MRAIndicator">#REF!</definedName>
    <definedName name="MRAYears">#REF!</definedName>
    <definedName name="Mrp">#REF!</definedName>
    <definedName name="MSP_TT">#REF!</definedName>
    <definedName name="MSPCONS">#REF!</definedName>
    <definedName name="mspdetailed">#REF!</definedName>
    <definedName name="MSPSUMMARY">#REF!</definedName>
    <definedName name="Mt_Isa">#REF!</definedName>
    <definedName name="Mt_Isa_Cost">#REF!</definedName>
    <definedName name="MT_Resid_Input">#REF!</definedName>
    <definedName name="MT_Resid_Mrgins">#REF!</definedName>
    <definedName name="MTDDate">#REF!</definedName>
    <definedName name="mth">#REF!</definedName>
    <definedName name="Mth_Name">#REF!</definedName>
    <definedName name="MTHACT98">#REF!</definedName>
    <definedName name="MTHACT99">#REF!</definedName>
    <definedName name="MTHBUD99">#REF!</definedName>
    <definedName name="Mthly">#REF!</definedName>
    <definedName name="Mths_In_Half_Yr">#REF!</definedName>
    <definedName name="Mths_In_Qtr">#REF!</definedName>
    <definedName name="Mths_In_Yr">#REF!</definedName>
    <definedName name="MTHVAR99">#REF!</definedName>
    <definedName name="MtIsaAdminFee">#REF!</definedName>
    <definedName name="MtIsaAnnualVariableOM">#REF!</definedName>
    <definedName name="MtIsaBookBase">#REF!</definedName>
    <definedName name="MtIsaEndOps">#REF!</definedName>
    <definedName name="MtIsaOMMargin">#REF!</definedName>
    <definedName name="MtIsaOpexContingency">#REF!</definedName>
    <definedName name="MtIsaOpexSens">#REF!</definedName>
    <definedName name="MtIsaOpsFlag">#REF!</definedName>
    <definedName name="MtIsaOpsStart">#REF!</definedName>
    <definedName name="MtIsaOptionAmount">#REF!</definedName>
    <definedName name="MtIsaOptionExerciseDate">#REF!</definedName>
    <definedName name="MtIsaOptionIndicator">#REF!</definedName>
    <definedName name="MtIsaRealInsurance">#REF!</definedName>
    <definedName name="MtIsaRealRev">#REF!</definedName>
    <definedName name="MtIsaRevSens">#REF!</definedName>
    <definedName name="MtIsaTaxBase">#REF!</definedName>
    <definedName name="n">OFFSET(ADSWAPCount,0,1+ItemsCols,1,ADSWAPCount)</definedName>
    <definedName name="NABMaxTermDebt">#REF!</definedName>
    <definedName name="name">#REF!</definedName>
    <definedName name="Names">#REF!</definedName>
    <definedName name="NaturallyAustralianFoods">#REF!</definedName>
    <definedName name="NegService">#REF!</definedName>
    <definedName name="NetEquity">#REF!</definedName>
    <definedName name="NEW">#REF!</definedName>
    <definedName name="NEW_PROJ">#REF!</definedName>
    <definedName name="Newcastle">#REF!</definedName>
    <definedName name="Newcastle_Cost_2">#REF!</definedName>
    <definedName name="NewMatrix1">#REF!</definedName>
    <definedName name="NiftyCapitalCost">#REF!</definedName>
    <definedName name="NiftyEndOps">#REF!</definedName>
    <definedName name="NiftyMinimumPayment">#REF!</definedName>
    <definedName name="NiftyOMMargin">#REF!</definedName>
    <definedName name="NiftyOpexContingency">#REF!</definedName>
    <definedName name="NiftyOpexSens">#REF!</definedName>
    <definedName name="NiftyOpsFlag">#REF!</definedName>
    <definedName name="NiftyOptionContractEnd">#REF!</definedName>
    <definedName name="NiftyOptionContractLength">#REF!</definedName>
    <definedName name="NiftyOptionContractStart">#REF!</definedName>
    <definedName name="NiftyOptionExerciseDate">#REF!</definedName>
    <definedName name="NIftyOptionWACC">#REF!</definedName>
    <definedName name="NiftyPaymentChooser">#REF!</definedName>
    <definedName name="NiftyRevSens">#REF!</definedName>
    <definedName name="NiftyTaxBase">#REF!</definedName>
    <definedName name="No">#REF!</definedName>
    <definedName name="No.">TRUE</definedName>
    <definedName name="nocheck">#REF!</definedName>
    <definedName name="Node">#REF!</definedName>
    <definedName name="NomBondInd">#REF!</definedName>
    <definedName name="NominalSwapBanks">#REF!</definedName>
    <definedName name="Non_Target_MDQ">#REF!</definedName>
    <definedName name="NonAssPTT_B021">#REF!</definedName>
    <definedName name="NonAssPTT_B038">#REF!</definedName>
    <definedName name="NonAssPTT_B053">#REF!</definedName>
    <definedName name="NonAssPTT_J050">#REF!</definedName>
    <definedName name="NonAssPTT_J980">#REF!</definedName>
    <definedName name="NonDed_Donations">#REF!</definedName>
    <definedName name="NonDed_Ent">#REF!</definedName>
    <definedName name="NonDed_Fines">#REF!</definedName>
    <definedName name="NonDed_ROS">#REF!</definedName>
    <definedName name="NonDedInt">#REF!</definedName>
    <definedName name="NonExistingTelfNiftBanks">#REF!</definedName>
    <definedName name="NonLCCtnAmount">#REF!</definedName>
    <definedName name="NonLCCtnEstabFee">#REF!</definedName>
    <definedName name="NOOFFFSEGMENTS1">#REF!</definedName>
    <definedName name="Normalisation_Adjustments">#REF!</definedName>
    <definedName name="Northern_NSW">#REF!</definedName>
    <definedName name="Northern_NSW_Cost">#REF!</definedName>
    <definedName name="NOTE34_35">#REF!</definedName>
    <definedName name="NOTE35_36">#REF!</definedName>
    <definedName name="Note41a">#REF!</definedName>
    <definedName name="Note41b">#REF!</definedName>
    <definedName name="NOTE42_1">#REF!</definedName>
    <definedName name="NOTE42_44">#REF!</definedName>
    <definedName name="NOTE44_1">#REF!</definedName>
    <definedName name="NOTE44_2">#REF!</definedName>
    <definedName name="NOTE44_3">#REF!</definedName>
    <definedName name="NOTE44_45">#REF!</definedName>
    <definedName name="NOTEPP_30">#REF!</definedName>
    <definedName name="NOTEPP_31">#REF!</definedName>
    <definedName name="NOTEPP_32">#REF!</definedName>
    <definedName name="NOTEPP_33">#REF!</definedName>
    <definedName name="NOTEPP_34">#REF!</definedName>
    <definedName name="NOTEPP_35">#REF!</definedName>
    <definedName name="NOTEPP_36">#REF!</definedName>
    <definedName name="NOTEPP_37">#REF!</definedName>
    <definedName name="NOTEPP_38">#REF!</definedName>
    <definedName name="NOTEPP_39">#REF!</definedName>
    <definedName name="NOTEPP_40">#REF!</definedName>
    <definedName name="NOTEPP_41">#REF!</definedName>
    <definedName name="NOTEPP21">#REF!</definedName>
    <definedName name="NOTEPP21_1">#REF!</definedName>
    <definedName name="NOTEPP21_10">#REF!</definedName>
    <definedName name="NOTEPP21_11">#REF!</definedName>
    <definedName name="NOTEPP21_12">#REF!</definedName>
    <definedName name="NOTEPP21_13">#REF!</definedName>
    <definedName name="NOTEPP21_2">#REF!</definedName>
    <definedName name="NOTEPP21_3">#REF!</definedName>
    <definedName name="NOTEPP21_4">#REF!</definedName>
    <definedName name="NOTEPP21_5">#REF!</definedName>
    <definedName name="NOTEPP21_7">#REF!</definedName>
    <definedName name="NOTEPP21_8">#REF!</definedName>
    <definedName name="NOTEPP21_9">#REF!</definedName>
    <definedName name="Notes">#REF!</definedName>
    <definedName name="notes1">#REF!</definedName>
    <definedName name="notes2">#REF!</definedName>
    <definedName name="notes3">#REF!</definedName>
    <definedName name="Notes38_39">#REF!</definedName>
    <definedName name="NOTESP11">#REF!</definedName>
    <definedName name="NOTESP12">#REF!</definedName>
    <definedName name="NOTESP13">#REF!</definedName>
    <definedName name="NOTESP14">#REF!</definedName>
    <definedName name="NOTESP15">#REF!</definedName>
    <definedName name="NOTESP16">#REF!</definedName>
    <definedName name="NOTESP17">#REF!</definedName>
    <definedName name="NOTESP18">#REF!</definedName>
    <definedName name="NOTESP19">#REF!</definedName>
    <definedName name="NOTESP22">#REF!</definedName>
    <definedName name="NOTESP23">#REF!</definedName>
    <definedName name="NOTESP24">#REF!</definedName>
    <definedName name="NOTESP25">#REF!</definedName>
    <definedName name="Nov">#REF!</definedName>
    <definedName name="NOV09SPEND">#REF!</definedName>
    <definedName name="now">#REF!</definedName>
    <definedName name="NPVValnDate">#REF!</definedName>
    <definedName name="NSWMortgageDuty">#REF!</definedName>
    <definedName name="NT_BudgetData">#REF!</definedName>
    <definedName name="NTCY">OFFSET(#REF!,,COUNTA(#REF!)-37,,37)</definedName>
    <definedName name="NTGD">#REF!</definedName>
    <definedName name="NTmat">OFFSET(#REF!,,COUNTA(#REF!)-37,,37)</definedName>
    <definedName name="NTpY">OFFSET(#REF!,,COUNTA(#REF!)-37,,24)</definedName>
    <definedName name="NTXAxis">OFFSET(#REF!,,COUNTA(#REF!)-37,,37)</definedName>
    <definedName name="NUMBEROFDETAILFIELDS1">#REF!</definedName>
    <definedName name="NUMBEROFHEADERFIELDS1">#REF!</definedName>
    <definedName name="Numbers">#REF!</definedName>
    <definedName name="NVS">#REF!</definedName>
    <definedName name="NvsASD">"V2007-12-31"</definedName>
    <definedName name="NvsAutoDrillOk">"VN"</definedName>
    <definedName name="NvsElapsedTime">0.000138888884976041</definedName>
    <definedName name="NvsEndTime">39513.5166782407</definedName>
    <definedName name="NvsInstLang">"VENG"</definedName>
    <definedName name="NvsInstSpec">"%,FBUSINESS_UNIT,TCONS_ACT,NEE CONSOLIDATION"</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"%,X,RZT.ACCOUNT.,CZF.BUSINESS_UNIT."</definedName>
    <definedName name="NvsPanelBusUnit">"V"</definedName>
    <definedName name="NvsPanelEffdt">"V1998-12-31"</definedName>
    <definedName name="NvsPanelSetid">"VEPIC"</definedName>
    <definedName name="NvsParentRef">#REF!</definedName>
    <definedName name="NvsReqBU">"VEE"</definedName>
    <definedName name="NvsReqBUOnly">"VN"</definedName>
    <definedName name="NvsTransLed">"VN"</definedName>
    <definedName name="NvsTreeASD">"V2007-12-31"</definedName>
    <definedName name="NvsValTbl.ACCOUNT">"GL_ACCOUNT_TBL"</definedName>
    <definedName name="NvsValTbl.BUSINESS_UNIT">"BUS_UNIT_TBL_GL"</definedName>
    <definedName name="NvsValTbl.DEPTID">"DEPARTMENT_TBL"</definedName>
    <definedName name="NvsValTbl.PROJECT_ID">"PROJECT_ID_VW"</definedName>
    <definedName name="NZCASHRTCodes">OFFSET(ADSWAPCount,0,1+ItemsCols,1,ADSWAPCount)</definedName>
    <definedName name="NZCASHRTCount">#REF!</definedName>
    <definedName name="NZCASHRTItems">OFFSET(NZCASHRTCount,0,1,1,NZCASHRTCount)</definedName>
    <definedName name="NZTable">#REF!</definedName>
    <definedName name="O_Number">#REF!</definedName>
    <definedName name="O_Price">#REF!</definedName>
    <definedName name="O_ShareFValue">#REF!</definedName>
    <definedName name="OCATYTD1">#REF!</definedName>
    <definedName name="Oct">#REF!</definedName>
    <definedName name="OCT08SPEND">#REF!</definedName>
    <definedName name="OCT09SPEND">#REF!</definedName>
    <definedName name="ODBCDataSource1">#REF!</definedName>
    <definedName name="OE_COPYROW">#REF!</definedName>
    <definedName name="OE_DAILY">#REF!</definedName>
    <definedName name="OE_END">#REF!</definedName>
    <definedName name="OE_ENDDATE">#REF!</definedName>
    <definedName name="OE_ENDYEAR">#REF!</definedName>
    <definedName name="OE_PASTEROW">#REF!</definedName>
    <definedName name="OE_PASTEYRROW">#REF!</definedName>
    <definedName name="OE_PIPELINES">#REF!</definedName>
    <definedName name="OE_PIPEMDQ">#REF!</definedName>
    <definedName name="OE_SELECTION">#REF!</definedName>
    <definedName name="OE_SOURCES">#REF!</definedName>
    <definedName name="OE_START">#REF!</definedName>
    <definedName name="OE_STARTDATE">#REF!</definedName>
    <definedName name="OE_STARTYEAR">#REF!</definedName>
    <definedName name="OE_SUPPLY">#REF!</definedName>
    <definedName name="OE_YEAR">#REF!</definedName>
    <definedName name="OE_YEARLY">#REF!</definedName>
    <definedName name="OEIDistn_B021">#REF!</definedName>
    <definedName name="OEIDistn_J980">#REF!</definedName>
    <definedName name="OffTakeEndDate">#REF!</definedName>
    <definedName name="OffTakeEndDateQtr">#REF!</definedName>
    <definedName name="old">#REF!</definedName>
    <definedName name="Oldgrades">#REF!</definedName>
    <definedName name="olijanstaff">#REF!</definedName>
    <definedName name="OMBaseDate">#REF!</definedName>
    <definedName name="OMManagementMargin">#REF!</definedName>
    <definedName name="OMMarginAccrInd">#REF!</definedName>
    <definedName name="OMRebateFlag">#REF!</definedName>
    <definedName name="OMSensitivityInd">#REF!</definedName>
    <definedName name="op">#REF!</definedName>
    <definedName name="OpenCashAcctDrawdownDate">#REF!</definedName>
    <definedName name="OpenDITL">#REF!</definedName>
    <definedName name="OpenDSRA">#REF!</definedName>
    <definedName name="OpenDSRALookup">#REF!</definedName>
    <definedName name="OpenEYR">#REF!</definedName>
    <definedName name="OpenEYRInput">#REF!</definedName>
    <definedName name="OpenFITB">#REF!</definedName>
    <definedName name="OpenFrankingCredits">#REF!</definedName>
    <definedName name="OpenMRA">#REF!</definedName>
    <definedName name="OpenPPE">#REF!</definedName>
    <definedName name="Opex">#REF!</definedName>
    <definedName name="opexsagas">#REF!</definedName>
    <definedName name="OpexSensitivityTable">#REF!</definedName>
    <definedName name="OpnEndDate">#REF!</definedName>
    <definedName name="OpnEndDateQtr">#REF!</definedName>
    <definedName name="OpnStartDate">#REF!</definedName>
    <definedName name="OpRevTax_B022">#REF!</definedName>
    <definedName name="OpRevTax_B063">#REF!</definedName>
    <definedName name="Oracle_TB">#REF!</definedName>
    <definedName name="OricaCT">#REF!</definedName>
    <definedName name="OricaTT">#REF!</definedName>
    <definedName name="OsakaGasShare">#REF!</definedName>
    <definedName name="OT">#REF!</definedName>
    <definedName name="OTDAMDStartDate">#REF!</definedName>
    <definedName name="OTDAMDStartDateQtr">#REF!</definedName>
    <definedName name="other_acc">#REF!</definedName>
    <definedName name="OtherFixedAA_tbl">#REF!</definedName>
    <definedName name="OtherSecRevDSCRTable">#REF!</definedName>
    <definedName name="OtherVarAA_tbl">#REF!</definedName>
    <definedName name="othretsheet">#REF!</definedName>
    <definedName name="OUTPUT_FILE">#REF!</definedName>
    <definedName name="OwnersRepresentative">#REF!</definedName>
    <definedName name="OwnersRepresentativeDate">#REF!</definedName>
    <definedName name="p">#REF!</definedName>
    <definedName name="P_0">#REF!</definedName>
    <definedName name="P_HY">#REF!</definedName>
    <definedName name="P_L">#REF!</definedName>
    <definedName name="PacificOperations">#REF!</definedName>
    <definedName name="PacificOperations_cost">#REF!</definedName>
    <definedName name="pafsumm">#REF!</definedName>
    <definedName name="PAGE1">#REF!</definedName>
    <definedName name="Pal_Workbook_GUID" hidden="1">"5TX8I56CQ9EWKM3BWNVK968H"</definedName>
    <definedName name="PALL">#REF!</definedName>
    <definedName name="PARTAUSTDIV">#REF!</definedName>
    <definedName name="Passthrough_actual_by_month">#REF!</definedName>
    <definedName name="Passthrough_Actual_YTD">#REF!</definedName>
    <definedName name="Passthrough_budget_by_month">#REF!</definedName>
    <definedName name="Passthrough_budget_YTD">#REF!</definedName>
    <definedName name="Passthrough_lastyear_by_month">#REF!</definedName>
    <definedName name="Passthrough_lastyear_YTD">#REF!</definedName>
    <definedName name="PBT">#REF!</definedName>
    <definedName name="PBT_B021">#REF!</definedName>
    <definedName name="PBT_B038">#REF!</definedName>
    <definedName name="PBT_B053">#REF!</definedName>
    <definedName name="PBT_plusPERM">#REF!</definedName>
    <definedName name="PCtn">#REF!</definedName>
    <definedName name="PeakDayCopy">#REF!</definedName>
    <definedName name="PeakDays">#REF!</definedName>
    <definedName name="people">#REF!</definedName>
    <definedName name="PER">#REF!</definedName>
    <definedName name="Per_1_End_Date">#REF!</definedName>
    <definedName name="Per_1_End_Mth">#REF!</definedName>
    <definedName name="Per_1_Title">#REF!</definedName>
    <definedName name="PERIOD">#REF!</definedName>
    <definedName name="Period_Name">#REF!</definedName>
    <definedName name="PERIOD_NO">#REF!</definedName>
    <definedName name="PeriodNumberColumn">OFFSET(PeriodNumberHeading,0,0,_pdNoOfPayments+3,1)</definedName>
    <definedName name="PeriodNumberHeading">#REF!</definedName>
    <definedName name="PeriodNumbers">OFFSET(PeriodNumberHeading,2,0,_pdNoOfPayments+1,1)</definedName>
    <definedName name="PERIODSETNAME1">#REF!</definedName>
    <definedName name="PeriodsInYear">#REF!</definedName>
    <definedName name="Phone_No.">#REF!</definedName>
    <definedName name="Physical_Location_Listing">#REF!</definedName>
    <definedName name="PL">#REF!</definedName>
    <definedName name="PL_RepItems">#REF!</definedName>
    <definedName name="PM">#REF!</definedName>
    <definedName name="PMA_WA">#REF!</definedName>
    <definedName name="PN">#REF!</definedName>
    <definedName name="PNS">#REF!</definedName>
    <definedName name="Pnumbers">#REF!</definedName>
    <definedName name="PopCache_FA_MASS_ADDITIONS_AMORTIZE_NBV_FLAG" hidden="1">#REF!</definedName>
    <definedName name="PopCache_FA_MASS_ADDITIONS_ASSET_TYPE" hidden="1">#REF!</definedName>
    <definedName name="PopCache_FA_MASS_ADDITIONS_DEPRECIATE_FLAG" hidden="1">#REF!</definedName>
    <definedName name="PopCache_FA_MASS_ADDITIONS_IN_USE_FLAG" hidden="1">#REF!</definedName>
    <definedName name="PopCache_FA_MASS_ADDITIONS_INVENTORIAL" hidden="1">#REF!</definedName>
    <definedName name="PopCache_FA_MASS_ADDITIONS_NEW_USED" hidden="1">#REF!</definedName>
    <definedName name="PopCache_FA_MASS_ADDITIONS_OWNED_LEASED" hidden="1">#REF!</definedName>
    <definedName name="PopCache_FA_MASS_ADDITIONS_PROPERTY_1245_1250_CODE" hidden="1">#REF!</definedName>
    <definedName name="PopCache_FA_MASS_ADDITIONS_PROPERTY_TYPE_CODE" hidden="1">#REF!</definedName>
    <definedName name="PopCache_FA_MASS_ADDITIONS_SHORT_FISCAL_YEAR_FLAG" hidden="1">#REF!</definedName>
    <definedName name="Port_Douglas">#REF!</definedName>
    <definedName name="Port_Douglas_Cost">#REF!</definedName>
    <definedName name="pos">#REF!</definedName>
    <definedName name="Position_Types">#REF!</definedName>
    <definedName name="post_contract_redn">#REF!</definedName>
    <definedName name="Postcode">#REF!</definedName>
    <definedName name="POSTERRORSTOSUSP1">#REF!</definedName>
    <definedName name="PostOfftakeLeaseReceivableDiff">#REF!</definedName>
    <definedName name="PostOfftakeLeaseReceivableDiscRate">#REF!</definedName>
    <definedName name="PostTaxFiveYrYieldExSHL">#REF!</definedName>
    <definedName name="PosttaxOffTakeIRRexclSHL">#REF!</definedName>
    <definedName name="PostTaxThreeYrYieldExSHL">#REF!</definedName>
    <definedName name="PREACQ">#REF!</definedName>
    <definedName name="prepay">#REF!</definedName>
    <definedName name="press_reduc">#REF!</definedName>
    <definedName name="PreTaxUngearedIRR">#REF!</definedName>
    <definedName name="Prev_catergory">#REF!</definedName>
    <definedName name="previous_vanilla">#REF!</definedName>
    <definedName name="Previously_Claimed">#REF!,#REF!,#REF!,#REF!,#REF!,#REF!</definedName>
    <definedName name="PRICE">#REF!</definedName>
    <definedName name="PRICE_VARIANCE">#REF!</definedName>
    <definedName name="PRICEVAR">#REF!</definedName>
    <definedName name="Pricing">#REF!</definedName>
    <definedName name="Print">#REF!</definedName>
    <definedName name="_xlnm.Print_Area" localSheetId="5">'1. Pipeline information'!$A$1:$E$43</definedName>
    <definedName name="_xlnm.Print_Area" localSheetId="6">'2. Revenue and expenses'!$A$1:$H$6</definedName>
    <definedName name="_xlnm.Print_Area" localSheetId="7">'2.1 Profit &amp; Loss by component'!$A$1:$C$32</definedName>
    <definedName name="_xlnm.Print_Area" localSheetId="8">'2.2 Allocation to services'!$A$1:$J$24</definedName>
    <definedName name="_xlnm.Print_Area" localSheetId="9">'2.3 Revenue contributions '!$A$1:$F$29</definedName>
    <definedName name="_xlnm.Print_Area" localSheetId="10">'2.4 Indirect revenue'!$A$1:$I$41</definedName>
    <definedName name="_xlnm.Print_Area" localSheetId="11">'2.5 Shared expenses'!$A$1:$J$35</definedName>
    <definedName name="_xlnm.Print_Area" localSheetId="12">'3.1 Depreciated Book Value'!$A$1:$F$127</definedName>
    <definedName name="_xlnm.Print_Area" localSheetId="13">'3.2 Regulatory Asset Base'!$A$1:$F$98</definedName>
    <definedName name="_xlnm.Print_Area" localSheetId="14">'3.3 Asset useful life'!$A$1:$G$38</definedName>
    <definedName name="_xlnm.Print_Area" localSheetId="15">'3.4 Asset impairment'!$A$1:$I$57</definedName>
    <definedName name="_xlnm.Print_Area" localSheetId="16">'3.5 Depreciation amortisation'!$A$1:$P$86</definedName>
    <definedName name="_xlnm.Print_Area" localSheetId="17">'3.6 Shared supporting assets'!$A$1:$H$50</definedName>
    <definedName name="_xlnm.Print_Area" localSheetId="19">'4. Recovered Capital'!$A$1:$BL$53</definedName>
    <definedName name="_xlnm.Print_Area" localSheetId="21">'4.1 Pipelines capex'!$A$1:$F$41</definedName>
    <definedName name="_xlnm.Print_Area" localSheetId="23">'5. Historical demand'!$A$1:$BM$27</definedName>
    <definedName name="_xlnm.Print_Area" localSheetId="0">Cover!$A$2:$J$50</definedName>
    <definedName name="_xlnm.Print_Area" localSheetId="3">'Data visualisation'!$A$1:$F$88</definedName>
    <definedName name="_xlnm.Print_Area" localSheetId="28">Sheet1!$A$1:$N$32</definedName>
    <definedName name="_xlnm.Print_Area">#REF!</definedName>
    <definedName name="Print_Area1">#REF!</definedName>
    <definedName name="PRINT_CANBERRA">#REF!</definedName>
    <definedName name="PRINT_SYDNEY">#REF!</definedName>
    <definedName name="PRINT1">#REF!</definedName>
    <definedName name="PRINT10">#REF!</definedName>
    <definedName name="PRINT11">#REF!</definedName>
    <definedName name="PRINT12">#REF!</definedName>
    <definedName name="PRINT13">#REF!</definedName>
    <definedName name="PRINT14">#REF!</definedName>
    <definedName name="PRINT15">#REF!</definedName>
    <definedName name="PRINT16">#REF!</definedName>
    <definedName name="PRINT17">#REF!</definedName>
    <definedName name="PRINT18">#REF!</definedName>
    <definedName name="PRINT19">#REF!</definedName>
    <definedName name="PRINT2">#REF!</definedName>
    <definedName name="PRINT20">#REF!</definedName>
    <definedName name="PRINT21">#REF!</definedName>
    <definedName name="PRINT22">#REF!</definedName>
    <definedName name="PRINT3">#REF!</definedName>
    <definedName name="PRINT4">#REF!</definedName>
    <definedName name="PRINT5">#REF!</definedName>
    <definedName name="PRINT6">#REF!</definedName>
    <definedName name="PRINT7">#REF!</definedName>
    <definedName name="PRINT8">#REF!</definedName>
    <definedName name="PRINT9">#REF!</definedName>
    <definedName name="PrintNotes">#REF!</definedName>
    <definedName name="PrintNotesWorkings">#REF!</definedName>
    <definedName name="PrintPL">#REF!</definedName>
    <definedName name="Prior_catergory">#REF!</definedName>
    <definedName name="Prior_period">#REF!</definedName>
    <definedName name="Prior_Year___2000_2001____by_month">#REF!</definedName>
    <definedName name="Prior_Year___2000_2001____Year_to_date">#REF!</definedName>
    <definedName name="PriorYear">#REF!</definedName>
    <definedName name="Pro_Forma">#REF!</definedName>
    <definedName name="Pro_Rata_Dte">#REF!</definedName>
    <definedName name="probability">#REF!</definedName>
    <definedName name="probability_rating">#REF!</definedName>
    <definedName name="prod">#REF!</definedName>
    <definedName name="ProfEquAcc_ANPSPV">#REF!</definedName>
    <definedName name="ProfEquAcc_Eii">#REF!</definedName>
    <definedName name="ProfEquAcc_Eii2">#REF!</definedName>
    <definedName name="Profit">#REF!,#REF!</definedName>
    <definedName name="PROFITMONTH">#REF!</definedName>
    <definedName name="PROFITYTD">#REF!</definedName>
    <definedName name="ProjectDescr">#REF!</definedName>
    <definedName name="ProjectName">#REF!</definedName>
    <definedName name="projects">#REF!</definedName>
    <definedName name="Projects_Tasks_Mapped_to_Activities">#REF!</definedName>
    <definedName name="ProjList">#REF!</definedName>
    <definedName name="PROJTYPE">#REF!</definedName>
    <definedName name="Proposed">#REF!</definedName>
    <definedName name="ProtectionContents">TRUE</definedName>
    <definedName name="PublishDate">#REF!</definedName>
    <definedName name="PublishDateExists">#REF!</definedName>
    <definedName name="q_selAssetsListing">#REF!</definedName>
    <definedName name="q_selLiabilityListing">#REF!</definedName>
    <definedName name="Qld_AMS_City">#REF!</definedName>
    <definedName name="Qld_AMS_Regional">#REF!</definedName>
    <definedName name="QLD_BudgetData">#REF!</definedName>
    <definedName name="QldRepaymentInterestRate">#REF!</definedName>
    <definedName name="qqwed">#REF!</definedName>
    <definedName name="Qtr_1">#REF!</definedName>
    <definedName name="Qtr_2">#REF!</definedName>
    <definedName name="Qtr_3">#REF!</definedName>
    <definedName name="Qtr_4">#REF!</definedName>
    <definedName name="Qtr_Name">#REF!</definedName>
    <definedName name="Qtrly">#REF!</definedName>
    <definedName name="Qtrs_In_Yr">#REF!</definedName>
    <definedName name="Queensland">#REF!</definedName>
    <definedName name="Quote">#REF!</definedName>
    <definedName name="Quote_Expiry">#REF!</definedName>
    <definedName name="r_Measure">#REF!</definedName>
    <definedName name="R_Other_Income">#REF!</definedName>
    <definedName name="r_Version">#REF!</definedName>
    <definedName name="r_Year">#REF!</definedName>
    <definedName name="RAAgentsFee">#REF!</definedName>
    <definedName name="RAB">#REF!</definedName>
    <definedName name="RAB_OpenValDate">#REF!</definedName>
    <definedName name="RAFee">#REF!</definedName>
    <definedName name="rAllAssets">Sheet1!$A$3:$A$17</definedName>
    <definedName name="Rates">#REF!</definedName>
    <definedName name="RBN">#REF!</definedName>
    <definedName name="rbpdetailed">#REF!</definedName>
    <definedName name="RBPSUMMARY">#REF!</definedName>
    <definedName name="RCWP">#REF!</definedName>
    <definedName name="RECAUST1">#REF!</definedName>
    <definedName name="RECAUST2">#REF!</definedName>
    <definedName name="RECEIPTS99">#REF!</definedName>
    <definedName name="RechargeLF">#REF!</definedName>
    <definedName name="RedcliffeHospital">#REF!</definedName>
    <definedName name="RefiDate1">#REF!</definedName>
    <definedName name="RefinanceFeesBookDepnRate">#REF!</definedName>
    <definedName name="RefiTaxDepn">#REF!</definedName>
    <definedName name="RegDistInt">#REF!</definedName>
    <definedName name="RegDistMba">#REF!</definedName>
    <definedName name="RegearingIntOnlyEnd">#REF!</definedName>
    <definedName name="RegoToDriver">#REF!</definedName>
    <definedName name="rem_dollarperGJ">#REF!</definedName>
    <definedName name="Reporting_Period">#REF!</definedName>
    <definedName name="ReportingDate">#REF!</definedName>
    <definedName name="ResNo_Tbl">#REF!</definedName>
    <definedName name="ResourceList">#REF!</definedName>
    <definedName name="RESPONSIBILITYAPPLICATIONID1">#REF!</definedName>
    <definedName name="RESPONSIBILITYID1">#REF!</definedName>
    <definedName name="RESPONSIBILITYNAME1">#REF!</definedName>
    <definedName name="Retail">#REF!</definedName>
    <definedName name="retrievedata">#REF!</definedName>
    <definedName name="RetTarBud03">#REF!</definedName>
    <definedName name="Rev_Solve">#REF!</definedName>
    <definedName name="Rev_Status">#REF!</definedName>
    <definedName name="RevCat">#REF!</definedName>
    <definedName name="Revenue_End">#REF!</definedName>
    <definedName name="RevHedge_B003">#REF!</definedName>
    <definedName name="RevHedge_B080">#REF!</definedName>
    <definedName name="RevHedge_B081">#REF!</definedName>
    <definedName name="RevHedge_B111">#REF!</definedName>
    <definedName name="RevHedge_J002">#REF!</definedName>
    <definedName name="RevHedge_J074">#REF!</definedName>
    <definedName name="Revision_Status">#REF!</definedName>
    <definedName name="RevSensFlag">#REF!</definedName>
    <definedName name="Rf">#REF!</definedName>
    <definedName name="RFMLytton">#REF!</definedName>
    <definedName name="RFMRBPExp">#REF!</definedName>
    <definedName name="RIBBON_OBJECT_POINTER">1336012000</definedName>
    <definedName name="RID">#REF!</definedName>
    <definedName name="rInitialcosts">Sheet1!$G$3:$G$5</definedName>
    <definedName name="rInitialyears">Sheet1!$G$3:$H$5</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7</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"$AB$327"</definedName>
    <definedName name="RiskSelectedNameCell1" hidden="1">"$AB$321"</definedName>
    <definedName name="RiskSelectedNameCell2" hidden="1">"$P$10"</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TRUE</definedName>
    <definedName name="RiskUseMultipleCPUs" hidden="1">TRUE</definedName>
    <definedName name="RL_tbl">#REF!</definedName>
    <definedName name="RLPL">#REF!</definedName>
    <definedName name="RN">#REF!</definedName>
    <definedName name="rnPrint10">#REF!</definedName>
    <definedName name="rnPrint2">#REF!</definedName>
    <definedName name="rnPrint3">#REF!</definedName>
    <definedName name="rnPrint4">#REF!</definedName>
    <definedName name="rnPrint5">#REF!</definedName>
    <definedName name="rnPrint6">#REF!</definedName>
    <definedName name="rnPrint7">#REF!</definedName>
    <definedName name="rnPrint8">#REF!</definedName>
    <definedName name="Rockhampton">#REF!</definedName>
    <definedName name="Rockhampton_Costs">#REF!</definedName>
    <definedName name="RockhamptonPrison">#REF!</definedName>
    <definedName name="RockStep1">#REF!</definedName>
    <definedName name="RockStep2">#REF!</definedName>
    <definedName name="RockStep3">#REF!</definedName>
    <definedName name="RockStep4">#REF!</definedName>
    <definedName name="RockStep5">#REF!</definedName>
    <definedName name="RockStep6">#REF!</definedName>
    <definedName name="ron">#REF!</definedName>
    <definedName name="ROS_NonDed_B038">#REF!</definedName>
    <definedName name="ROS_NonDed_J901">#REF!</definedName>
    <definedName name="ROSConversion">#REF!</definedName>
    <definedName name="ROSConversionIndicator">#REF!</definedName>
    <definedName name="ROSCouponDeductible">#REF!</definedName>
    <definedName name="ROSIndicator">#REF!</definedName>
    <definedName name="Rounding_Switch">#REF!</definedName>
    <definedName name="row">#REF!</definedName>
    <definedName name="ROWSTOUPLOAD1">#REF!</definedName>
    <definedName name="rPipelineAssets">Sheet1!$A$3:$A$12</definedName>
    <definedName name="rpipelines">#N/A</definedName>
    <definedName name="RPSConversion">#REF!</definedName>
    <definedName name="RPSCouponDeductible">#REF!</definedName>
    <definedName name="rpt_1">#REF!</definedName>
    <definedName name="rpt_2">#REF!</definedName>
    <definedName name="rpt_3">#REF!</definedName>
    <definedName name="Rpt_BudVsAct">#REF!</definedName>
    <definedName name="Rpt_MarginExplain">#REF!</definedName>
    <definedName name="Rpt_MoombaAudit">#REF!</definedName>
    <definedName name="Rpt_QldAudit">#REF!</definedName>
    <definedName name="Rpt_QldBudSumm">#REF!</definedName>
    <definedName name="Rpt_QldSumm">#REF!</definedName>
    <definedName name="Rpt_SEAudit">#REF!</definedName>
    <definedName name="rr">INDEX(INDIRECT(CountryShortCode&amp;"Codes"),MATCH(Item,INDIRECT(CountryShortCode&amp;"Desc"),0))</definedName>
    <definedName name="rreal">#REF!</definedName>
    <definedName name="RREST">#REF!</definedName>
    <definedName name="rSharedAssets">Sheet1!$A$13:$A$17</definedName>
    <definedName name="rvanilla">#REF!</definedName>
    <definedName name="ryesno">#N/A</definedName>
    <definedName name="s_Measure">#REF!</definedName>
    <definedName name="s_Version">#REF!</definedName>
    <definedName name="s_Year">#REF!</definedName>
    <definedName name="SA_AMS_city">#REF!</definedName>
    <definedName name="SA_AMS_Regional">#REF!</definedName>
    <definedName name="SA_BudgetData">#REF!</definedName>
    <definedName name="SAMortgageDuty">#REF!</definedName>
    <definedName name="SAPBEXhrIndnt" hidden="1">"Wide"</definedName>
    <definedName name="SAPsysID" hidden="1">"708C5W7SBKP804JT78WJ0JNKI"</definedName>
    <definedName name="SAPwbID" hidden="1">"ARS"</definedName>
    <definedName name="sch3a">#REF!</definedName>
    <definedName name="SCHED_G">#REF!</definedName>
    <definedName name="SCHEDULE_A__RECONCILIATION_BETWEEN_STATUTORY_AND_REGULATORY_ACCOUNTS_REGULATORY_STATEMENT_OF_FINANCIAL_RETURNS">#REF!</definedName>
    <definedName name="SCHEDULE_B__RECONCILIATION_BETWEEN_STATUTORY_AND_REGULATORY_ACCOUNTS__REGULATORY_STATEMENT_OF_FINANCIAL_POSITION">#REF!</definedName>
    <definedName name="SCHEDULE_C__RECONCILIATION_BETWEEN_STATUTORY_ACCOUNTS_AND_REGULATORY_ACCOUNTS__REGULATORY_STATEMENT_OF_CASH_FLOWS">#REF!</definedName>
    <definedName name="SCHEDULE_E__NON_CAPITAL_COSTS">#REF!</definedName>
    <definedName name="SCHEDULE_G__DISPOSALS__BOOK_VALUE_OF_ASSETS_DISPOSED">#REF!</definedName>
    <definedName name="SCHEDULE_OF_OTHER_RECONCILIATION_ITEMS">#REF!</definedName>
    <definedName name="Scorecard_Rating">#REF!</definedName>
    <definedName name="SDT">#REF!</definedName>
    <definedName name="SE_Retail_Vol">#REF!</definedName>
    <definedName name="SE_Wholesale_Vol">#REF!</definedName>
    <definedName name="SeaGasCapexSens">#REF!</definedName>
    <definedName name="SeaGasContractEnd">#REF!</definedName>
    <definedName name="SeaGasEndOps">#REF!</definedName>
    <definedName name="SeaGasOMMargin">#REF!</definedName>
    <definedName name="SeaGasOpexEsc">#REF!</definedName>
    <definedName name="SeaGasOpexEscBaseDate">#REF!</definedName>
    <definedName name="SeaGasOpsFlag">#REF!</definedName>
    <definedName name="SeaGasOpsStart">#REF!</definedName>
    <definedName name="SeaGasRevEsc">#REF!</definedName>
    <definedName name="SeaGasRevEscBaseDate">#REF!</definedName>
    <definedName name="SeaGasRevPostContract">#REF!</definedName>
    <definedName name="SeaGasRevPostContractEndDate">#REF!</definedName>
    <definedName name="SEast">#REF!</definedName>
    <definedName name="SEast1">#REF!</definedName>
    <definedName name="Secs_In_Min">#REF!</definedName>
    <definedName name="SEGLIST">#REF!</definedName>
    <definedName name="SEGMENTSUM">#REF!</definedName>
    <definedName name="Semi_Ann">#REF!</definedName>
    <definedName name="Sep">#REF!</definedName>
    <definedName name="SEP08SPEND">#REF!</definedName>
    <definedName name="SEP09SPEND">#REF!</definedName>
    <definedName name="Series">#REF!</definedName>
    <definedName name="SETOFBOOKSID1">#REF!</definedName>
    <definedName name="SETOFBOOKSNAME1">#REF!</definedName>
    <definedName name="SGRSUYTYIUYOYO">#REF!</definedName>
    <definedName name="SGTable">#REF!</definedName>
    <definedName name="Sheet_Index">#REF!</definedName>
    <definedName name="Shell">#REF!</definedName>
    <definedName name="Shell_1">#REF!</definedName>
    <definedName name="Shell_2">#REF!</definedName>
    <definedName name="SideArrow">#REF!</definedName>
    <definedName name="Site_Address">#REF!</definedName>
    <definedName name="SMECustNo">#REF!</definedName>
    <definedName name="SN">#REF!</definedName>
    <definedName name="SolveFormulas">#REF!</definedName>
    <definedName name="Source">#REF!</definedName>
    <definedName name="sp">#REF!</definedName>
    <definedName name="Spec">#REF!</definedName>
    <definedName name="Spec_WACC">#REF!</definedName>
    <definedName name="SPECIFIC">#REF!</definedName>
    <definedName name="SPENDFEB09">#REF!</definedName>
    <definedName name="SpotUSD">#REF!</definedName>
    <definedName name="STAFFAUG08">#REF!</definedName>
    <definedName name="stafffeb10">#REF!</definedName>
    <definedName name="StampDutyFee">#REF!</definedName>
    <definedName name="StampDutyFeeDiff">#REF!</definedName>
    <definedName name="StampDutyFeePaste">#REF!</definedName>
    <definedName name="Start_date">#REF!</definedName>
    <definedName name="startdate">#REF!</definedName>
    <definedName name="STARTJOURNALIMPORT1">#REF!</definedName>
    <definedName name="StartPeriodName1">#REF!</definedName>
    <definedName name="STATEMENT_1__REGULATORY_STATEMENT_OF_FINANCIAL_RETURNS">#REF!</definedName>
    <definedName name="STATEMENT_2__REGULATORY_STATEMENT_OF_FINANCIAL_POSITION">#REF!</definedName>
    <definedName name="STATEMENT_3__REGULATORY_STATEMENT_OF_CASH_FLOWS">#REF!</definedName>
    <definedName name="StateRate">#REF!</definedName>
    <definedName name="status_ranking">#REF!</definedName>
    <definedName name="status_words">#REF!</definedName>
    <definedName name="step1_dollar">#REF!</definedName>
    <definedName name="step1_dollarperGJ">#REF!</definedName>
    <definedName name="step2_dollar">#REF!</definedName>
    <definedName name="step2_dollarperGJ">#REF!</definedName>
    <definedName name="step2_GJ">#REF!</definedName>
    <definedName name="step3_dollar">#REF!</definedName>
    <definedName name="step3_dollarperGJ">#REF!</definedName>
    <definedName name="step3_GJ">#REF!</definedName>
    <definedName name="step4_dollar">#REF!</definedName>
    <definedName name="step4_dollarperGJ">#REF!</definedName>
    <definedName name="step4_GJ">#REF!</definedName>
    <definedName name="step5_dollar">#REF!</definedName>
    <definedName name="step5_dollarperGJ">#REF!</definedName>
    <definedName name="step5_GJ">#REF!</definedName>
    <definedName name="step6_dollar">#REF!</definedName>
    <definedName name="step6_dollarperGJ">#REF!</definedName>
    <definedName name="step6_GJ">#REF!</definedName>
    <definedName name="step7_dollar">#REF!</definedName>
    <definedName name="step7_dollarperGJ">#REF!</definedName>
    <definedName name="step7_GJ">#REF!</definedName>
    <definedName name="step8_dollar">#REF!</definedName>
    <definedName name="step8_dollarperGJ">#REF!</definedName>
    <definedName name="step8_GJ">#REF!</definedName>
    <definedName name="STI_Rounding_Factor">#REF!</definedName>
    <definedName name="stop">#REF!</definedName>
    <definedName name="STP">#REF!</definedName>
    <definedName name="StructuralMargin">#REF!</definedName>
    <definedName name="Sub_Ledger_Range">#REF!</definedName>
    <definedName name="SubDebMarginTable">#REF!</definedName>
    <definedName name="SubDebtAmortPeriod">#REF!</definedName>
    <definedName name="SubDebtAmortPeriodEndDate">#REF!</definedName>
    <definedName name="SubDebtAmortPeriodStartDate">#REF!</definedName>
    <definedName name="SubDebtDeductible">#REF!</definedName>
    <definedName name="SubDebtMargin">#REF!</definedName>
    <definedName name="SubDebtYrstoAmort">#REF!</definedName>
    <definedName name="sum">#REF!</definedName>
    <definedName name="summaryconsolidation">#REF!</definedName>
    <definedName name="Sunshine">#REF!</definedName>
    <definedName name="Sunshine_Cost">#REF!</definedName>
    <definedName name="Supply_Origin">#REF!</definedName>
    <definedName name="System_Peak">#REF!</definedName>
    <definedName name="Table_QldAGLBill">#REF!</definedName>
    <definedName name="Table_QldOtherCharges">#REF!</definedName>
    <definedName name="Table_QldPGEBill">#REF!</definedName>
    <definedName name="Table_QldRechargeSumm">#REF!</definedName>
    <definedName name="Table_QldSales">#REF!</definedName>
    <definedName name="Table_QldVarSumm">#REF!</definedName>
    <definedName name="Table_QldWellheadInvoices">#REF!</definedName>
    <definedName name="Target_MDQ">#REF!</definedName>
    <definedName name="TargetDSCRTable">#REF!</definedName>
    <definedName name="TARIFF">#REF!</definedName>
    <definedName name="TariffCR">#REF!</definedName>
    <definedName name="TariffTH">#REF!</definedName>
    <definedName name="TARIFFTRANSPORT">#REF!</definedName>
    <definedName name="Task">#REF!</definedName>
    <definedName name="TaskList">#REF!</definedName>
    <definedName name="Tax_Expense">#REF!</definedName>
    <definedName name="Tax_Life">#REF!</definedName>
    <definedName name="Tax_Rate">#REF!</definedName>
    <definedName name="TAXATION">#REF!</definedName>
    <definedName name="TB">#REF!</definedName>
    <definedName name="TB_TotalTaxExp">#REF!</definedName>
    <definedName name="TCC">#REF!</definedName>
    <definedName name="Td">#REF!</definedName>
    <definedName name="TDate">#REF!</definedName>
    <definedName name="TelferBCapacity">#REF!</definedName>
    <definedName name="TelferBFlowBasedTariff">#REF!</definedName>
    <definedName name="TelferBookBase">#REF!</definedName>
    <definedName name="TelferBookDepnRate">#REF!</definedName>
    <definedName name="TelferBOverrunChargesQrtly">#REF!</definedName>
    <definedName name="TelferCapacityCharge">#REF!</definedName>
    <definedName name="TelferCapexSens">#REF!</definedName>
    <definedName name="TelferCapexYearly">#REF!</definedName>
    <definedName name="telferdefaultoption">#REF!</definedName>
    <definedName name="TelferEndOps">#REF!</definedName>
    <definedName name="TelferNewcrestProfitShareQrtly">#REF!</definedName>
    <definedName name="TelferOMMargin">#REF!</definedName>
    <definedName name="TelferOMOtherQtrly">#REF!</definedName>
    <definedName name="TelferOMQtrly">#REF!</definedName>
    <definedName name="TelferOpexContingency">#REF!</definedName>
    <definedName name="TelferOpexSens">#REF!</definedName>
    <definedName name="TelferOpsFlag">#REF!</definedName>
    <definedName name="TelferOpsStart">#REF!</definedName>
    <definedName name="TelferOption">#REF!</definedName>
    <definedName name="TelferOptionChooser">#REF!</definedName>
    <definedName name="TelferOptionExerciseDate">#REF!</definedName>
    <definedName name="TelferOptionType">#REF!</definedName>
    <definedName name="TelferRevSens">#REF!</definedName>
    <definedName name="TelferTaxBase">#REF!</definedName>
    <definedName name="TelferTaxDepnRate">#REF!</definedName>
    <definedName name="Template.WIRE">"DBACCESS"</definedName>
    <definedName name="TemplateName">#REF!</definedName>
    <definedName name="TEMPLATENUMBER1">#REF!</definedName>
    <definedName name="TEMPLATES">#REF!</definedName>
    <definedName name="TEMPLATESTYLE1">#REF!</definedName>
    <definedName name="TEMPLATETYPE1">#REF!</definedName>
    <definedName name="Ten">#REF!</definedName>
    <definedName name="TEP">#REF!</definedName>
    <definedName name="TEST0">#REF!</definedName>
    <definedName name="TEST1">#REF!</definedName>
    <definedName name="TESTHKEY">#REF!</definedName>
    <definedName name="TESTKEYS">#REF!</definedName>
    <definedName name="TESTVKEY">#REF!</definedName>
    <definedName name="TFR_2010">#REF!</definedName>
    <definedName name="TFR_2011">#REF!</definedName>
    <definedName name="TFR_Rounding_Factor">#REF!</definedName>
    <definedName name="thiessrates10">#REF!</definedName>
    <definedName name="ThinCapInd">#REF!</definedName>
    <definedName name="This_Claim">#REF!,#REF!,#REF!,#REF!,#REF!,#REF!</definedName>
    <definedName name="Thousand">#REF!</definedName>
    <definedName name="Thousands">#REF!</definedName>
    <definedName name="TI_B001">#REF!</definedName>
    <definedName name="TI_B002">#REF!</definedName>
    <definedName name="TI_B003">#REF!</definedName>
    <definedName name="TI_B004">#REF!</definedName>
    <definedName name="TI_B005">#REF!</definedName>
    <definedName name="TI_B006">#REF!</definedName>
    <definedName name="TI_B007">#REF!</definedName>
    <definedName name="TI_B008">#REF!</definedName>
    <definedName name="TI_B009">#REF!</definedName>
    <definedName name="TI_B010">#REF!</definedName>
    <definedName name="TI_B011">#REF!</definedName>
    <definedName name="TI_B012">#REF!</definedName>
    <definedName name="TI_B013">#REF!</definedName>
    <definedName name="TI_B014">#REF!</definedName>
    <definedName name="TI_B015">#REF!</definedName>
    <definedName name="TI_B016">#REF!</definedName>
    <definedName name="TI_B017">#REF!</definedName>
    <definedName name="TI_B018">#REF!</definedName>
    <definedName name="TI_B019">#REF!</definedName>
    <definedName name="TI_B020">#REF!</definedName>
    <definedName name="TI_B021">#REF!</definedName>
    <definedName name="TI_B022">#REF!</definedName>
    <definedName name="TI_B023">#REF!</definedName>
    <definedName name="TI_B024">#REF!</definedName>
    <definedName name="TI_B025">#REF!</definedName>
    <definedName name="TI_B026">#REF!</definedName>
    <definedName name="TI_B027">#REF!</definedName>
    <definedName name="TI_B028">#REF!</definedName>
    <definedName name="TI_B031">#REF!</definedName>
    <definedName name="TI_B032">#REF!</definedName>
    <definedName name="TI_B033">#REF!</definedName>
    <definedName name="TI_B034">#REF!</definedName>
    <definedName name="TI_B035">#REF!</definedName>
    <definedName name="TI_B036">#REF!</definedName>
    <definedName name="TI_B038">#REF!</definedName>
    <definedName name="TI_B044">#REF!</definedName>
    <definedName name="TI_B045">#REF!</definedName>
    <definedName name="TI_B046">#REF!</definedName>
    <definedName name="TI_B047">#REF!</definedName>
    <definedName name="TI_B048">#REF!</definedName>
    <definedName name="TI_B050">#REF!</definedName>
    <definedName name="TI_B051">#REF!</definedName>
    <definedName name="TI_B052">#REF!</definedName>
    <definedName name="tier1">#REF!</definedName>
    <definedName name="tier2">#REF!</definedName>
    <definedName name="TiptonOpexContingency">#REF!</definedName>
    <definedName name="TiptonOpexSens">#REF!</definedName>
    <definedName name="TiptonWestAdminFee">#REF!</definedName>
    <definedName name="TiptonWestBookBase">#REF!</definedName>
    <definedName name="TiptonWestEndOps">#REF!</definedName>
    <definedName name="TiptonWestOMMargin">#REF!</definedName>
    <definedName name="TiptonWestOpsFlag">#REF!</definedName>
    <definedName name="TiptonWestOpsStart">#REF!</definedName>
    <definedName name="TiptonWestOptionAmount">#REF!</definedName>
    <definedName name="TiptonWestOptionExerciseDate">#REF!</definedName>
    <definedName name="TiptonWestOptionIndicator">#REF!</definedName>
    <definedName name="TiptonWestRealInsurance">#REF!</definedName>
    <definedName name="TiptonWestRealOpex">#REF!</definedName>
    <definedName name="TiptonWestRealRev">#REF!</definedName>
    <definedName name="TiptonWestRevSens">#REF!</definedName>
    <definedName name="TiptonWestTaxBase">#REF!</definedName>
    <definedName name="TIS">#REF!</definedName>
    <definedName name="TITLE">#REF!</definedName>
    <definedName name="TOP">#REF!</definedName>
    <definedName name="TOS_Cl_Bal">#REF!</definedName>
    <definedName name="TOS_IRR">#REF!</definedName>
    <definedName name="Tot199AA">#REF!</definedName>
    <definedName name="Tot199CR">#REF!</definedName>
    <definedName name="Tot220CR">#REF!</definedName>
    <definedName name="Tot221Cr">#REF!</definedName>
    <definedName name="Tot245AA">#REF!</definedName>
    <definedName name="tot253CR">#REF!</definedName>
    <definedName name="Tot255AA">#REF!</definedName>
    <definedName name="Tot257AA">#REF!</definedName>
    <definedName name="Tot257CR">#REF!</definedName>
    <definedName name="Tot259AA">#REF!</definedName>
    <definedName name="Tot259PPS">#REF!</definedName>
    <definedName name="Tot261AA">#REF!</definedName>
    <definedName name="Tot261CR">#REF!</definedName>
    <definedName name="Tot262AA">#REF!</definedName>
    <definedName name="Tot262CR">#REF!</definedName>
    <definedName name="Tot263AA">#REF!</definedName>
    <definedName name="Tot263CR">#REF!</definedName>
    <definedName name="Tot266AA">#REF!</definedName>
    <definedName name="Totals">#REF!</definedName>
    <definedName name="TotalTrancheDebt">#REF!</definedName>
    <definedName name="TotalTxnCostsDepn">#REF!</definedName>
    <definedName name="TotCR044">#REF!</definedName>
    <definedName name="TotSA013">#REF!</definedName>
    <definedName name="TotSA031">#REF!</definedName>
    <definedName name="TotSA033">#REF!</definedName>
    <definedName name="TotSA034">#REF!</definedName>
    <definedName name="TotSA035">#REF!</definedName>
    <definedName name="TotSA036">#REF!</definedName>
    <definedName name="TotSA040">#REF!</definedName>
    <definedName name="TotSA041">#REF!</definedName>
    <definedName name="TotSA044">#REF!</definedName>
    <definedName name="TotSA046">#REF!</definedName>
    <definedName name="TOTW05CG">#REF!</definedName>
    <definedName name="TOTW05CLCFWD">#REF!</definedName>
    <definedName name="TOTW05CLR">#REF!</definedName>
    <definedName name="TOTW05CLT">#REF!</definedName>
    <definedName name="TOTW05NCG">#REF!</definedName>
    <definedName name="TOTW11">#REF!</definedName>
    <definedName name="TOTW19DEFA">#REF!</definedName>
    <definedName name="TOTW19DEFD">#REF!</definedName>
    <definedName name="TOTW19PROV">#REF!</definedName>
    <definedName name="TOTW19RES">#REF!</definedName>
    <definedName name="TOTW36">#REF!</definedName>
    <definedName name="TOTW42A">#REF!</definedName>
    <definedName name="TOTW42B">#REF!</definedName>
    <definedName name="TOTW42REBATE">#REF!</definedName>
    <definedName name="TOTW52RECOUPED">#REF!</definedName>
    <definedName name="TOTW53IN">#REF!</definedName>
    <definedName name="TOTW53OUT">#REF!</definedName>
    <definedName name="TOTW54IN">#REF!</definedName>
    <definedName name="TOTW54OUT">#REF!</definedName>
    <definedName name="Townsville">#REF!</definedName>
    <definedName name="Townsville_Cost">#REF!</definedName>
    <definedName name="TPWAssets">#REF!</definedName>
    <definedName name="TradeCreditors">#REF!</definedName>
    <definedName name="TradeDebtors">#REF!</definedName>
    <definedName name="Tradingname">Cover!$C$17</definedName>
    <definedName name="TRAIN">#REF!</definedName>
    <definedName name="TrancheAAmount">#REF!</definedName>
    <definedName name="TrancheAEstabPayment">#REF!</definedName>
    <definedName name="TrancheBAmount">#REF!</definedName>
    <definedName name="TrancheBEstabPayment">#REF!</definedName>
    <definedName name="TrancheCEstabPayment">#REF!</definedName>
    <definedName name="TrancheCPostTOCapexInd">#REF!</definedName>
    <definedName name="TrancheDEstabPayment">#REF!</definedName>
    <definedName name="TrancheEEstabPayment">#REF!</definedName>
    <definedName name="Transm_Pricing_Zone">#REF!</definedName>
    <definedName name="TRANSPORT99">#REF!</definedName>
    <definedName name="trunk_chrge">#REF!</definedName>
    <definedName name="TT">#REF!</definedName>
    <definedName name="TUOS">#REF!</definedName>
    <definedName name="TUOS_FC">#REF!</definedName>
    <definedName name="TUOS_Var">#REF!</definedName>
    <definedName name="TUOS_VC">#REF!</definedName>
    <definedName name="TV_EBITDA_multiple">#REF!</definedName>
    <definedName name="TV_switch">#REF!</definedName>
    <definedName name="TxnCostsTaxDepn">#REF!</definedName>
    <definedName name="type">#REF!</definedName>
    <definedName name="TYPES">#REF!</definedName>
    <definedName name="TYPESP5">#REF!</definedName>
    <definedName name="UAGDATA">#REF!</definedName>
    <definedName name="UCHOICES">#REF!</definedName>
    <definedName name="UKTable">#REF!</definedName>
    <definedName name="UnEarRev_B027">#REF!</definedName>
    <definedName name="UnEarRev_B028">#REF!</definedName>
    <definedName name="UNLNK">#REF!</definedName>
    <definedName name="UnRegCR">#REF!</definedName>
    <definedName name="UnRegMinChg">#REF!</definedName>
    <definedName name="UnRegTH">#REF!</definedName>
    <definedName name="UnSecRevDSCRTable">#REF!</definedName>
    <definedName name="UOS_1">#REF!</definedName>
    <definedName name="UOS_2">#REF!</definedName>
    <definedName name="UpArrow">#REF!</definedName>
    <definedName name="Upstream">#REF!</definedName>
    <definedName name="USA">#REF!</definedName>
    <definedName name="USATable">#REF!</definedName>
    <definedName name="USDEOMSPOT">#REF!</definedName>
    <definedName name="uselist">INDEX(valdata,1,MATCH(#REF!,#REF!,0)):INDEX(valdata,counter,MATCH(#REF!,#REF!,0))</definedName>
    <definedName name="uselist2">INDEX(valdata2,1,MATCH(#REF!,#REF!,0)):INDEX(valdata2,counter2,MATCH(#REF!,#REF!,0))</definedName>
    <definedName name="uselist3">INDEX(valdata3,1,MATCH(#REF!,#REF!,0)):INDEX(valdata3,counter3,MATCH(#REF!,#REF!,0))</definedName>
    <definedName name="uselist4">INDEX(valdata4,1,MATCH(#REF!,#REF!,0)):INDEX(valdata4,counter4,MATCH(#REF!,#REF!,0))</definedName>
    <definedName name="valdata">#REF!:INDEX(#REF!,100,COUNTA(#REF!))</definedName>
    <definedName name="valdata2">#REF!:INDEX(#REF!,100,COUNTA(#REF!))</definedName>
    <definedName name="valdata3">#REF!:INDEX(#REF!,100,COUNTA(#REF!))</definedName>
    <definedName name="valdata4">#REF!:INDEX(#REF!,100,COUNTA(#REF!))</definedName>
    <definedName name="Validations">#REF!</definedName>
    <definedName name="ValleyBeef">#REF!</definedName>
    <definedName name="valn_date">#REF!</definedName>
    <definedName name="vanilla">#REF!</definedName>
    <definedName name="vanilla1">#REF!</definedName>
    <definedName name="vanilla10">#REF!</definedName>
    <definedName name="vanilla2">#REF!</definedName>
    <definedName name="vanilla3">#REF!</definedName>
    <definedName name="vanilla4">#REF!</definedName>
    <definedName name="vanilla5">#REF!</definedName>
    <definedName name="vanilla6">#REF!</definedName>
    <definedName name="vanilla7">#REF!</definedName>
    <definedName name="vanilla8">#REF!</definedName>
    <definedName name="vanilla9">#REF!</definedName>
    <definedName name="VarAA_tbl">#REF!</definedName>
    <definedName name="vAutoFilter">#REF!</definedName>
    <definedName name="vAutoFilterFLAG">#REF!</definedName>
    <definedName name="vCube" hidden="1">#REF!</definedName>
    <definedName name="Version.WIRE">1</definedName>
    <definedName name="vFormulas" hidden="1">#REF!</definedName>
    <definedName name="vGetRange" hidden="1">#REF!</definedName>
    <definedName name="VIC_BudgetData">#REF!</definedName>
    <definedName name="Vic_CY">OFFSET(#REF!,0,#REF!,,24)</definedName>
    <definedName name="Vic_mat">OFFSET(#REF!,0,#REF!,,36)</definedName>
    <definedName name="Vic_PY">OFFSET(#REF!,0,#REF!,,36)</definedName>
    <definedName name="Vicgas_April">#REF!</definedName>
    <definedName name="Vicgas_August">#REF!</definedName>
    <definedName name="Vicgas_December">#REF!</definedName>
    <definedName name="Vicgas_February">#REF!</definedName>
    <definedName name="Vicgas_January">#REF!</definedName>
    <definedName name="Vicgas_July">#REF!</definedName>
    <definedName name="Vicgas_June">#REF!</definedName>
    <definedName name="Vicgas_March">#REF!</definedName>
    <definedName name="Vicgas_May">#REF!</definedName>
    <definedName name="Vicgas_November">#REF!</definedName>
    <definedName name="Vicgas_October">#REF!</definedName>
    <definedName name="Vicgas_September">#REF!</definedName>
    <definedName name="Visy">#REF!</definedName>
    <definedName name="Vol">#REF!</definedName>
    <definedName name="volume">#REF!</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VTyp">#REF!</definedName>
    <definedName name="W53_Company_Name">#REF!</definedName>
    <definedName name="W5ADDCOST">#REF!</definedName>
    <definedName name="W5COST">#REF!</definedName>
    <definedName name="W5DISPCOST">#REF!</definedName>
    <definedName name="W5INDEX">#REF!</definedName>
    <definedName name="W5LOSS">#REF!</definedName>
    <definedName name="W5NEWCOST">#REF!</definedName>
    <definedName name="W5NOGAIN">#REF!</definedName>
    <definedName name="W5PROCEED">#REF!</definedName>
    <definedName name="W5PROFIT">#REF!</definedName>
    <definedName name="WACC">#REF!</definedName>
    <definedName name="WAPLInvoice">#REF!</definedName>
    <definedName name="Warwick">#REF!</definedName>
    <definedName name="Warwick_Cost">#REF!</definedName>
    <definedName name="WB_BudgetData">#REF!</definedName>
    <definedName name="WBSList">#REF!</definedName>
    <definedName name="wc">#REF!</definedName>
    <definedName name="wcbal">#REF!</definedName>
    <definedName name="WCCommitmentFeePerc">#REF!</definedName>
    <definedName name="wcdebtors">#REF!</definedName>
    <definedName name="WCDrawdownDate">#REF!</definedName>
    <definedName name="WCEndDate">#REF!</definedName>
    <definedName name="WCEstablishmentFee">#REF!</definedName>
    <definedName name="WCFacilityLimit">#REF!</definedName>
    <definedName name="WCMargin">#REF!</definedName>
    <definedName name="wcother">#REF!</definedName>
    <definedName name="wcsumm">#REF!</definedName>
    <definedName name="Weather_Grid">#REF!</definedName>
    <definedName name="Weighted_Price">#REF!</definedName>
    <definedName name="WELCOME_TO_PAGE">#REF!</definedName>
    <definedName name="WH_Rates">#REF!</definedName>
    <definedName name="Wholesale_Trade">#REF!</definedName>
    <definedName name="Whprice">#REF!</definedName>
    <definedName name="WickhamCapexBookDepnRate">#REF!</definedName>
    <definedName name="WickhamCapexFacAmtExclInt">#REF!</definedName>
    <definedName name="WickhamCapexSens">#REF!</definedName>
    <definedName name="WickhamContractEndDate">#REF!</definedName>
    <definedName name="WickhamOpexContingency">#REF!</definedName>
    <definedName name="WickhamOpexSens">#REF!</definedName>
    <definedName name="WickhamOpsFlag">#REF!</definedName>
    <definedName name="WickhamPointOMMargin">#REF!</definedName>
    <definedName name="WickhamRealYrlyRevenue">#REF!</definedName>
    <definedName name="WickhamRevPostContract">#REF!</definedName>
    <definedName name="WickhamRevPostContractEndDate">#REF!</definedName>
    <definedName name="WickhamRevSens">#REF!</definedName>
    <definedName name="WickhamStartOps">#REF!</definedName>
    <definedName name="Wide50_100">#REF!</definedName>
    <definedName name="WithholdingDistributions">#REF!</definedName>
    <definedName name="WithholdingRPSInt">#REF!</definedName>
    <definedName name="WithholdingRPSPrincipal">#REF!</definedName>
    <definedName name="WithholdingTaxChooser">#REF!</definedName>
    <definedName name="Wks_In_Yr">#REF!</definedName>
    <definedName name="WPCInvoice">#REF!</definedName>
    <definedName name="WrapFeeBondDiff">#REF!</definedName>
    <definedName name="WrapFeeFinClose">#REF!</definedName>
    <definedName name="WrappingFeeCFEndDate">#REF!</definedName>
    <definedName name="WrappingFeeDiscRate">#REF!</definedName>
    <definedName name="WrappingFeePerc">#REF!</definedName>
    <definedName name="WrappingFeePeriod">#REF!</definedName>
    <definedName name="wrn.1st._.Quarter." hidden="1">{#N/A,#N/A,FALSE,"1st quarter"}</definedName>
    <definedName name="wrn.1stqtr." hidden="1">{#N/A,#N/A,FALSE,"1st quarter"}</definedName>
    <definedName name="wrn.Annual._.Summary." hidden="1">{#N/A,#N/A,FALSE,"Annual Summary"}</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Inputs." hidden="1">{#N/A,#N/A,FALSE,"Input"}</definedName>
    <definedName name="wrn.IRR." hidden="1">{#N/A,#N/A,FALSE,"IRR"}</definedName>
    <definedName name="wrn.LTV._.Output." hidden="1">{"LTV Output",#N/A,FALSE,"Output"}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wtsheet">#REF!</definedName>
    <definedName name="x">#REF!</definedName>
    <definedName name="x_1">#REF!</definedName>
    <definedName name="X_2">#REF!</definedName>
    <definedName name="X_3">#REF!</definedName>
    <definedName name="X_4">#REF!</definedName>
    <definedName name="XAXIS">OFFSET(#REF!,,COUNTIF(#REF!,"&gt;0")-36,,36)</definedName>
    <definedName name="XAXISV">OFFSET(#REF!,,COUNT(#REF!)-36,,36)</definedName>
    <definedName name="xx">#REF!</definedName>
    <definedName name="xxAnnl_CorpTax_Rate">#REF!</definedName>
    <definedName name="xxINDANNUAL">#REF!</definedName>
    <definedName name="xxINITEQUITYINJ">#REF!</definedName>
    <definedName name="xxx">#REF!</definedName>
    <definedName name="XXXXXXXXXXXXXXXXXXXXX">#REF!</definedName>
    <definedName name="xxYearNo">#REF!</definedName>
    <definedName name="y">#REF!</definedName>
    <definedName name="Y_N">#REF!</definedName>
    <definedName name="YEAR">#REF!</definedName>
    <definedName name="Yearending">Cover!$C$27</definedName>
    <definedName name="YearEndMonth">#REF!</definedName>
    <definedName name="years">#REF!</definedName>
    <definedName name="Yearstart">Cover!$C$25</definedName>
    <definedName name="Yes">#REF!</definedName>
    <definedName name="YesNo">#REF!</definedName>
    <definedName name="Yr_Name">#REF!</definedName>
    <definedName name="Yrs_In_Yr">#REF!</definedName>
    <definedName name="YTD_Months">#REF!</definedName>
    <definedName name="ytdact98">#REF!</definedName>
    <definedName name="YTDACT99">#REF!</definedName>
    <definedName name="YTDACTTJ">#REF!</definedName>
    <definedName name="YTDBUD99">#REF!</definedName>
    <definedName name="YTDLIFE">#REF!</definedName>
    <definedName name="YTDLIFEE">#REF!</definedName>
    <definedName name="YTDVAR99">#REF!</definedName>
    <definedName name="yy">#REF!</definedName>
    <definedName name="z">OFFSET(ADSWAPCount,0,1+ItemsCols,1,ADSWAPCount)</definedName>
    <definedName name="Zeitwert">#REF!</definedName>
    <definedName name="ZW">#REF!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7" i="34" l="1"/>
  <c r="E67" i="34"/>
  <c r="E20" i="34"/>
  <c r="F20" i="34"/>
  <c r="E21" i="34"/>
  <c r="E19" i="34"/>
  <c r="F22" i="34"/>
  <c r="F21" i="34"/>
  <c r="F19" i="34"/>
  <c r="E66" i="34"/>
  <c r="E23" i="34"/>
  <c r="E18" i="34"/>
  <c r="E17" i="34"/>
  <c r="E16" i="34"/>
  <c r="E22" i="34"/>
  <c r="E15" i="34"/>
  <c r="I18" i="16"/>
  <c r="F18" i="34"/>
  <c r="F17" i="34"/>
  <c r="C43" i="47"/>
  <c r="F12" i="47" s="1"/>
  <c r="G12" i="47" s="1"/>
  <c r="H12" i="47" s="1"/>
  <c r="F23" i="34"/>
  <c r="F16" i="34"/>
  <c r="F15" i="34"/>
  <c r="E41" i="66"/>
  <c r="A28" i="112"/>
  <c r="B28" i="112"/>
  <c r="A29" i="112"/>
  <c r="B29" i="112"/>
  <c r="A30" i="112"/>
  <c r="B30" i="112"/>
  <c r="A31" i="112"/>
  <c r="B31" i="112"/>
  <c r="A32" i="112"/>
  <c r="B32" i="112"/>
  <c r="A33" i="112"/>
  <c r="B33" i="112"/>
  <c r="A34" i="112"/>
  <c r="B34" i="112"/>
  <c r="A35" i="112"/>
  <c r="B35" i="112"/>
  <c r="A36" i="112"/>
  <c r="B36" i="112"/>
  <c r="A37" i="112"/>
  <c r="B37" i="112"/>
  <c r="A38" i="112"/>
  <c r="B38" i="112"/>
  <c r="A39" i="112"/>
  <c r="B39" i="112"/>
  <c r="A40" i="112"/>
  <c r="B40" i="112"/>
  <c r="A41" i="112"/>
  <c r="B41" i="112"/>
  <c r="A42" i="112"/>
  <c r="B42" i="112"/>
  <c r="A43" i="112"/>
  <c r="B43" i="112"/>
  <c r="A44" i="112"/>
  <c r="B44" i="112"/>
  <c r="A45" i="112"/>
  <c r="B45" i="112"/>
  <c r="A46" i="112"/>
  <c r="B46" i="112"/>
  <c r="A47" i="112"/>
  <c r="B47" i="112"/>
  <c r="A48" i="112"/>
  <c r="B48" i="112"/>
  <c r="A49" i="112"/>
  <c r="B49" i="112"/>
  <c r="A50" i="112"/>
  <c r="B50" i="112"/>
  <c r="A51" i="112"/>
  <c r="B51" i="112"/>
  <c r="A52" i="112"/>
  <c r="B52" i="112"/>
  <c r="A53" i="112"/>
  <c r="B53" i="112"/>
  <c r="A54" i="112"/>
  <c r="B54" i="112"/>
  <c r="A55" i="112"/>
  <c r="B55" i="112"/>
  <c r="A56" i="112"/>
  <c r="B56" i="112"/>
  <c r="A57" i="112"/>
  <c r="B57" i="112"/>
  <c r="A58" i="112"/>
  <c r="B58" i="112"/>
  <c r="A59" i="112"/>
  <c r="B59" i="112"/>
  <c r="A60" i="112"/>
  <c r="B60" i="112"/>
  <c r="A61" i="112"/>
  <c r="B61" i="112"/>
  <c r="A62" i="112"/>
  <c r="B62" i="112"/>
  <c r="A63" i="112"/>
  <c r="B63" i="112"/>
  <c r="A64" i="112"/>
  <c r="B64" i="112"/>
  <c r="A65" i="112"/>
  <c r="B65" i="112"/>
  <c r="A66" i="112"/>
  <c r="A67" i="112"/>
  <c r="B67" i="112"/>
  <c r="A68" i="112"/>
  <c r="B68" i="112"/>
  <c r="A69" i="112"/>
  <c r="B69" i="112"/>
  <c r="A70" i="112"/>
  <c r="B70" i="112"/>
  <c r="B27" i="112"/>
  <c r="A27" i="112"/>
  <c r="F66" i="34"/>
  <c r="K94" i="112"/>
  <c r="L28" i="112"/>
  <c r="M28" i="112" s="1"/>
  <c r="L29" i="112"/>
  <c r="M29" i="112" s="1"/>
  <c r="L30" i="112"/>
  <c r="M30" i="112" s="1"/>
  <c r="L31" i="112"/>
  <c r="M31" i="112" s="1"/>
  <c r="L32" i="112"/>
  <c r="M32" i="112" s="1"/>
  <c r="L33" i="112"/>
  <c r="M33" i="112" s="1"/>
  <c r="L34" i="112"/>
  <c r="M34" i="112" s="1"/>
  <c r="L35" i="112"/>
  <c r="M35" i="112" s="1"/>
  <c r="L36" i="112"/>
  <c r="M36" i="112" s="1"/>
  <c r="L37" i="112"/>
  <c r="M37" i="112" s="1"/>
  <c r="L38" i="112"/>
  <c r="M38" i="112" s="1"/>
  <c r="L39" i="112"/>
  <c r="M39" i="112" s="1"/>
  <c r="L40" i="112"/>
  <c r="M40" i="112" s="1"/>
  <c r="L41" i="112"/>
  <c r="M41" i="112" s="1"/>
  <c r="L42" i="112"/>
  <c r="M42" i="112" s="1"/>
  <c r="L43" i="112"/>
  <c r="M43" i="112" s="1"/>
  <c r="L44" i="112"/>
  <c r="M44" i="112" s="1"/>
  <c r="L45" i="112"/>
  <c r="M45" i="112" s="1"/>
  <c r="L46" i="112"/>
  <c r="M46" i="112" s="1"/>
  <c r="L47" i="112"/>
  <c r="M47" i="112" s="1"/>
  <c r="L48" i="112"/>
  <c r="M48" i="112" s="1"/>
  <c r="L49" i="112"/>
  <c r="M49" i="112" s="1"/>
  <c r="L50" i="112"/>
  <c r="M50" i="112" s="1"/>
  <c r="L51" i="112"/>
  <c r="M51" i="112" s="1"/>
  <c r="L52" i="112"/>
  <c r="M52" i="112" s="1"/>
  <c r="L53" i="112"/>
  <c r="M53" i="112" s="1"/>
  <c r="L54" i="112"/>
  <c r="M54" i="112" s="1"/>
  <c r="L55" i="112"/>
  <c r="M55" i="112" s="1"/>
  <c r="L56" i="112"/>
  <c r="M56" i="112" s="1"/>
  <c r="L57" i="112"/>
  <c r="M57" i="112" s="1"/>
  <c r="L58" i="112"/>
  <c r="M58" i="112" s="1"/>
  <c r="L59" i="112"/>
  <c r="M59" i="112" s="1"/>
  <c r="L60" i="112"/>
  <c r="M60" i="112" s="1"/>
  <c r="L61" i="112"/>
  <c r="M61" i="112" s="1"/>
  <c r="L62" i="112"/>
  <c r="M62" i="112" s="1"/>
  <c r="L63" i="112"/>
  <c r="M63" i="112" s="1"/>
  <c r="L64" i="112"/>
  <c r="M64" i="112" s="1"/>
  <c r="L65" i="112"/>
  <c r="M65" i="112" s="1"/>
  <c r="L66" i="112"/>
  <c r="M66" i="112" s="1"/>
  <c r="L67" i="112"/>
  <c r="M67" i="112" s="1"/>
  <c r="L68" i="112"/>
  <c r="M68" i="112" s="1"/>
  <c r="L69" i="112"/>
  <c r="M69" i="112" s="1"/>
  <c r="L70" i="112"/>
  <c r="M70" i="112" s="1"/>
  <c r="L27" i="112"/>
  <c r="M27" i="112" s="1"/>
  <c r="B2" i="6"/>
  <c r="E102" i="6"/>
  <c r="D130" i="6"/>
  <c r="E15" i="87"/>
  <c r="D15" i="87"/>
  <c r="F15" i="87"/>
  <c r="G15" i="87"/>
  <c r="H15" i="87"/>
  <c r="B16" i="44"/>
  <c r="B15" i="44"/>
  <c r="D118" i="6"/>
  <c r="D116" i="6"/>
  <c r="D110" i="6"/>
  <c r="D108" i="6"/>
  <c r="D95" i="6"/>
  <c r="D94" i="6"/>
  <c r="D93" i="6" s="1"/>
  <c r="D92" i="6"/>
  <c r="D91" i="6"/>
  <c r="D90" i="6"/>
  <c r="D86" i="6"/>
  <c r="D78" i="6"/>
  <c r="D71" i="6"/>
  <c r="D63" i="6"/>
  <c r="D55" i="6"/>
  <c r="D47" i="6"/>
  <c r="D39" i="6"/>
  <c r="D31" i="6"/>
  <c r="D23" i="6"/>
  <c r="G98" i="66"/>
  <c r="G46" i="59"/>
  <c r="I84" i="34"/>
  <c r="G59" i="34"/>
  <c r="D93" i="87"/>
  <c r="E91" i="87" s="1"/>
  <c r="E93" i="87" s="1"/>
  <c r="F91" i="87" s="1"/>
  <c r="F93" i="87" s="1"/>
  <c r="G91" i="87" s="1"/>
  <c r="G93" i="87" s="1"/>
  <c r="H91" i="87" s="1"/>
  <c r="H93" i="87" s="1"/>
  <c r="D90" i="87"/>
  <c r="E86" i="87" s="1"/>
  <c r="E90" i="87" s="1"/>
  <c r="D84" i="87"/>
  <c r="E80" i="87" s="1"/>
  <c r="E84" i="87" s="1"/>
  <c r="F80" i="87" s="1"/>
  <c r="F84" i="87" s="1"/>
  <c r="D29" i="87"/>
  <c r="E25" i="87" s="1"/>
  <c r="E29" i="87" s="1"/>
  <c r="F25" i="87" s="1"/>
  <c r="F29" i="87" s="1"/>
  <c r="G25" i="87" s="1"/>
  <c r="G29" i="87" s="1"/>
  <c r="H25" i="87" s="1"/>
  <c r="H29" i="87" s="1"/>
  <c r="D20" i="87"/>
  <c r="D23" i="87" s="1"/>
  <c r="E18" i="87" s="1"/>
  <c r="E20" i="87" s="1"/>
  <c r="E23" i="87" s="1"/>
  <c r="D102" i="6"/>
  <c r="E96" i="6"/>
  <c r="E57" i="6"/>
  <c r="I35" i="16"/>
  <c r="I34" i="16"/>
  <c r="I33" i="16"/>
  <c r="I32" i="16"/>
  <c r="I31" i="16"/>
  <c r="I30" i="16"/>
  <c r="I29" i="16"/>
  <c r="I28" i="16"/>
  <c r="I27" i="16"/>
  <c r="I22" i="16"/>
  <c r="E41" i="76" s="1"/>
  <c r="I21" i="16"/>
  <c r="I20" i="16"/>
  <c r="E39" i="76" s="1"/>
  <c r="I19" i="16"/>
  <c r="E38" i="76" s="1"/>
  <c r="I17" i="16"/>
  <c r="E36" i="76" s="1"/>
  <c r="I16" i="16"/>
  <c r="E35" i="76" s="1"/>
  <c r="I15" i="16"/>
  <c r="E34" i="76" s="1"/>
  <c r="H35" i="16"/>
  <c r="H34" i="16"/>
  <c r="H33" i="16"/>
  <c r="H32" i="16"/>
  <c r="H31" i="16"/>
  <c r="H30" i="16"/>
  <c r="H29" i="16"/>
  <c r="H28" i="16"/>
  <c r="H27" i="16"/>
  <c r="F23" i="16"/>
  <c r="F36" i="16" s="1"/>
  <c r="H41" i="45"/>
  <c r="H40" i="45"/>
  <c r="H39" i="45"/>
  <c r="H38" i="45"/>
  <c r="H37" i="45"/>
  <c r="H36" i="45"/>
  <c r="H35" i="45"/>
  <c r="H34" i="45"/>
  <c r="H33" i="45"/>
  <c r="H32" i="45"/>
  <c r="H31" i="45"/>
  <c r="H30" i="45"/>
  <c r="H29" i="45"/>
  <c r="H28" i="45"/>
  <c r="H27" i="45"/>
  <c r="H26" i="45"/>
  <c r="H25" i="45"/>
  <c r="H24" i="45"/>
  <c r="H23" i="45"/>
  <c r="H22" i="45"/>
  <c r="H21" i="45"/>
  <c r="H20" i="45"/>
  <c r="H19" i="45"/>
  <c r="H18" i="45"/>
  <c r="H17" i="45"/>
  <c r="H16" i="45"/>
  <c r="H15" i="45"/>
  <c r="G18" i="45"/>
  <c r="G17" i="45"/>
  <c r="G16" i="45"/>
  <c r="E42" i="45"/>
  <c r="D29" i="57"/>
  <c r="D15" i="76" s="1"/>
  <c r="F15" i="76" s="1"/>
  <c r="C17" i="57"/>
  <c r="D14" i="76" s="1"/>
  <c r="D17" i="57"/>
  <c r="E16" i="57"/>
  <c r="E15" i="57"/>
  <c r="E14" i="57"/>
  <c r="E13" i="57"/>
  <c r="E12" i="57"/>
  <c r="E11" i="57"/>
  <c r="H18" i="76"/>
  <c r="J23" i="56" s="1"/>
  <c r="H150" i="80"/>
  <c r="H151" i="80"/>
  <c r="H152" i="80"/>
  <c r="H153" i="80"/>
  <c r="H154" i="80"/>
  <c r="H155" i="80"/>
  <c r="H156" i="80"/>
  <c r="H157" i="80"/>
  <c r="H158" i="80"/>
  <c r="H138" i="80"/>
  <c r="H139" i="80"/>
  <c r="H140" i="80"/>
  <c r="H141" i="80"/>
  <c r="H142" i="80"/>
  <c r="H143" i="80"/>
  <c r="H144" i="80"/>
  <c r="H145" i="80"/>
  <c r="H146" i="80"/>
  <c r="E150" i="80"/>
  <c r="E151" i="80"/>
  <c r="E152" i="80"/>
  <c r="E153" i="80"/>
  <c r="E154" i="80"/>
  <c r="E155" i="80"/>
  <c r="E156" i="80"/>
  <c r="E157" i="80"/>
  <c r="E158" i="80"/>
  <c r="D150" i="80"/>
  <c r="D151" i="80"/>
  <c r="D152" i="80"/>
  <c r="D153" i="80"/>
  <c r="D154" i="80"/>
  <c r="D155" i="80"/>
  <c r="D156" i="80"/>
  <c r="D157" i="80"/>
  <c r="D158" i="80"/>
  <c r="F117" i="80"/>
  <c r="F118" i="80"/>
  <c r="F119" i="80"/>
  <c r="F120" i="80"/>
  <c r="F121" i="80"/>
  <c r="F122" i="80"/>
  <c r="F123" i="80"/>
  <c r="F124" i="80"/>
  <c r="F125" i="80"/>
  <c r="E105" i="80"/>
  <c r="E106" i="80"/>
  <c r="E107" i="80"/>
  <c r="E108" i="80"/>
  <c r="E109" i="80"/>
  <c r="E110" i="80"/>
  <c r="E111" i="80"/>
  <c r="E112" i="80"/>
  <c r="E113" i="80"/>
  <c r="E80" i="80"/>
  <c r="E81" i="80"/>
  <c r="E82" i="80"/>
  <c r="E83" i="80"/>
  <c r="E84" i="80"/>
  <c r="E85" i="80"/>
  <c r="E86" i="80"/>
  <c r="E87" i="80"/>
  <c r="E88" i="80"/>
  <c r="D77" i="87"/>
  <c r="E73" i="87" s="1"/>
  <c r="E77" i="87" s="1"/>
  <c r="F73" i="87" s="1"/>
  <c r="F77" i="87" s="1"/>
  <c r="G73" i="87" s="1"/>
  <c r="G77" i="87" s="1"/>
  <c r="H73" i="87" s="1"/>
  <c r="H77" i="87" s="1"/>
  <c r="D71" i="87"/>
  <c r="E67" i="87" s="1"/>
  <c r="E71" i="87" s="1"/>
  <c r="F67" i="87" s="1"/>
  <c r="F71" i="87" s="1"/>
  <c r="G67" i="87" s="1"/>
  <c r="G71" i="87" s="1"/>
  <c r="H67" i="87" s="1"/>
  <c r="H71" i="87" s="1"/>
  <c r="D65" i="87"/>
  <c r="E61" i="87" s="1"/>
  <c r="E65" i="87" s="1"/>
  <c r="F61" i="87" s="1"/>
  <c r="F65" i="87" s="1"/>
  <c r="G61" i="87" s="1"/>
  <c r="G65" i="87" s="1"/>
  <c r="H61" i="87" s="1"/>
  <c r="H65" i="87" s="1"/>
  <c r="D59" i="87"/>
  <c r="E55" i="87" s="1"/>
  <c r="E59" i="87" s="1"/>
  <c r="F55" i="87" s="1"/>
  <c r="F59" i="87" s="1"/>
  <c r="G55" i="87" s="1"/>
  <c r="G59" i="87" s="1"/>
  <c r="H55" i="87" s="1"/>
  <c r="H59" i="87" s="1"/>
  <c r="D53" i="87"/>
  <c r="E49" i="87" s="1"/>
  <c r="E53" i="87" s="1"/>
  <c r="F49" i="87" s="1"/>
  <c r="F53" i="87" s="1"/>
  <c r="G49" i="87" s="1"/>
  <c r="G53" i="87" s="1"/>
  <c r="H49" i="87" s="1"/>
  <c r="H53" i="87" s="1"/>
  <c r="D47" i="87"/>
  <c r="E43" i="87" s="1"/>
  <c r="E47" i="87" s="1"/>
  <c r="F43" i="87" s="1"/>
  <c r="F47" i="87" s="1"/>
  <c r="G43" i="87" s="1"/>
  <c r="G47" i="87" s="1"/>
  <c r="H43" i="87" s="1"/>
  <c r="H47" i="87" s="1"/>
  <c r="D41" i="87"/>
  <c r="E37" i="87" s="1"/>
  <c r="E41" i="87" s="1"/>
  <c r="F37" i="87" s="1"/>
  <c r="F41" i="87" s="1"/>
  <c r="G37" i="87" s="1"/>
  <c r="G41" i="87" s="1"/>
  <c r="H37" i="87" s="1"/>
  <c r="H41" i="87" s="1"/>
  <c r="D35" i="87"/>
  <c r="E31" i="87" s="1"/>
  <c r="E35" i="87" s="1"/>
  <c r="F31" i="87" s="1"/>
  <c r="F35" i="87" s="1"/>
  <c r="G31" i="87" s="1"/>
  <c r="G35" i="87" s="1"/>
  <c r="H31" i="87" s="1"/>
  <c r="H35" i="87" s="1"/>
  <c r="C4" i="87"/>
  <c r="C3" i="87"/>
  <c r="D42" i="74"/>
  <c r="E23" i="47"/>
  <c r="B43" i="74"/>
  <c r="C3" i="84"/>
  <c r="C3" i="66"/>
  <c r="C3" i="47"/>
  <c r="C3" i="59"/>
  <c r="C3" i="34"/>
  <c r="C3" i="63"/>
  <c r="C3" i="55"/>
  <c r="C3" i="6"/>
  <c r="C3" i="16"/>
  <c r="C3" i="45"/>
  <c r="C3" i="57"/>
  <c r="C3" i="56"/>
  <c r="C3" i="76"/>
  <c r="C3" i="5"/>
  <c r="C3" i="44"/>
  <c r="C3" i="82"/>
  <c r="C3" i="69"/>
  <c r="D3" i="4"/>
  <c r="C3" i="74"/>
  <c r="C3" i="80"/>
  <c r="J78" i="56"/>
  <c r="J35" i="56"/>
  <c r="J31" i="56" s="1"/>
  <c r="E149" i="80"/>
  <c r="D149" i="80"/>
  <c r="H21" i="76"/>
  <c r="J47" i="56" s="1"/>
  <c r="J39" i="56" s="1"/>
  <c r="E32" i="76"/>
  <c r="F66" i="56" s="1"/>
  <c r="H32" i="76"/>
  <c r="H43" i="76"/>
  <c r="J90" i="56" s="1"/>
  <c r="G17" i="59"/>
  <c r="L57" i="34"/>
  <c r="N57" i="34" s="1"/>
  <c r="Q57" i="34" s="1"/>
  <c r="N36" i="47"/>
  <c r="O36" i="47"/>
  <c r="P36" i="47"/>
  <c r="Q36" i="47"/>
  <c r="R36" i="47"/>
  <c r="S36" i="47"/>
  <c r="T36" i="47"/>
  <c r="U36" i="47"/>
  <c r="V36" i="47"/>
  <c r="W36" i="47"/>
  <c r="X36" i="47"/>
  <c r="Y36" i="47"/>
  <c r="Z36" i="47"/>
  <c r="AA36" i="47"/>
  <c r="AB36" i="47"/>
  <c r="AC36" i="47"/>
  <c r="AD36" i="47"/>
  <c r="AE36" i="47"/>
  <c r="AF36" i="47"/>
  <c r="AG36" i="47"/>
  <c r="AH36" i="47"/>
  <c r="AI36" i="47"/>
  <c r="AJ36" i="47"/>
  <c r="AK36" i="47"/>
  <c r="AL36" i="47"/>
  <c r="AM36" i="47"/>
  <c r="AN36" i="47"/>
  <c r="AO36" i="47"/>
  <c r="AP36" i="47"/>
  <c r="AQ36" i="47"/>
  <c r="AR36" i="47"/>
  <c r="AS36" i="47"/>
  <c r="AT36" i="47"/>
  <c r="AU36" i="47"/>
  <c r="AV36" i="47"/>
  <c r="AW36" i="47"/>
  <c r="AX36" i="47"/>
  <c r="AY36" i="47"/>
  <c r="AZ36" i="47"/>
  <c r="BA36" i="47"/>
  <c r="BB36" i="47"/>
  <c r="BC36" i="47"/>
  <c r="BD36" i="47"/>
  <c r="BE36" i="47"/>
  <c r="BF36" i="47"/>
  <c r="BG36" i="47"/>
  <c r="BH36" i="47"/>
  <c r="BH28" i="47"/>
  <c r="BG28" i="47"/>
  <c r="BF28" i="47"/>
  <c r="BE28" i="47"/>
  <c r="BD28" i="47"/>
  <c r="BC28" i="47"/>
  <c r="BB28" i="47"/>
  <c r="BA28" i="47"/>
  <c r="AZ28" i="47"/>
  <c r="AY28" i="47"/>
  <c r="AX28" i="47"/>
  <c r="AW28" i="47"/>
  <c r="AV28" i="47"/>
  <c r="AU28" i="47"/>
  <c r="AT28" i="47"/>
  <c r="AS28" i="47"/>
  <c r="AR28" i="47"/>
  <c r="AQ28" i="47"/>
  <c r="AP28" i="47"/>
  <c r="AO28" i="47"/>
  <c r="AN28" i="47"/>
  <c r="AM28" i="47"/>
  <c r="AL28" i="47"/>
  <c r="AK28" i="47"/>
  <c r="AJ28" i="47"/>
  <c r="AI28" i="47"/>
  <c r="AH28" i="47"/>
  <c r="AG28" i="47"/>
  <c r="AF28" i="47"/>
  <c r="AE28" i="47"/>
  <c r="AD28" i="47"/>
  <c r="AC28" i="47"/>
  <c r="AB28" i="47"/>
  <c r="AA28" i="47"/>
  <c r="Z28" i="47"/>
  <c r="Y28" i="47"/>
  <c r="X28" i="47"/>
  <c r="W28" i="47"/>
  <c r="V28" i="47"/>
  <c r="U28" i="47"/>
  <c r="T28" i="47"/>
  <c r="S28" i="47"/>
  <c r="R28" i="47"/>
  <c r="Q28" i="47"/>
  <c r="P28" i="47"/>
  <c r="O28" i="47"/>
  <c r="N28" i="47"/>
  <c r="BH20" i="47"/>
  <c r="BG20" i="47"/>
  <c r="BF20" i="47"/>
  <c r="BE20" i="47"/>
  <c r="BD20" i="47"/>
  <c r="BC20" i="47"/>
  <c r="BB20" i="47"/>
  <c r="BA20" i="47"/>
  <c r="AZ20" i="47"/>
  <c r="AY20" i="47"/>
  <c r="AX20" i="47"/>
  <c r="AW20" i="47"/>
  <c r="AV20" i="47"/>
  <c r="AU20" i="47"/>
  <c r="AT20" i="47"/>
  <c r="AS20" i="47"/>
  <c r="AR20" i="47"/>
  <c r="AQ20" i="47"/>
  <c r="AP20" i="47"/>
  <c r="AO20" i="47"/>
  <c r="AN20" i="47"/>
  <c r="AM20" i="47"/>
  <c r="AL20" i="47"/>
  <c r="AK20" i="47"/>
  <c r="AJ20" i="47"/>
  <c r="AI20" i="47"/>
  <c r="AH20" i="47"/>
  <c r="AG20" i="47"/>
  <c r="AF20" i="47"/>
  <c r="AE20" i="47"/>
  <c r="AD20" i="47"/>
  <c r="AC20" i="47"/>
  <c r="AB20" i="47"/>
  <c r="AA20" i="47"/>
  <c r="Z20" i="47"/>
  <c r="Y20" i="47"/>
  <c r="X20" i="47"/>
  <c r="W20" i="47"/>
  <c r="V20" i="47"/>
  <c r="U20" i="47"/>
  <c r="T20" i="47"/>
  <c r="S20" i="47"/>
  <c r="R20" i="47"/>
  <c r="Q20" i="47"/>
  <c r="P20" i="47"/>
  <c r="O20" i="47"/>
  <c r="N20" i="47"/>
  <c r="G37" i="59"/>
  <c r="G38" i="59"/>
  <c r="G39" i="59"/>
  <c r="G40" i="59"/>
  <c r="G41" i="59"/>
  <c r="E22" i="47"/>
  <c r="C34" i="55"/>
  <c r="C23" i="55"/>
  <c r="C28" i="55"/>
  <c r="C18" i="55"/>
  <c r="C17" i="55"/>
  <c r="C16" i="55"/>
  <c r="C15" i="55"/>
  <c r="C14" i="55"/>
  <c r="C13" i="55"/>
  <c r="C12" i="55"/>
  <c r="C11" i="55"/>
  <c r="L24" i="34"/>
  <c r="N24" i="34" s="1"/>
  <c r="Q24" i="34" s="1"/>
  <c r="L25" i="34"/>
  <c r="N25" i="34" s="1"/>
  <c r="Q25" i="34" s="1"/>
  <c r="L26" i="34"/>
  <c r="N26" i="34" s="1"/>
  <c r="Q26" i="34" s="1"/>
  <c r="L27" i="34"/>
  <c r="N27" i="34" s="1"/>
  <c r="Q27" i="34" s="1"/>
  <c r="L28" i="34"/>
  <c r="N28" i="34" s="1"/>
  <c r="Q28" i="34" s="1"/>
  <c r="L29" i="34"/>
  <c r="N29" i="34" s="1"/>
  <c r="Q29" i="34" s="1"/>
  <c r="L30" i="34"/>
  <c r="N30" i="34" s="1"/>
  <c r="Q30" i="34" s="1"/>
  <c r="L31" i="34"/>
  <c r="N31" i="34" s="1"/>
  <c r="Q31" i="34" s="1"/>
  <c r="L32" i="34"/>
  <c r="N32" i="34" s="1"/>
  <c r="Q32" i="34" s="1"/>
  <c r="L33" i="34"/>
  <c r="N33" i="34" s="1"/>
  <c r="Q33" i="34" s="1"/>
  <c r="L34" i="34"/>
  <c r="N34" i="34" s="1"/>
  <c r="Q34" i="34" s="1"/>
  <c r="L35" i="34"/>
  <c r="N35" i="34" s="1"/>
  <c r="Q35" i="34" s="1"/>
  <c r="L36" i="34"/>
  <c r="N36" i="34" s="1"/>
  <c r="Q36" i="34" s="1"/>
  <c r="L37" i="34"/>
  <c r="N37" i="34" s="1"/>
  <c r="Q37" i="34" s="1"/>
  <c r="L38" i="34"/>
  <c r="N38" i="34" s="1"/>
  <c r="Q38" i="34" s="1"/>
  <c r="L39" i="34"/>
  <c r="N39" i="34" s="1"/>
  <c r="Q39" i="34" s="1"/>
  <c r="L40" i="34"/>
  <c r="N40" i="34" s="1"/>
  <c r="Q40" i="34" s="1"/>
  <c r="L41" i="34"/>
  <c r="N41" i="34" s="1"/>
  <c r="Q41" i="34" s="1"/>
  <c r="L42" i="34"/>
  <c r="N42" i="34" s="1"/>
  <c r="Q42" i="34" s="1"/>
  <c r="L43" i="34"/>
  <c r="N43" i="34" s="1"/>
  <c r="Q43" i="34" s="1"/>
  <c r="L44" i="34"/>
  <c r="N44" i="34" s="1"/>
  <c r="Q44" i="34" s="1"/>
  <c r="L45" i="34"/>
  <c r="N45" i="34" s="1"/>
  <c r="Q45" i="34" s="1"/>
  <c r="L46" i="34"/>
  <c r="N46" i="34" s="1"/>
  <c r="Q46" i="34" s="1"/>
  <c r="L47" i="34"/>
  <c r="N47" i="34" s="1"/>
  <c r="Q47" i="34" s="1"/>
  <c r="L48" i="34"/>
  <c r="N48" i="34" s="1"/>
  <c r="Q48" i="34" s="1"/>
  <c r="L49" i="34"/>
  <c r="N49" i="34" s="1"/>
  <c r="Q49" i="34" s="1"/>
  <c r="L50" i="34"/>
  <c r="N50" i="34" s="1"/>
  <c r="Q50" i="34" s="1"/>
  <c r="L51" i="34"/>
  <c r="N51" i="34" s="1"/>
  <c r="Q51" i="34" s="1"/>
  <c r="K68" i="34"/>
  <c r="M68" i="34" s="1"/>
  <c r="P68" i="34" s="1"/>
  <c r="K69" i="34"/>
  <c r="M69" i="34" s="1"/>
  <c r="P69" i="34" s="1"/>
  <c r="K70" i="34"/>
  <c r="M70" i="34" s="1"/>
  <c r="P70" i="34" s="1"/>
  <c r="K71" i="34"/>
  <c r="M71" i="34" s="1"/>
  <c r="P71" i="34" s="1"/>
  <c r="K72" i="34"/>
  <c r="M72" i="34" s="1"/>
  <c r="P72" i="34" s="1"/>
  <c r="K73" i="34"/>
  <c r="M73" i="34" s="1"/>
  <c r="P73" i="34" s="1"/>
  <c r="K74" i="34"/>
  <c r="M74" i="34" s="1"/>
  <c r="P74" i="34" s="1"/>
  <c r="K75" i="34"/>
  <c r="M75" i="34" s="1"/>
  <c r="P75" i="34" s="1"/>
  <c r="K76" i="34"/>
  <c r="M76" i="34" s="1"/>
  <c r="P76" i="34" s="1"/>
  <c r="K77" i="34"/>
  <c r="M77" i="34" s="1"/>
  <c r="P77" i="34" s="1"/>
  <c r="K78" i="34"/>
  <c r="M78" i="34" s="1"/>
  <c r="P78" i="34" s="1"/>
  <c r="K79" i="34"/>
  <c r="M79" i="34" s="1"/>
  <c r="P79" i="34" s="1"/>
  <c r="K80" i="34"/>
  <c r="M80" i="34" s="1"/>
  <c r="P80" i="34" s="1"/>
  <c r="K81" i="34"/>
  <c r="M81" i="34" s="1"/>
  <c r="P81" i="34" s="1"/>
  <c r="K82" i="34"/>
  <c r="M82" i="34" s="1"/>
  <c r="P82" i="34" s="1"/>
  <c r="L52" i="34"/>
  <c r="N52" i="34" s="1"/>
  <c r="Q52" i="34" s="1"/>
  <c r="L53" i="34"/>
  <c r="N53" i="34" s="1"/>
  <c r="Q53" i="34" s="1"/>
  <c r="L54" i="34"/>
  <c r="N54" i="34" s="1"/>
  <c r="Q54" i="34" s="1"/>
  <c r="G45" i="59"/>
  <c r="G44" i="59"/>
  <c r="G43" i="59"/>
  <c r="G42" i="59"/>
  <c r="G36" i="59"/>
  <c r="G35" i="59"/>
  <c r="G34" i="59"/>
  <c r="G33" i="59"/>
  <c r="G32" i="59"/>
  <c r="G31" i="59"/>
  <c r="G30" i="59"/>
  <c r="G29" i="59"/>
  <c r="G28" i="59"/>
  <c r="G27" i="59"/>
  <c r="G26" i="59"/>
  <c r="G25" i="59"/>
  <c r="G24" i="59"/>
  <c r="G23" i="59"/>
  <c r="G22" i="59"/>
  <c r="G21" i="59"/>
  <c r="G20" i="59"/>
  <c r="G19" i="59"/>
  <c r="G18" i="59"/>
  <c r="G19" i="45"/>
  <c r="G20" i="45"/>
  <c r="G21" i="45"/>
  <c r="G22" i="45"/>
  <c r="G23" i="45"/>
  <c r="G24" i="45"/>
  <c r="G25" i="45"/>
  <c r="G26" i="45"/>
  <c r="G27" i="45"/>
  <c r="G28" i="45"/>
  <c r="G29" i="45"/>
  <c r="G30" i="45"/>
  <c r="G31" i="45"/>
  <c r="G32" i="45"/>
  <c r="G33" i="45"/>
  <c r="G34" i="45"/>
  <c r="G35" i="45"/>
  <c r="I35" i="45" s="1"/>
  <c r="G36" i="45"/>
  <c r="G37" i="45"/>
  <c r="G38" i="45"/>
  <c r="G39" i="45"/>
  <c r="G40" i="45"/>
  <c r="G41" i="45"/>
  <c r="K83" i="34"/>
  <c r="M83" i="34" s="1"/>
  <c r="P83" i="34" s="1"/>
  <c r="L55" i="34"/>
  <c r="N55" i="34" s="1"/>
  <c r="Q55" i="34" s="1"/>
  <c r="L56" i="34"/>
  <c r="N56" i="34" s="1"/>
  <c r="Q56" i="34" s="1"/>
  <c r="L58" i="34"/>
  <c r="N58" i="34" s="1"/>
  <c r="Q58" i="34" s="1"/>
  <c r="D119" i="6"/>
  <c r="H22" i="16"/>
  <c r="D41" i="76" s="1"/>
  <c r="H21" i="16"/>
  <c r="D40" i="76" s="1"/>
  <c r="H20" i="16"/>
  <c r="D39" i="76" s="1"/>
  <c r="H17" i="16"/>
  <c r="H16" i="16"/>
  <c r="H15" i="16"/>
  <c r="D34" i="76" s="1"/>
  <c r="H19" i="16"/>
  <c r="H35" i="56"/>
  <c r="H47" i="56"/>
  <c r="D47" i="56"/>
  <c r="D35" i="56"/>
  <c r="J27" i="16" l="1"/>
  <c r="B44" i="74"/>
  <c r="H44" i="74" s="1"/>
  <c r="I18" i="45"/>
  <c r="BD29" i="47"/>
  <c r="B2" i="44"/>
  <c r="AP29" i="47"/>
  <c r="AR29" i="47"/>
  <c r="BH29" i="47"/>
  <c r="I20" i="45"/>
  <c r="I36" i="45"/>
  <c r="I16" i="45"/>
  <c r="J27" i="56"/>
  <c r="I24" i="76"/>
  <c r="I39" i="45"/>
  <c r="J33" i="56"/>
  <c r="I23" i="45"/>
  <c r="F36" i="47"/>
  <c r="J26" i="56"/>
  <c r="AO29" i="47"/>
  <c r="BE29" i="47"/>
  <c r="I34" i="45"/>
  <c r="I40" i="76"/>
  <c r="AA29" i="47"/>
  <c r="I36" i="76"/>
  <c r="I27" i="45"/>
  <c r="AC29" i="47"/>
  <c r="AS29" i="47"/>
  <c r="D20" i="6"/>
  <c r="AL29" i="47"/>
  <c r="BA29" i="47"/>
  <c r="J33" i="16"/>
  <c r="I39" i="76"/>
  <c r="J32" i="56"/>
  <c r="D37" i="6"/>
  <c r="D52" i="6"/>
  <c r="L28" i="47"/>
  <c r="K28" i="47"/>
  <c r="H28" i="47"/>
  <c r="D60" i="6"/>
  <c r="I38" i="45"/>
  <c r="E73" i="66"/>
  <c r="AJ37" i="47"/>
  <c r="E35" i="56"/>
  <c r="E34" i="56" s="1"/>
  <c r="J21" i="16"/>
  <c r="BC29" i="47"/>
  <c r="J28" i="16"/>
  <c r="F25" i="76"/>
  <c r="G28" i="47"/>
  <c r="Z29" i="47"/>
  <c r="I17" i="76"/>
  <c r="E40" i="76"/>
  <c r="F40" i="76" s="1"/>
  <c r="I15" i="76"/>
  <c r="N29" i="47"/>
  <c r="J32" i="16"/>
  <c r="V37" i="47"/>
  <c r="BB37" i="47"/>
  <c r="D83" i="6"/>
  <c r="W29" i="47"/>
  <c r="I41" i="45"/>
  <c r="I25" i="45"/>
  <c r="J34" i="16"/>
  <c r="D56" i="6"/>
  <c r="I24" i="45"/>
  <c r="Y29" i="47"/>
  <c r="AM29" i="47"/>
  <c r="J35" i="16"/>
  <c r="J36" i="47"/>
  <c r="F20" i="47"/>
  <c r="F28" i="47"/>
  <c r="I36" i="47"/>
  <c r="E17" i="47"/>
  <c r="E23" i="16"/>
  <c r="J15" i="16"/>
  <c r="AB37" i="47"/>
  <c r="AC37" i="47"/>
  <c r="I17" i="45"/>
  <c r="F29" i="76"/>
  <c r="D53" i="6"/>
  <c r="D19" i="6"/>
  <c r="AI29" i="47"/>
  <c r="J30" i="16"/>
  <c r="D61" i="6"/>
  <c r="I28" i="76"/>
  <c r="AS37" i="47"/>
  <c r="AT29" i="47"/>
  <c r="BF37" i="47"/>
  <c r="AJ29" i="47"/>
  <c r="J31" i="16"/>
  <c r="D76" i="6"/>
  <c r="G90" i="112"/>
  <c r="D29" i="6"/>
  <c r="D24" i="6"/>
  <c r="AB29" i="47"/>
  <c r="J76" i="112"/>
  <c r="AG37" i="47"/>
  <c r="D96" i="6"/>
  <c r="I34" i="76"/>
  <c r="D45" i="6"/>
  <c r="P29" i="47"/>
  <c r="AV29" i="47"/>
  <c r="D28" i="6"/>
  <c r="R29" i="47"/>
  <c r="I35" i="76"/>
  <c r="I28" i="45"/>
  <c r="M73" i="112"/>
  <c r="S29" i="47"/>
  <c r="I38" i="76"/>
  <c r="F76" i="112"/>
  <c r="I41" i="76"/>
  <c r="F74" i="112"/>
  <c r="AV37" i="47"/>
  <c r="AL37" i="47"/>
  <c r="I24" i="16"/>
  <c r="F86" i="112"/>
  <c r="I19" i="45"/>
  <c r="G73" i="112"/>
  <c r="F41" i="76"/>
  <c r="G74" i="112"/>
  <c r="J28" i="56"/>
  <c r="I27" i="76"/>
  <c r="D77" i="6"/>
  <c r="AU29" i="47"/>
  <c r="D44" i="6"/>
  <c r="J73" i="112"/>
  <c r="AY29" i="47"/>
  <c r="J38" i="56"/>
  <c r="J43" i="56"/>
  <c r="J30" i="56"/>
  <c r="AD29" i="47"/>
  <c r="AD37" i="47"/>
  <c r="I29" i="76"/>
  <c r="I30" i="76"/>
  <c r="L92" i="112"/>
  <c r="J74" i="112"/>
  <c r="G76" i="112"/>
  <c r="AM37" i="47"/>
  <c r="BA37" i="47"/>
  <c r="T37" i="47"/>
  <c r="D87" i="6"/>
  <c r="D84" i="6"/>
  <c r="M20" i="47"/>
  <c r="E31" i="47"/>
  <c r="F73" i="112"/>
  <c r="G20" i="47"/>
  <c r="J86" i="112"/>
  <c r="E32" i="47"/>
  <c r="I81" i="112"/>
  <c r="G86" i="112"/>
  <c r="D32" i="6"/>
  <c r="H36" i="47"/>
  <c r="F87" i="112"/>
  <c r="L86" i="112"/>
  <c r="L88" i="112"/>
  <c r="J37" i="56"/>
  <c r="G92" i="112"/>
  <c r="H73" i="112"/>
  <c r="M87" i="112"/>
  <c r="G81" i="112"/>
  <c r="P37" i="47"/>
  <c r="AY37" i="47"/>
  <c r="BB29" i="47"/>
  <c r="BC37" i="47"/>
  <c r="J90" i="112"/>
  <c r="AX29" i="47"/>
  <c r="H76" i="112"/>
  <c r="H88" i="112"/>
  <c r="L90" i="112"/>
  <c r="AU37" i="47"/>
  <c r="D107" i="6"/>
  <c r="J25" i="56"/>
  <c r="F81" i="112"/>
  <c r="L87" i="112"/>
  <c r="I87" i="112"/>
  <c r="L75" i="112"/>
  <c r="E19" i="47"/>
  <c r="K36" i="47"/>
  <c r="AI37" i="47"/>
  <c r="J28" i="47"/>
  <c r="D40" i="6"/>
  <c r="F90" i="112"/>
  <c r="J20" i="16"/>
  <c r="Z37" i="47"/>
  <c r="H90" i="112"/>
  <c r="J34" i="56"/>
  <c r="I75" i="112"/>
  <c r="M86" i="112"/>
  <c r="W37" i="47"/>
  <c r="I32" i="45"/>
  <c r="I37" i="45"/>
  <c r="H92" i="112"/>
  <c r="F88" i="112"/>
  <c r="J29" i="16"/>
  <c r="J42" i="56"/>
  <c r="J46" i="56"/>
  <c r="H87" i="112"/>
  <c r="I88" i="112"/>
  <c r="M75" i="112"/>
  <c r="J75" i="112"/>
  <c r="I31" i="45"/>
  <c r="BF29" i="47"/>
  <c r="B2" i="82"/>
  <c r="I22" i="45"/>
  <c r="D109" i="6"/>
  <c r="M81" i="112"/>
  <c r="H81" i="112"/>
  <c r="F31" i="76"/>
  <c r="J44" i="56"/>
  <c r="S37" i="47"/>
  <c r="I73" i="112"/>
  <c r="F75" i="112"/>
  <c r="D78" i="87"/>
  <c r="AA37" i="47"/>
  <c r="I29" i="45"/>
  <c r="B2" i="56"/>
  <c r="I40" i="45"/>
  <c r="I90" i="112"/>
  <c r="I20" i="47"/>
  <c r="F92" i="112"/>
  <c r="L73" i="112"/>
  <c r="G21" i="76"/>
  <c r="I47" i="56" s="1"/>
  <c r="I45" i="56" s="1"/>
  <c r="J88" i="112"/>
  <c r="J45" i="56"/>
  <c r="J29" i="56"/>
  <c r="I74" i="112"/>
  <c r="G88" i="112"/>
  <c r="G87" i="112"/>
  <c r="V29" i="47"/>
  <c r="T29" i="47"/>
  <c r="AG29" i="47"/>
  <c r="BH37" i="47"/>
  <c r="B2" i="45"/>
  <c r="J41" i="56"/>
  <c r="J81" i="112"/>
  <c r="AR37" i="47"/>
  <c r="J22" i="16"/>
  <c r="I26" i="45"/>
  <c r="D36" i="6"/>
  <c r="K20" i="47"/>
  <c r="J84" i="34"/>
  <c r="D111" i="6"/>
  <c r="E14" i="47"/>
  <c r="I28" i="47"/>
  <c r="E34" i="47"/>
  <c r="G44" i="74"/>
  <c r="F34" i="76"/>
  <c r="D68" i="6"/>
  <c r="G36" i="47"/>
  <c r="M36" i="47"/>
  <c r="G43" i="74"/>
  <c r="F39" i="76"/>
  <c r="D69" i="6"/>
  <c r="E25" i="47"/>
  <c r="L36" i="47"/>
  <c r="D79" i="6"/>
  <c r="M28" i="47"/>
  <c r="E33" i="47"/>
  <c r="E27" i="47"/>
  <c r="D48" i="6"/>
  <c r="E18" i="47"/>
  <c r="I42" i="76"/>
  <c r="L20" i="47"/>
  <c r="D64" i="6"/>
  <c r="H20" i="47"/>
  <c r="E24" i="47"/>
  <c r="E35" i="47"/>
  <c r="M71" i="112"/>
  <c r="M74" i="112"/>
  <c r="O84" i="34"/>
  <c r="E37" i="76"/>
  <c r="I12" i="47"/>
  <c r="J12" i="47" s="1"/>
  <c r="K12" i="47" s="1"/>
  <c r="L12" i="47" s="1"/>
  <c r="M12" i="47" s="1"/>
  <c r="N12" i="47" s="1"/>
  <c r="O12" i="47" s="1"/>
  <c r="P12" i="47" s="1"/>
  <c r="Q12" i="47" s="1"/>
  <c r="R12" i="47" s="1"/>
  <c r="S12" i="47" s="1"/>
  <c r="T12" i="47" s="1"/>
  <c r="U12" i="47" s="1"/>
  <c r="V12" i="47" s="1"/>
  <c r="W12" i="47" s="1"/>
  <c r="X12" i="47" s="1"/>
  <c r="Y12" i="47" s="1"/>
  <c r="Z12" i="47" s="1"/>
  <c r="AA12" i="47" s="1"/>
  <c r="AB12" i="47" s="1"/>
  <c r="AC12" i="47" s="1"/>
  <c r="AD12" i="47" s="1"/>
  <c r="AE12" i="47" s="1"/>
  <c r="AF12" i="47" s="1"/>
  <c r="AG12" i="47" s="1"/>
  <c r="AH12" i="47" s="1"/>
  <c r="AI12" i="47" s="1"/>
  <c r="AJ12" i="47" s="1"/>
  <c r="AK12" i="47" s="1"/>
  <c r="AL12" i="47" s="1"/>
  <c r="AM12" i="47" s="1"/>
  <c r="AN12" i="47" s="1"/>
  <c r="AO12" i="47" s="1"/>
  <c r="AP12" i="47" s="1"/>
  <c r="AQ12" i="47" s="1"/>
  <c r="AR12" i="47" s="1"/>
  <c r="AS12" i="47" s="1"/>
  <c r="AT12" i="47" s="1"/>
  <c r="AU12" i="47" s="1"/>
  <c r="AV12" i="47" s="1"/>
  <c r="AW12" i="47" s="1"/>
  <c r="AX12" i="47" s="1"/>
  <c r="AY12" i="47" s="1"/>
  <c r="AZ12" i="47" s="1"/>
  <c r="BA12" i="47" s="1"/>
  <c r="BB12" i="47" s="1"/>
  <c r="BC12" i="47" s="1"/>
  <c r="BD12" i="47" s="1"/>
  <c r="BE12" i="47" s="1"/>
  <c r="BF12" i="47" s="1"/>
  <c r="BG12" i="47" s="1"/>
  <c r="BH12" i="47" s="1"/>
  <c r="F18" i="87"/>
  <c r="F20" i="87" s="1"/>
  <c r="F23" i="87" s="1"/>
  <c r="E78" i="87"/>
  <c r="J20" i="47"/>
  <c r="E15" i="47"/>
  <c r="E14" i="76"/>
  <c r="E17" i="57"/>
  <c r="AK29" i="47"/>
  <c r="AK37" i="47"/>
  <c r="AW29" i="47"/>
  <c r="AW37" i="47"/>
  <c r="D38" i="76"/>
  <c r="F38" i="76" s="1"/>
  <c r="J19" i="16"/>
  <c r="D36" i="76"/>
  <c r="F36" i="76" s="1"/>
  <c r="J17" i="16"/>
  <c r="O29" i="47"/>
  <c r="O37" i="47"/>
  <c r="AZ37" i="47"/>
  <c r="AZ29" i="47"/>
  <c r="J66" i="56"/>
  <c r="J91" i="56" s="1"/>
  <c r="H44" i="76"/>
  <c r="J16" i="16"/>
  <c r="D35" i="76"/>
  <c r="I21" i="45"/>
  <c r="F86" i="87"/>
  <c r="F90" i="87" s="1"/>
  <c r="G86" i="87" s="1"/>
  <c r="G90" i="87" s="1"/>
  <c r="H86" i="87" s="1"/>
  <c r="H90" i="87" s="1"/>
  <c r="E94" i="87"/>
  <c r="M88" i="112"/>
  <c r="AP37" i="47"/>
  <c r="J48" i="56"/>
  <c r="J40" i="56"/>
  <c r="R37" i="47"/>
  <c r="AE37" i="47"/>
  <c r="AE29" i="47"/>
  <c r="AQ29" i="47"/>
  <c r="AQ37" i="47"/>
  <c r="G45" i="74"/>
  <c r="B45" i="74"/>
  <c r="I45" i="74" s="1"/>
  <c r="AF37" i="47"/>
  <c r="AF29" i="47"/>
  <c r="AN29" i="47"/>
  <c r="AN37" i="47"/>
  <c r="H22" i="76"/>
  <c r="G80" i="87"/>
  <c r="G84" i="87" s="1"/>
  <c r="B2" i="74"/>
  <c r="B2" i="69"/>
  <c r="B2" i="66"/>
  <c r="C2" i="4"/>
  <c r="B2" i="47"/>
  <c r="B2" i="80"/>
  <c r="B2" i="59"/>
  <c r="B2" i="34"/>
  <c r="B2" i="63"/>
  <c r="B2" i="55"/>
  <c r="B2" i="16"/>
  <c r="B2" i="57"/>
  <c r="B2" i="87"/>
  <c r="B2" i="76"/>
  <c r="B2" i="5"/>
  <c r="B2" i="84"/>
  <c r="U37" i="47"/>
  <c r="U29" i="47"/>
  <c r="AH37" i="47"/>
  <c r="AH29" i="47"/>
  <c r="BE37" i="47"/>
  <c r="M92" i="112"/>
  <c r="J92" i="112"/>
  <c r="I76" i="112"/>
  <c r="D94" i="87"/>
  <c r="E42" i="74"/>
  <c r="H86" i="112"/>
  <c r="I86" i="112"/>
  <c r="H75" i="112"/>
  <c r="J87" i="112"/>
  <c r="M76" i="112"/>
  <c r="I92" i="112"/>
  <c r="L74" i="112"/>
  <c r="L81" i="112"/>
  <c r="M90" i="112"/>
  <c r="L76" i="112"/>
  <c r="G75" i="112"/>
  <c r="N37" i="47"/>
  <c r="Q37" i="47"/>
  <c r="Q29" i="47"/>
  <c r="I30" i="45"/>
  <c r="E26" i="47"/>
  <c r="BD37" i="47"/>
  <c r="L71" i="112"/>
  <c r="X29" i="47"/>
  <c r="X37" i="47"/>
  <c r="AT37" i="47"/>
  <c r="AO37" i="47"/>
  <c r="H74" i="112"/>
  <c r="Y37" i="47"/>
  <c r="H42" i="45"/>
  <c r="BG29" i="47"/>
  <c r="BG37" i="47"/>
  <c r="AX37" i="47"/>
  <c r="I33" i="45"/>
  <c r="E16" i="47"/>
  <c r="I44" i="74" l="1"/>
  <c r="H45" i="74"/>
  <c r="I43" i="74"/>
  <c r="H43" i="74"/>
  <c r="J89" i="112"/>
  <c r="J91" i="112" s="1"/>
  <c r="J93" i="112" s="1"/>
  <c r="I35" i="56"/>
  <c r="I26" i="56" s="1"/>
  <c r="K26" i="56" s="1"/>
  <c r="E80" i="6"/>
  <c r="G29" i="47"/>
  <c r="K29" i="47"/>
  <c r="D30" i="6"/>
  <c r="E112" i="6"/>
  <c r="H45" i="76"/>
  <c r="I20" i="76"/>
  <c r="I21" i="76" s="1"/>
  <c r="H24" i="16"/>
  <c r="J24" i="16" s="1"/>
  <c r="E31" i="56"/>
  <c r="E33" i="56"/>
  <c r="E32" i="56"/>
  <c r="E28" i="56"/>
  <c r="E30" i="56"/>
  <c r="E26" i="56"/>
  <c r="E27" i="56"/>
  <c r="F37" i="47"/>
  <c r="L37" i="47"/>
  <c r="E25" i="56"/>
  <c r="E29" i="56"/>
  <c r="F29" i="47"/>
  <c r="G38" i="47" s="1"/>
  <c r="I26" i="76"/>
  <c r="C129" i="80"/>
  <c r="D146" i="80" s="1"/>
  <c r="I14" i="76"/>
  <c r="E21" i="6"/>
  <c r="L89" i="112"/>
  <c r="L91" i="112" s="1"/>
  <c r="L93" i="112" s="1"/>
  <c r="G89" i="112"/>
  <c r="G91" i="112" s="1"/>
  <c r="G93" i="112" s="1"/>
  <c r="G94" i="112" s="1"/>
  <c r="F89" i="112"/>
  <c r="F91" i="112" s="1"/>
  <c r="F93" i="112" s="1"/>
  <c r="E36" i="16"/>
  <c r="E65" i="6"/>
  <c r="D54" i="6"/>
  <c r="G43" i="76"/>
  <c r="I90" i="56" s="1"/>
  <c r="G77" i="112"/>
  <c r="M89" i="112"/>
  <c r="M91" i="112" s="1"/>
  <c r="M93" i="112" s="1"/>
  <c r="I89" i="112"/>
  <c r="I91" i="112" s="1"/>
  <c r="I93" i="112" s="1"/>
  <c r="I16" i="76"/>
  <c r="J77" i="112"/>
  <c r="H89" i="112"/>
  <c r="H91" i="112" s="1"/>
  <c r="H93" i="112" s="1"/>
  <c r="H78" i="112" s="1"/>
  <c r="E36" i="47"/>
  <c r="H77" i="112"/>
  <c r="F77" i="112"/>
  <c r="I77" i="112"/>
  <c r="K37" i="47"/>
  <c r="I29" i="47"/>
  <c r="L29" i="47"/>
  <c r="F26" i="76"/>
  <c r="M29" i="47"/>
  <c r="F94" i="87"/>
  <c r="D95" i="87"/>
  <c r="L77" i="112"/>
  <c r="G37" i="47"/>
  <c r="I44" i="56"/>
  <c r="K44" i="56" s="1"/>
  <c r="I41" i="56"/>
  <c r="K41" i="56" s="1"/>
  <c r="I40" i="56"/>
  <c r="K40" i="56" s="1"/>
  <c r="I43" i="56"/>
  <c r="K43" i="56" s="1"/>
  <c r="I42" i="56"/>
  <c r="K42" i="56" s="1"/>
  <c r="I46" i="56"/>
  <c r="K46" i="56" s="1"/>
  <c r="I38" i="56"/>
  <c r="K38" i="56" s="1"/>
  <c r="I37" i="56"/>
  <c r="K37" i="56" s="1"/>
  <c r="I39" i="56"/>
  <c r="K39" i="56" s="1"/>
  <c r="K45" i="56"/>
  <c r="J59" i="34"/>
  <c r="M77" i="112"/>
  <c r="D72" i="6"/>
  <c r="M37" i="47"/>
  <c r="E28" i="47"/>
  <c r="H37" i="47"/>
  <c r="H29" i="47"/>
  <c r="H84" i="34"/>
  <c r="D115" i="6"/>
  <c r="I59" i="34"/>
  <c r="I37" i="47"/>
  <c r="I37" i="76"/>
  <c r="I43" i="76" s="1"/>
  <c r="D70" i="6"/>
  <c r="D106" i="6"/>
  <c r="D112" i="6" s="1"/>
  <c r="K66" i="34"/>
  <c r="M66" i="34" s="1"/>
  <c r="P66" i="34" s="1"/>
  <c r="F27" i="76"/>
  <c r="F28" i="76"/>
  <c r="F35" i="56"/>
  <c r="E18" i="76"/>
  <c r="F23" i="56" s="1"/>
  <c r="J37" i="47"/>
  <c r="E20" i="47"/>
  <c r="J29" i="47"/>
  <c r="E95" i="87"/>
  <c r="F78" i="56"/>
  <c r="I31" i="76"/>
  <c r="F30" i="76"/>
  <c r="G18" i="87"/>
  <c r="G20" i="87" s="1"/>
  <c r="G23" i="87" s="1"/>
  <c r="F78" i="87"/>
  <c r="F41" i="56"/>
  <c r="F39" i="56"/>
  <c r="E20" i="76"/>
  <c r="E21" i="76" s="1"/>
  <c r="F38" i="56"/>
  <c r="F37" i="56"/>
  <c r="F45" i="56"/>
  <c r="F43" i="56"/>
  <c r="F40" i="56"/>
  <c r="F42" i="56"/>
  <c r="F44" i="56"/>
  <c r="F46" i="56"/>
  <c r="F14" i="76"/>
  <c r="H80" i="87"/>
  <c r="H84" i="87" s="1"/>
  <c r="H94" i="87" s="1"/>
  <c r="G94" i="87"/>
  <c r="G46" i="74"/>
  <c r="B46" i="74"/>
  <c r="I33" i="56"/>
  <c r="K33" i="56" s="1"/>
  <c r="I27" i="56"/>
  <c r="K27" i="56" s="1"/>
  <c r="I28" i="56"/>
  <c r="K28" i="56" s="1"/>
  <c r="F35" i="76"/>
  <c r="F24" i="76"/>
  <c r="E33" i="6" l="1"/>
  <c r="I46" i="74"/>
  <c r="H46" i="74"/>
  <c r="E49" i="6"/>
  <c r="D22" i="6"/>
  <c r="H38" i="47"/>
  <c r="I29" i="56"/>
  <c r="K29" i="56" s="1"/>
  <c r="I32" i="56"/>
  <c r="K32" i="56" s="1"/>
  <c r="I31" i="56"/>
  <c r="K31" i="56" s="1"/>
  <c r="I34" i="56"/>
  <c r="K34" i="56" s="1"/>
  <c r="I30" i="56"/>
  <c r="K30" i="56" s="1"/>
  <c r="I25" i="56"/>
  <c r="K25" i="56" s="1"/>
  <c r="H94" i="112"/>
  <c r="D38" i="6"/>
  <c r="H18" i="16"/>
  <c r="D37" i="76" s="1"/>
  <c r="L23" i="34"/>
  <c r="N23" i="34" s="1"/>
  <c r="D137" i="80"/>
  <c r="D85" i="6"/>
  <c r="E88" i="6"/>
  <c r="D46" i="6"/>
  <c r="D142" i="80"/>
  <c r="H25" i="16"/>
  <c r="I25" i="16"/>
  <c r="L18" i="34"/>
  <c r="N18" i="34" s="1"/>
  <c r="Q18" i="34" s="1"/>
  <c r="C130" i="80"/>
  <c r="C131" i="80" s="1"/>
  <c r="C132" i="80" s="1"/>
  <c r="C133" i="80" s="1"/>
  <c r="C134" i="80" s="1"/>
  <c r="D62" i="6"/>
  <c r="D141" i="80"/>
  <c r="I78" i="56"/>
  <c r="D144" i="80"/>
  <c r="D143" i="80"/>
  <c r="D145" i="80"/>
  <c r="D140" i="80"/>
  <c r="D138" i="80"/>
  <c r="L78" i="112"/>
  <c r="L79" i="112" s="1"/>
  <c r="L82" i="112" s="1"/>
  <c r="L94" i="112"/>
  <c r="E29" i="47"/>
  <c r="C26" i="69" s="1"/>
  <c r="G15" i="59"/>
  <c r="E47" i="59"/>
  <c r="I38" i="47"/>
  <c r="J38" i="47" s="1"/>
  <c r="K38" i="47" s="1"/>
  <c r="L38" i="47" s="1"/>
  <c r="M38" i="47" s="1"/>
  <c r="N38" i="47" s="1"/>
  <c r="O38" i="47" s="1"/>
  <c r="P38" i="47" s="1"/>
  <c r="Q38" i="47" s="1"/>
  <c r="R38" i="47" s="1"/>
  <c r="S38" i="47" s="1"/>
  <c r="T38" i="47" s="1"/>
  <c r="U38" i="47" s="1"/>
  <c r="V38" i="47" s="1"/>
  <c r="W38" i="47" s="1"/>
  <c r="X38" i="47" s="1"/>
  <c r="Y38" i="47" s="1"/>
  <c r="Z38" i="47" s="1"/>
  <c r="AA38" i="47" s="1"/>
  <c r="AB38" i="47" s="1"/>
  <c r="AC38" i="47" s="1"/>
  <c r="AD38" i="47" s="1"/>
  <c r="AE38" i="47" s="1"/>
  <c r="AF38" i="47" s="1"/>
  <c r="AG38" i="47" s="1"/>
  <c r="AH38" i="47" s="1"/>
  <c r="AI38" i="47" s="1"/>
  <c r="AJ38" i="47" s="1"/>
  <c r="AK38" i="47" s="1"/>
  <c r="AL38" i="47" s="1"/>
  <c r="AM38" i="47" s="1"/>
  <c r="AN38" i="47" s="1"/>
  <c r="AO38" i="47" s="1"/>
  <c r="AP38" i="47" s="1"/>
  <c r="AQ38" i="47" s="1"/>
  <c r="AR38" i="47" s="1"/>
  <c r="AS38" i="47" s="1"/>
  <c r="AT38" i="47" s="1"/>
  <c r="AU38" i="47" s="1"/>
  <c r="AV38" i="47" s="1"/>
  <c r="AW38" i="47" s="1"/>
  <c r="AX38" i="47" s="1"/>
  <c r="AY38" i="47" s="1"/>
  <c r="AZ38" i="47" s="1"/>
  <c r="BA38" i="47" s="1"/>
  <c r="BB38" i="47" s="1"/>
  <c r="BC38" i="47" s="1"/>
  <c r="BD38" i="47" s="1"/>
  <c r="BE38" i="47" s="1"/>
  <c r="BF38" i="47" s="1"/>
  <c r="BG38" i="47" s="1"/>
  <c r="BH38" i="47" s="1"/>
  <c r="D139" i="80"/>
  <c r="H79" i="112"/>
  <c r="H82" i="112" s="1"/>
  <c r="G78" i="112"/>
  <c r="G79" i="112" s="1"/>
  <c r="G82" i="112" s="1"/>
  <c r="E25" i="6"/>
  <c r="J94" i="112"/>
  <c r="J78" i="112"/>
  <c r="J79" i="112" s="1"/>
  <c r="J82" i="112" s="1"/>
  <c r="E41" i="6"/>
  <c r="P59" i="34"/>
  <c r="E73" i="6"/>
  <c r="K47" i="56"/>
  <c r="E37" i="47"/>
  <c r="F94" i="112"/>
  <c r="F78" i="112"/>
  <c r="F79" i="112" s="1"/>
  <c r="F82" i="112" s="1"/>
  <c r="F95" i="87"/>
  <c r="D117" i="6"/>
  <c r="N84" i="34"/>
  <c r="E120" i="6"/>
  <c r="K59" i="34"/>
  <c r="F17" i="76"/>
  <c r="I78" i="112"/>
  <c r="I79" i="112" s="1"/>
  <c r="I82" i="112" s="1"/>
  <c r="I94" i="112"/>
  <c r="F16" i="76"/>
  <c r="M94" i="112"/>
  <c r="M78" i="112"/>
  <c r="M79" i="112" s="1"/>
  <c r="M82" i="112" s="1"/>
  <c r="I25" i="76"/>
  <c r="I32" i="76" s="1"/>
  <c r="I44" i="76" s="1"/>
  <c r="G32" i="76"/>
  <c r="F26" i="56"/>
  <c r="G26" i="56" s="1"/>
  <c r="F31" i="56"/>
  <c r="G31" i="56" s="1"/>
  <c r="F34" i="56"/>
  <c r="G34" i="56" s="1"/>
  <c r="F30" i="56"/>
  <c r="G30" i="56" s="1"/>
  <c r="F25" i="56"/>
  <c r="G25" i="56" s="1"/>
  <c r="F32" i="56"/>
  <c r="G32" i="56" s="1"/>
  <c r="F29" i="56"/>
  <c r="G29" i="56" s="1"/>
  <c r="F33" i="56"/>
  <c r="G33" i="56" s="1"/>
  <c r="F27" i="56"/>
  <c r="G27" i="56" s="1"/>
  <c r="F28" i="56"/>
  <c r="G28" i="56" s="1"/>
  <c r="F32" i="76"/>
  <c r="D114" i="6"/>
  <c r="G84" i="34"/>
  <c r="K67" i="34"/>
  <c r="D27" i="6"/>
  <c r="D33" i="6" s="1"/>
  <c r="L16" i="34"/>
  <c r="N16" i="34" s="1"/>
  <c r="Q16" i="34" s="1"/>
  <c r="L21" i="34"/>
  <c r="N21" i="34" s="1"/>
  <c r="Q21" i="34" s="1"/>
  <c r="D67" i="6"/>
  <c r="D73" i="6" s="1"/>
  <c r="L19" i="34"/>
  <c r="N19" i="34" s="1"/>
  <c r="Q19" i="34" s="1"/>
  <c r="D51" i="6"/>
  <c r="D57" i="6" s="1"/>
  <c r="I26" i="16"/>
  <c r="H26" i="16"/>
  <c r="H18" i="87"/>
  <c r="H20" i="87" s="1"/>
  <c r="H23" i="87" s="1"/>
  <c r="H78" i="87" s="1"/>
  <c r="H95" i="87" s="1"/>
  <c r="C23" i="69" s="1"/>
  <c r="G78" i="87"/>
  <c r="G95" i="87" s="1"/>
  <c r="B47" i="74"/>
  <c r="I47" i="74" s="1"/>
  <c r="G47" i="74"/>
  <c r="H47" i="74"/>
  <c r="E22" i="76"/>
  <c r="F47" i="56"/>
  <c r="F48" i="56" s="1"/>
  <c r="D32" i="76"/>
  <c r="E66" i="56" s="1"/>
  <c r="Q23" i="34" l="1"/>
  <c r="K35" i="56"/>
  <c r="J18" i="16"/>
  <c r="D82" i="6"/>
  <c r="D88" i="6" s="1"/>
  <c r="O59" i="34"/>
  <c r="E124" i="6"/>
  <c r="I23" i="16"/>
  <c r="I36" i="16" s="1"/>
  <c r="J25" i="16"/>
  <c r="G16" i="59"/>
  <c r="G47" i="59" s="1"/>
  <c r="D43" i="6"/>
  <c r="D49" i="6" s="1"/>
  <c r="E144" i="80"/>
  <c r="E140" i="80"/>
  <c r="E145" i="80"/>
  <c r="E138" i="80"/>
  <c r="E137" i="80"/>
  <c r="E143" i="80"/>
  <c r="E139" i="80"/>
  <c r="E142" i="80"/>
  <c r="E146" i="80"/>
  <c r="E141" i="80"/>
  <c r="E103" i="6"/>
  <c r="L20" i="34"/>
  <c r="N20" i="34" s="1"/>
  <c r="Q20" i="34" s="1"/>
  <c r="D59" i="6"/>
  <c r="D65" i="6" s="1"/>
  <c r="D18" i="6"/>
  <c r="D21" i="6" s="1"/>
  <c r="D25" i="6" s="1"/>
  <c r="L15" i="34"/>
  <c r="N15" i="34" s="1"/>
  <c r="Q15" i="34" s="1"/>
  <c r="D120" i="6"/>
  <c r="D75" i="6"/>
  <c r="D80" i="6" s="1"/>
  <c r="L22" i="34"/>
  <c r="N22" i="34" s="1"/>
  <c r="Q22" i="34" s="1"/>
  <c r="M67" i="34"/>
  <c r="K84" i="34"/>
  <c r="I66" i="56"/>
  <c r="I91" i="56" s="1"/>
  <c r="G44" i="76"/>
  <c r="J26" i="16"/>
  <c r="H23" i="16"/>
  <c r="J56" i="56"/>
  <c r="F37" i="76"/>
  <c r="E78" i="56"/>
  <c r="I13" i="76"/>
  <c r="I18" i="76" s="1"/>
  <c r="I22" i="76" s="1"/>
  <c r="I45" i="76" s="1"/>
  <c r="G18" i="76"/>
  <c r="J13" i="56"/>
  <c r="C13" i="69"/>
  <c r="J80" i="56"/>
  <c r="I80" i="56"/>
  <c r="G35" i="56"/>
  <c r="J68" i="56"/>
  <c r="I68" i="56"/>
  <c r="B48" i="74"/>
  <c r="I48" i="74" s="1"/>
  <c r="G48" i="74"/>
  <c r="D35" i="6"/>
  <c r="D41" i="6" s="1"/>
  <c r="L17" i="34"/>
  <c r="H59" i="34"/>
  <c r="G15" i="45"/>
  <c r="D42" i="45"/>
  <c r="H48" i="74" l="1"/>
  <c r="E42" i="76"/>
  <c r="E43" i="76" s="1"/>
  <c r="F90" i="56" s="1"/>
  <c r="F91" i="56" s="1"/>
  <c r="E125" i="6"/>
  <c r="H23" i="56"/>
  <c r="H78" i="56"/>
  <c r="C92" i="80"/>
  <c r="C104" i="80"/>
  <c r="J87" i="56"/>
  <c r="I87" i="56"/>
  <c r="J22" i="56"/>
  <c r="J19" i="56"/>
  <c r="J57" i="56"/>
  <c r="I57" i="56"/>
  <c r="J84" i="56"/>
  <c r="I84" i="56"/>
  <c r="J60" i="56"/>
  <c r="I60" i="56"/>
  <c r="I65" i="56"/>
  <c r="J65" i="56"/>
  <c r="I75" i="56"/>
  <c r="J75" i="56"/>
  <c r="J70" i="56"/>
  <c r="I70" i="56"/>
  <c r="J63" i="56"/>
  <c r="I63" i="56"/>
  <c r="J62" i="56"/>
  <c r="I62" i="56"/>
  <c r="I23" i="56"/>
  <c r="I14" i="56" s="1"/>
  <c r="G22" i="76"/>
  <c r="G45" i="76" s="1"/>
  <c r="J77" i="56"/>
  <c r="I77" i="56"/>
  <c r="P67" i="34"/>
  <c r="P84" i="34" s="1"/>
  <c r="M84" i="34"/>
  <c r="G42" i="45"/>
  <c r="I15" i="45"/>
  <c r="I42" i="45" s="1"/>
  <c r="G49" i="74"/>
  <c r="B49" i="74"/>
  <c r="I49" i="74" s="1"/>
  <c r="J82" i="56"/>
  <c r="I82" i="56"/>
  <c r="J85" i="56"/>
  <c r="I85" i="56"/>
  <c r="J64" i="56"/>
  <c r="I64" i="56"/>
  <c r="I74" i="56"/>
  <c r="J74" i="56"/>
  <c r="J17" i="56"/>
  <c r="I72" i="56"/>
  <c r="J72" i="56"/>
  <c r="J23" i="16"/>
  <c r="J36" i="16" s="1"/>
  <c r="D42" i="76"/>
  <c r="H36" i="16"/>
  <c r="I83" i="56"/>
  <c r="J83" i="56"/>
  <c r="J20" i="56"/>
  <c r="J16" i="56"/>
  <c r="J86" i="56"/>
  <c r="I86" i="56"/>
  <c r="J58" i="56"/>
  <c r="I58" i="56"/>
  <c r="J18" i="56"/>
  <c r="J76" i="56"/>
  <c r="I76" i="56"/>
  <c r="J81" i="56"/>
  <c r="I81" i="56"/>
  <c r="J69" i="56"/>
  <c r="I69" i="56"/>
  <c r="J71" i="56"/>
  <c r="I71" i="56"/>
  <c r="I59" i="56"/>
  <c r="J59" i="56"/>
  <c r="K68" i="56"/>
  <c r="J15" i="56"/>
  <c r="J73" i="56"/>
  <c r="I73" i="56"/>
  <c r="J21" i="56"/>
  <c r="J88" i="56"/>
  <c r="I88" i="56"/>
  <c r="J89" i="56"/>
  <c r="I89" i="56"/>
  <c r="N17" i="34"/>
  <c r="L59" i="34"/>
  <c r="K80" i="56"/>
  <c r="D124" i="6"/>
  <c r="I61" i="56"/>
  <c r="J61" i="56"/>
  <c r="H66" i="56"/>
  <c r="D103" i="6"/>
  <c r="H90" i="56"/>
  <c r="J14" i="56"/>
  <c r="I56" i="56"/>
  <c r="K56" i="56" s="1"/>
  <c r="H49" i="74" l="1"/>
  <c r="E44" i="76"/>
  <c r="E45" i="76" s="1"/>
  <c r="K69" i="56"/>
  <c r="K81" i="56"/>
  <c r="I20" i="56"/>
  <c r="I21" i="56"/>
  <c r="K21" i="56" s="1"/>
  <c r="I16" i="56"/>
  <c r="K16" i="56" s="1"/>
  <c r="I22" i="56"/>
  <c r="K22" i="56" s="1"/>
  <c r="I15" i="56"/>
  <c r="K15" i="56" s="1"/>
  <c r="I18" i="56"/>
  <c r="K18" i="56" s="1"/>
  <c r="K20" i="56"/>
  <c r="K88" i="56"/>
  <c r="K70" i="56"/>
  <c r="K86" i="56"/>
  <c r="I19" i="56"/>
  <c r="K19" i="56" s="1"/>
  <c r="K60" i="56"/>
  <c r="K85" i="56"/>
  <c r="K77" i="56"/>
  <c r="K63" i="56"/>
  <c r="K84" i="56"/>
  <c r="K76" i="56"/>
  <c r="K14" i="56"/>
  <c r="K73" i="56"/>
  <c r="K82" i="56"/>
  <c r="K62" i="56"/>
  <c r="K57" i="56"/>
  <c r="K89" i="56"/>
  <c r="K58" i="56"/>
  <c r="C137" i="80"/>
  <c r="C149" i="80"/>
  <c r="F42" i="76"/>
  <c r="F43" i="76" s="1"/>
  <c r="D43" i="76"/>
  <c r="K75" i="56"/>
  <c r="K87" i="56"/>
  <c r="E56" i="56"/>
  <c r="F56" i="56"/>
  <c r="D79" i="80"/>
  <c r="K74" i="56"/>
  <c r="D18" i="76"/>
  <c r="F13" i="76"/>
  <c r="F18" i="76" s="1"/>
  <c r="K72" i="56"/>
  <c r="G50" i="74"/>
  <c r="B50" i="74"/>
  <c r="I50" i="74" s="1"/>
  <c r="F68" i="56"/>
  <c r="E68" i="56"/>
  <c r="D104" i="80"/>
  <c r="D92" i="80"/>
  <c r="E92" i="80" s="1"/>
  <c r="D116" i="80" s="1"/>
  <c r="K64" i="56"/>
  <c r="K59" i="56"/>
  <c r="F13" i="56"/>
  <c r="K83" i="56"/>
  <c r="K61" i="56"/>
  <c r="K65" i="56"/>
  <c r="Q17" i="34"/>
  <c r="Q59" i="34" s="1"/>
  <c r="N59" i="34"/>
  <c r="K71" i="56"/>
  <c r="F80" i="56"/>
  <c r="E37" i="56"/>
  <c r="G37" i="56" s="1"/>
  <c r="E38" i="56"/>
  <c r="G38" i="56" s="1"/>
  <c r="E40" i="56"/>
  <c r="G40" i="56" s="1"/>
  <c r="E43" i="56"/>
  <c r="G43" i="56" s="1"/>
  <c r="E45" i="56"/>
  <c r="G45" i="56" s="1"/>
  <c r="E44" i="56"/>
  <c r="G44" i="56" s="1"/>
  <c r="D20" i="76"/>
  <c r="E41" i="56"/>
  <c r="G41" i="56" s="1"/>
  <c r="E42" i="56"/>
  <c r="G42" i="56" s="1"/>
  <c r="E39" i="56"/>
  <c r="G39" i="56" s="1"/>
  <c r="E46" i="56"/>
  <c r="G46" i="56" s="1"/>
  <c r="C116" i="80"/>
  <c r="I48" i="56"/>
  <c r="I13" i="56"/>
  <c r="K13" i="56" s="1"/>
  <c r="I17" i="56"/>
  <c r="K17" i="56" s="1"/>
  <c r="D125" i="6"/>
  <c r="H50" i="74" l="1"/>
  <c r="G68" i="56"/>
  <c r="C31" i="80"/>
  <c r="K78" i="56"/>
  <c r="D23" i="56"/>
  <c r="K66" i="56"/>
  <c r="K23" i="56"/>
  <c r="K48" i="56" s="1"/>
  <c r="K90" i="56"/>
  <c r="D90" i="56"/>
  <c r="E57" i="56"/>
  <c r="F57" i="56"/>
  <c r="D80" i="80"/>
  <c r="G80" i="80" s="1"/>
  <c r="D65" i="80" s="1"/>
  <c r="E62" i="56"/>
  <c r="F62" i="56"/>
  <c r="D85" i="80"/>
  <c r="G85" i="80" s="1"/>
  <c r="D70" i="80" s="1"/>
  <c r="E23" i="56"/>
  <c r="E13" i="56" s="1"/>
  <c r="G13" i="56" s="1"/>
  <c r="E69" i="56"/>
  <c r="F69" i="56"/>
  <c r="D93" i="80"/>
  <c r="D105" i="80"/>
  <c r="G105" i="80" s="1"/>
  <c r="F65" i="80" s="1"/>
  <c r="C105" i="80"/>
  <c r="F105" i="80" s="1"/>
  <c r="E65" i="80" s="1"/>
  <c r="C121" i="80"/>
  <c r="C97" i="80"/>
  <c r="D78" i="56"/>
  <c r="F20" i="56"/>
  <c r="G149" i="80"/>
  <c r="F149" i="80"/>
  <c r="C10" i="69"/>
  <c r="F137" i="80"/>
  <c r="G137" i="80"/>
  <c r="F21" i="56"/>
  <c r="C118" i="80"/>
  <c r="C94" i="80"/>
  <c r="F81" i="56"/>
  <c r="C117" i="80"/>
  <c r="C93" i="80"/>
  <c r="F61" i="56"/>
  <c r="E61" i="56"/>
  <c r="D84" i="80"/>
  <c r="G84" i="80" s="1"/>
  <c r="D69" i="80" s="1"/>
  <c r="F15" i="56"/>
  <c r="C125" i="80"/>
  <c r="C101" i="80"/>
  <c r="F17" i="56"/>
  <c r="C124" i="80"/>
  <c r="C100" i="80"/>
  <c r="F63" i="56"/>
  <c r="E63" i="56"/>
  <c r="D86" i="80"/>
  <c r="G86" i="80" s="1"/>
  <c r="D71" i="80" s="1"/>
  <c r="F87" i="56"/>
  <c r="D21" i="76"/>
  <c r="E47" i="56" s="1"/>
  <c r="F20" i="76"/>
  <c r="F21" i="76" s="1"/>
  <c r="C11" i="69" s="1"/>
  <c r="F22" i="56"/>
  <c r="C119" i="80"/>
  <c r="C95" i="80"/>
  <c r="F71" i="56"/>
  <c r="E71" i="56"/>
  <c r="D107" i="80"/>
  <c r="G107" i="80" s="1"/>
  <c r="F67" i="80" s="1"/>
  <c r="D95" i="80"/>
  <c r="C107" i="80"/>
  <c r="F107" i="80" s="1"/>
  <c r="E67" i="80" s="1"/>
  <c r="E70" i="56"/>
  <c r="F70" i="56"/>
  <c r="D94" i="80"/>
  <c r="D106" i="80"/>
  <c r="G106" i="80" s="1"/>
  <c r="F66" i="80" s="1"/>
  <c r="C106" i="80"/>
  <c r="F106" i="80" s="1"/>
  <c r="E66" i="80" s="1"/>
  <c r="F89" i="56"/>
  <c r="F84" i="56"/>
  <c r="E73" i="56"/>
  <c r="F73" i="56"/>
  <c r="D109" i="80"/>
  <c r="G109" i="80" s="1"/>
  <c r="F69" i="80" s="1"/>
  <c r="D97" i="80"/>
  <c r="C109" i="80"/>
  <c r="F109" i="80" s="1"/>
  <c r="E69" i="80" s="1"/>
  <c r="F76" i="56"/>
  <c r="E76" i="56"/>
  <c r="D112" i="80"/>
  <c r="G112" i="80" s="1"/>
  <c r="F72" i="80" s="1"/>
  <c r="D100" i="80"/>
  <c r="C112" i="80"/>
  <c r="F112" i="80" s="1"/>
  <c r="E72" i="80" s="1"/>
  <c r="F64" i="56"/>
  <c r="E64" i="56"/>
  <c r="D87" i="80"/>
  <c r="G87" i="80" s="1"/>
  <c r="D72" i="80" s="1"/>
  <c r="E75" i="56"/>
  <c r="F75" i="56"/>
  <c r="D111" i="80"/>
  <c r="G111" i="80" s="1"/>
  <c r="F71" i="80" s="1"/>
  <c r="D99" i="80"/>
  <c r="C111" i="80"/>
  <c r="F111" i="80" s="1"/>
  <c r="E71" i="80" s="1"/>
  <c r="F83" i="56"/>
  <c r="F16" i="56"/>
  <c r="G51" i="74"/>
  <c r="B51" i="74"/>
  <c r="I51" i="74" s="1"/>
  <c r="E58" i="56"/>
  <c r="F58" i="56"/>
  <c r="D81" i="80"/>
  <c r="G81" i="80" s="1"/>
  <c r="D66" i="80" s="1"/>
  <c r="F77" i="56"/>
  <c r="E77" i="56"/>
  <c r="D101" i="80"/>
  <c r="D113" i="80"/>
  <c r="G113" i="80" s="1"/>
  <c r="F73" i="80" s="1"/>
  <c r="C113" i="80"/>
  <c r="F113" i="80" s="1"/>
  <c r="E73" i="80" s="1"/>
  <c r="F72" i="56"/>
  <c r="E72" i="56"/>
  <c r="D96" i="80"/>
  <c r="D108" i="80"/>
  <c r="G108" i="80" s="1"/>
  <c r="F68" i="80" s="1"/>
  <c r="C108" i="80"/>
  <c r="F108" i="80" s="1"/>
  <c r="E68" i="80" s="1"/>
  <c r="F86" i="56"/>
  <c r="E74" i="56"/>
  <c r="F74" i="56"/>
  <c r="D98" i="80"/>
  <c r="D110" i="80"/>
  <c r="G110" i="80" s="1"/>
  <c r="F70" i="80" s="1"/>
  <c r="C110" i="80"/>
  <c r="F110" i="80" s="1"/>
  <c r="E70" i="80" s="1"/>
  <c r="F18" i="56"/>
  <c r="F85" i="56"/>
  <c r="F82" i="56"/>
  <c r="C20" i="69"/>
  <c r="E65" i="56"/>
  <c r="F65" i="56"/>
  <c r="D88" i="80"/>
  <c r="G88" i="80" s="1"/>
  <c r="D73" i="80" s="1"/>
  <c r="C120" i="80"/>
  <c r="C96" i="80"/>
  <c r="G56" i="56"/>
  <c r="E116" i="80"/>
  <c r="C123" i="80"/>
  <c r="C99" i="80"/>
  <c r="F88" i="56"/>
  <c r="E59" i="56"/>
  <c r="F59" i="56"/>
  <c r="D82" i="80"/>
  <c r="G82" i="80" s="1"/>
  <c r="D67" i="80" s="1"/>
  <c r="G47" i="56"/>
  <c r="C122" i="80"/>
  <c r="C98" i="80"/>
  <c r="E90" i="56"/>
  <c r="E86" i="56" s="1"/>
  <c r="D44" i="76"/>
  <c r="E60" i="56"/>
  <c r="F60" i="56"/>
  <c r="D83" i="80"/>
  <c r="G83" i="80" s="1"/>
  <c r="D68" i="80" s="1"/>
  <c r="F14" i="56"/>
  <c r="F19" i="56"/>
  <c r="D66" i="56"/>
  <c r="C14" i="69"/>
  <c r="F44" i="76"/>
  <c r="C15" i="69" s="1"/>
  <c r="C87" i="80"/>
  <c r="F87" i="80" s="1"/>
  <c r="C72" i="80" s="1"/>
  <c r="C85" i="80"/>
  <c r="F85" i="80" s="1"/>
  <c r="C70" i="80" s="1"/>
  <c r="C82" i="80"/>
  <c r="F82" i="80" s="1"/>
  <c r="C67" i="80" s="1"/>
  <c r="C84" i="80"/>
  <c r="F84" i="80" s="1"/>
  <c r="C69" i="80" s="1"/>
  <c r="C80" i="80"/>
  <c r="F80" i="80" s="1"/>
  <c r="C65" i="80" s="1"/>
  <c r="C83" i="80"/>
  <c r="F83" i="80" s="1"/>
  <c r="C68" i="80" s="1"/>
  <c r="C86" i="80"/>
  <c r="F86" i="80" s="1"/>
  <c r="C71" i="80" s="1"/>
  <c r="C79" i="80"/>
  <c r="C88" i="80"/>
  <c r="F88" i="80" s="1"/>
  <c r="C73" i="80" s="1"/>
  <c r="C81" i="80"/>
  <c r="F81" i="80" s="1"/>
  <c r="C66" i="80" s="1"/>
  <c r="H51" i="74" l="1"/>
  <c r="F22" i="76"/>
  <c r="F45" i="76" s="1"/>
  <c r="C16" i="69" s="1"/>
  <c r="D22" i="76"/>
  <c r="D45" i="76" s="1"/>
  <c r="G86" i="56"/>
  <c r="G71" i="56"/>
  <c r="E82" i="56"/>
  <c r="G82" i="56" s="1"/>
  <c r="E85" i="56"/>
  <c r="G85" i="56" s="1"/>
  <c r="E88" i="56"/>
  <c r="G88" i="56" s="1"/>
  <c r="E83" i="56"/>
  <c r="G83" i="56" s="1"/>
  <c r="E89" i="56"/>
  <c r="G89" i="56" s="1"/>
  <c r="G57" i="56"/>
  <c r="G77" i="56"/>
  <c r="G72" i="56"/>
  <c r="E84" i="56"/>
  <c r="G84" i="56" s="1"/>
  <c r="G61" i="56"/>
  <c r="E15" i="56"/>
  <c r="G15" i="56" s="1"/>
  <c r="D14" i="5" s="1"/>
  <c r="E19" i="56"/>
  <c r="G19" i="56" s="1"/>
  <c r="D18" i="5" s="1"/>
  <c r="K91" i="56"/>
  <c r="E21" i="56"/>
  <c r="G21" i="56" s="1"/>
  <c r="D20" i="5" s="1"/>
  <c r="E14" i="56"/>
  <c r="G14" i="56" s="1"/>
  <c r="D13" i="5" s="1"/>
  <c r="G58" i="56"/>
  <c r="E22" i="56"/>
  <c r="G22" i="56" s="1"/>
  <c r="D21" i="5" s="1"/>
  <c r="E18" i="56"/>
  <c r="G18" i="56" s="1"/>
  <c r="D17" i="5" s="1"/>
  <c r="G70" i="56"/>
  <c r="E16" i="56"/>
  <c r="G16" i="56" s="1"/>
  <c r="D15" i="5" s="1"/>
  <c r="E48" i="56"/>
  <c r="E17" i="56"/>
  <c r="G17" i="56" s="1"/>
  <c r="D16" i="5" s="1"/>
  <c r="G73" i="56"/>
  <c r="C158" i="80"/>
  <c r="C146" i="80"/>
  <c r="E101" i="80"/>
  <c r="D125" i="80" s="1"/>
  <c r="E125" i="80" s="1"/>
  <c r="G125" i="80" s="1"/>
  <c r="G73" i="80" s="1"/>
  <c r="E56" i="80" s="1"/>
  <c r="G59" i="56"/>
  <c r="D42" i="80"/>
  <c r="D41" i="80"/>
  <c r="G75" i="56"/>
  <c r="D52" i="80"/>
  <c r="D51" i="80"/>
  <c r="G60" i="56"/>
  <c r="G64" i="56"/>
  <c r="D12" i="5"/>
  <c r="D56" i="80"/>
  <c r="D55" i="80"/>
  <c r="G69" i="56"/>
  <c r="D48" i="80"/>
  <c r="D47" i="80"/>
  <c r="C143" i="80"/>
  <c r="C155" i="80"/>
  <c r="E98" i="80"/>
  <c r="D122" i="80" s="1"/>
  <c r="E122" i="80" s="1"/>
  <c r="G122" i="80" s="1"/>
  <c r="G70" i="80" s="1"/>
  <c r="E49" i="80" s="1"/>
  <c r="G52" i="74"/>
  <c r="B52" i="74"/>
  <c r="H52" i="74" s="1"/>
  <c r="E87" i="56"/>
  <c r="G87" i="56" s="1"/>
  <c r="G62" i="56"/>
  <c r="C154" i="80"/>
  <c r="E97" i="80"/>
  <c r="D121" i="80" s="1"/>
  <c r="E121" i="80" s="1"/>
  <c r="G121" i="80" s="1"/>
  <c r="G69" i="80" s="1"/>
  <c r="E48" i="80" s="1"/>
  <c r="C142" i="80"/>
  <c r="C12" i="69"/>
  <c r="E96" i="80"/>
  <c r="D120" i="80" s="1"/>
  <c r="E120" i="80" s="1"/>
  <c r="G120" i="80" s="1"/>
  <c r="G68" i="80" s="1"/>
  <c r="C141" i="80"/>
  <c r="C153" i="80"/>
  <c r="D44" i="80"/>
  <c r="D43" i="80"/>
  <c r="C138" i="80"/>
  <c r="C150" i="80"/>
  <c r="E93" i="80"/>
  <c r="D117" i="80" s="1"/>
  <c r="E117" i="80" s="1"/>
  <c r="G117" i="80" s="1"/>
  <c r="G65" i="80" s="1"/>
  <c r="E20" i="56"/>
  <c r="G20" i="56" s="1"/>
  <c r="D19" i="5" s="1"/>
  <c r="C151" i="80"/>
  <c r="C139" i="80"/>
  <c r="E94" i="80"/>
  <c r="D118" i="80" s="1"/>
  <c r="E118" i="80" s="1"/>
  <c r="G118" i="80" s="1"/>
  <c r="G66" i="80" s="1"/>
  <c r="E42" i="80" s="1"/>
  <c r="C144" i="80"/>
  <c r="E99" i="80"/>
  <c r="D123" i="80" s="1"/>
  <c r="E123" i="80" s="1"/>
  <c r="G123" i="80" s="1"/>
  <c r="G71" i="80" s="1"/>
  <c r="E51" i="80" s="1"/>
  <c r="C156" i="80"/>
  <c r="D45" i="80"/>
  <c r="D46" i="80"/>
  <c r="E91" i="56"/>
  <c r="E80" i="56"/>
  <c r="G80" i="56" s="1"/>
  <c r="G74" i="56"/>
  <c r="D49" i="80"/>
  <c r="D50" i="80"/>
  <c r="G65" i="56"/>
  <c r="G76" i="56"/>
  <c r="G63" i="56"/>
  <c r="E95" i="80"/>
  <c r="D119" i="80" s="1"/>
  <c r="E119" i="80" s="1"/>
  <c r="G119" i="80" s="1"/>
  <c r="G67" i="80" s="1"/>
  <c r="C140" i="80"/>
  <c r="C152" i="80"/>
  <c r="E81" i="56"/>
  <c r="G81" i="56" s="1"/>
  <c r="D40" i="80"/>
  <c r="D39" i="80"/>
  <c r="D53" i="80"/>
  <c r="D54" i="80"/>
  <c r="C145" i="80"/>
  <c r="E100" i="80"/>
  <c r="D124" i="80" s="1"/>
  <c r="E124" i="80" s="1"/>
  <c r="G124" i="80" s="1"/>
  <c r="G72" i="80" s="1"/>
  <c r="C157" i="80"/>
  <c r="F15" i="5" l="1"/>
  <c r="I52" i="74"/>
  <c r="F17" i="5"/>
  <c r="F21" i="5"/>
  <c r="G21" i="5" s="1"/>
  <c r="F14" i="5"/>
  <c r="G14" i="5" s="1"/>
  <c r="F13" i="5"/>
  <c r="G13" i="5" s="1"/>
  <c r="F16" i="5"/>
  <c r="G17" i="5"/>
  <c r="G15" i="5"/>
  <c r="E52" i="80"/>
  <c r="G16" i="5"/>
  <c r="G90" i="56"/>
  <c r="E43" i="80"/>
  <c r="E44" i="80"/>
  <c r="E54" i="80"/>
  <c r="E53" i="80"/>
  <c r="E45" i="80"/>
  <c r="E46" i="80"/>
  <c r="E39" i="80"/>
  <c r="E40" i="80"/>
  <c r="F12" i="5"/>
  <c r="G12" i="5" s="1"/>
  <c r="F138" i="80"/>
  <c r="I138" i="80" s="1"/>
  <c r="H65" i="80" s="1"/>
  <c r="G138" i="80"/>
  <c r="J138" i="80" s="1"/>
  <c r="I65" i="80" s="1"/>
  <c r="F156" i="80"/>
  <c r="I156" i="80" s="1"/>
  <c r="J71" i="80" s="1"/>
  <c r="G156" i="80"/>
  <c r="J156" i="80" s="1"/>
  <c r="K71" i="80" s="1"/>
  <c r="G141" i="80"/>
  <c r="J141" i="80" s="1"/>
  <c r="I68" i="80" s="1"/>
  <c r="F141" i="80"/>
  <c r="I141" i="80" s="1"/>
  <c r="H68" i="80" s="1"/>
  <c r="D22" i="5" a="1"/>
  <c r="D22" i="5" s="1"/>
  <c r="E55" i="80"/>
  <c r="G23" i="56"/>
  <c r="G48" i="56" s="1"/>
  <c r="G142" i="80"/>
  <c r="J142" i="80" s="1"/>
  <c r="I69" i="80" s="1"/>
  <c r="F142" i="80"/>
  <c r="I142" i="80" s="1"/>
  <c r="H69" i="80" s="1"/>
  <c r="E41" i="80"/>
  <c r="F146" i="80"/>
  <c r="I146" i="80" s="1"/>
  <c r="H73" i="80" s="1"/>
  <c r="G146" i="80"/>
  <c r="J146" i="80" s="1"/>
  <c r="I73" i="80" s="1"/>
  <c r="G144" i="80"/>
  <c r="J144" i="80" s="1"/>
  <c r="I71" i="80" s="1"/>
  <c r="F144" i="80"/>
  <c r="I144" i="80" s="1"/>
  <c r="H71" i="80" s="1"/>
  <c r="E47" i="80"/>
  <c r="G139" i="80"/>
  <c r="J139" i="80" s="1"/>
  <c r="I66" i="80" s="1"/>
  <c r="F139" i="80"/>
  <c r="I139" i="80" s="1"/>
  <c r="H66" i="80" s="1"/>
  <c r="G78" i="56"/>
  <c r="F158" i="80"/>
  <c r="I158" i="80" s="1"/>
  <c r="J73" i="80" s="1"/>
  <c r="G158" i="80"/>
  <c r="J158" i="80" s="1"/>
  <c r="K73" i="80" s="1"/>
  <c r="F19" i="5"/>
  <c r="G19" i="5" s="1"/>
  <c r="F153" i="80"/>
  <c r="I153" i="80" s="1"/>
  <c r="J68" i="80" s="1"/>
  <c r="G153" i="80"/>
  <c r="J153" i="80" s="1"/>
  <c r="K68" i="80" s="1"/>
  <c r="G143" i="80"/>
  <c r="J143" i="80" s="1"/>
  <c r="I70" i="80" s="1"/>
  <c r="F143" i="80"/>
  <c r="I143" i="80" s="1"/>
  <c r="H70" i="80" s="1"/>
  <c r="F157" i="80"/>
  <c r="I157" i="80" s="1"/>
  <c r="J72" i="80" s="1"/>
  <c r="G157" i="80"/>
  <c r="J157" i="80" s="1"/>
  <c r="K72" i="80" s="1"/>
  <c r="C21" i="69"/>
  <c r="C27" i="69"/>
  <c r="C24" i="69"/>
  <c r="F145" i="80"/>
  <c r="I145" i="80" s="1"/>
  <c r="H72" i="80" s="1"/>
  <c r="G145" i="80"/>
  <c r="J145" i="80" s="1"/>
  <c r="I72" i="80" s="1"/>
  <c r="F151" i="80"/>
  <c r="I151" i="80" s="1"/>
  <c r="J66" i="80" s="1"/>
  <c r="G151" i="80"/>
  <c r="J151" i="80" s="1"/>
  <c r="K66" i="80" s="1"/>
  <c r="F154" i="80"/>
  <c r="I154" i="80" s="1"/>
  <c r="J69" i="80" s="1"/>
  <c r="G154" i="80"/>
  <c r="J154" i="80" s="1"/>
  <c r="K69" i="80" s="1"/>
  <c r="E50" i="80"/>
  <c r="F20" i="5"/>
  <c r="G20" i="5" s="1"/>
  <c r="G152" i="80"/>
  <c r="J152" i="80" s="1"/>
  <c r="K67" i="80" s="1"/>
  <c r="F152" i="80"/>
  <c r="I152" i="80" s="1"/>
  <c r="J67" i="80" s="1"/>
  <c r="F150" i="80"/>
  <c r="I150" i="80" s="1"/>
  <c r="J65" i="80" s="1"/>
  <c r="G150" i="80"/>
  <c r="J150" i="80" s="1"/>
  <c r="K65" i="80" s="1"/>
  <c r="F140" i="80"/>
  <c r="I140" i="80" s="1"/>
  <c r="H67" i="80" s="1"/>
  <c r="G140" i="80"/>
  <c r="J140" i="80" s="1"/>
  <c r="I67" i="80" s="1"/>
  <c r="B53" i="74"/>
  <c r="H53" i="74" s="1"/>
  <c r="G53" i="74"/>
  <c r="F155" i="80"/>
  <c r="I155" i="80" s="1"/>
  <c r="J70" i="80" s="1"/>
  <c r="G155" i="80"/>
  <c r="J155" i="80" s="1"/>
  <c r="K70" i="80" s="1"/>
  <c r="F18" i="5"/>
  <c r="G18" i="5" s="1"/>
  <c r="G66" i="56"/>
  <c r="I53" i="74" l="1"/>
  <c r="G91" i="56"/>
  <c r="F39" i="80"/>
  <c r="G39" i="80" s="1"/>
  <c r="C12" i="84" s="1"/>
  <c r="F40" i="80"/>
  <c r="G40" i="80" s="1"/>
  <c r="D12" i="84" s="1"/>
  <c r="B54" i="74"/>
  <c r="H54" i="74" s="1"/>
  <c r="G54" i="74"/>
  <c r="F53" i="80"/>
  <c r="G53" i="80" s="1"/>
  <c r="C19" i="84" s="1"/>
  <c r="F54" i="80"/>
  <c r="G54" i="80" s="1"/>
  <c r="D19" i="84" s="1"/>
  <c r="F42" i="80"/>
  <c r="G42" i="80" s="1"/>
  <c r="D13" i="84" s="1"/>
  <c r="F41" i="80"/>
  <c r="G41" i="80" s="1"/>
  <c r="C13" i="84" s="1"/>
  <c r="F43" i="80"/>
  <c r="G43" i="80" s="1"/>
  <c r="C14" i="84" s="1"/>
  <c r="F44" i="80"/>
  <c r="G44" i="80" s="1"/>
  <c r="D14" i="84" s="1"/>
  <c r="F45" i="80"/>
  <c r="G45" i="80" s="1"/>
  <c r="C15" i="84" s="1"/>
  <c r="F46" i="80"/>
  <c r="G46" i="80" s="1"/>
  <c r="D15" i="84" s="1"/>
  <c r="F50" i="80"/>
  <c r="G50" i="80" s="1"/>
  <c r="D17" i="84" s="1"/>
  <c r="F49" i="80"/>
  <c r="G49" i="80" s="1"/>
  <c r="C17" i="84" s="1"/>
  <c r="F22" i="5" a="1"/>
  <c r="F22" i="5" s="1"/>
  <c r="F52" i="80"/>
  <c r="G52" i="80" s="1"/>
  <c r="D18" i="84" s="1"/>
  <c r="F51" i="80"/>
  <c r="G51" i="80" s="1"/>
  <c r="C18" i="84" s="1"/>
  <c r="F48" i="80"/>
  <c r="G48" i="80" s="1"/>
  <c r="D16" i="84" s="1"/>
  <c r="F47" i="80"/>
  <c r="G47" i="80" s="1"/>
  <c r="C16" i="84" s="1"/>
  <c r="F55" i="80"/>
  <c r="G55" i="80" s="1"/>
  <c r="C20" i="84" s="1"/>
  <c r="F56" i="80"/>
  <c r="G56" i="80" s="1"/>
  <c r="D20" i="84" s="1"/>
  <c r="I54" i="74" l="1"/>
  <c r="G22" i="5"/>
  <c r="B55" i="74"/>
  <c r="H55" i="74" s="1"/>
  <c r="G55" i="74"/>
  <c r="I55" i="74" l="1"/>
  <c r="B56" i="74"/>
  <c r="H56" i="74" s="1"/>
  <c r="G56" i="74"/>
  <c r="I56" i="74" l="1"/>
  <c r="G57" i="74"/>
  <c r="B57" i="74"/>
  <c r="I57" i="74" s="1"/>
  <c r="H57" i="74" l="1"/>
  <c r="G58" i="74"/>
  <c r="B58" i="74"/>
  <c r="H58" i="74" s="1"/>
  <c r="I58" i="74" l="1"/>
  <c r="B59" i="74"/>
  <c r="I59" i="74" s="1"/>
  <c r="G59" i="74"/>
  <c r="H59" i="74" l="1"/>
  <c r="B60" i="74"/>
  <c r="I60" i="74" s="1"/>
  <c r="G60" i="74"/>
  <c r="H60" i="74" l="1"/>
  <c r="B61" i="74"/>
  <c r="H61" i="74" s="1"/>
  <c r="G61" i="74"/>
  <c r="I61" i="74" l="1"/>
  <c r="B62" i="74"/>
  <c r="I62" i="74" s="1"/>
  <c r="G62" i="74"/>
  <c r="H62" i="74" l="1"/>
  <c r="B63" i="74"/>
  <c r="H63" i="74" s="1"/>
  <c r="G63" i="74"/>
  <c r="I63" i="74" l="1"/>
  <c r="B64" i="74"/>
  <c r="I64" i="74" s="1"/>
  <c r="G64" i="74"/>
  <c r="H64" i="74" l="1"/>
  <c r="B65" i="74"/>
  <c r="I65" i="74" s="1"/>
  <c r="G65" i="74"/>
  <c r="H65" i="74" l="1"/>
  <c r="G66" i="74"/>
  <c r="B66" i="74"/>
  <c r="I66" i="74" s="1"/>
  <c r="H66" i="74" l="1"/>
  <c r="G67" i="74"/>
  <c r="B67" i="74"/>
  <c r="I67" i="74" s="1"/>
  <c r="H67" i="74" l="1"/>
  <c r="B68" i="74"/>
  <c r="H68" i="74" s="1"/>
  <c r="G68" i="74"/>
  <c r="I68" i="74" l="1"/>
  <c r="B69" i="74"/>
  <c r="H69" i="74" s="1"/>
  <c r="G69" i="74"/>
  <c r="I69" i="74" l="1"/>
  <c r="B70" i="74"/>
  <c r="I70" i="74" s="1"/>
  <c r="G70" i="74"/>
  <c r="H70" i="74" l="1"/>
  <c r="B71" i="74"/>
  <c r="H71" i="74" s="1"/>
  <c r="G71" i="74"/>
  <c r="I71" i="74" l="1"/>
  <c r="G72" i="74"/>
  <c r="B72" i="74"/>
  <c r="I72" i="74" s="1"/>
  <c r="H72" i="74" l="1"/>
  <c r="G73" i="74"/>
  <c r="B73" i="74"/>
  <c r="I73" i="74" s="1"/>
  <c r="H73" i="74" l="1"/>
  <c r="B74" i="74"/>
  <c r="H74" i="74" s="1"/>
  <c r="G74" i="74"/>
  <c r="I74" i="74" l="1"/>
  <c r="G75" i="74"/>
  <c r="B75" i="74"/>
  <c r="I75" i="74" s="1"/>
  <c r="H75" i="74" l="1"/>
  <c r="G76" i="74"/>
  <c r="B76" i="74"/>
  <c r="H76" i="74" s="1"/>
  <c r="I76" i="74" l="1"/>
  <c r="B77" i="74"/>
  <c r="H77" i="74" s="1"/>
  <c r="G77" i="74"/>
  <c r="I77" i="74" l="1"/>
  <c r="G78" i="74"/>
  <c r="B78" i="74"/>
  <c r="H78" i="74" s="1"/>
  <c r="I78" i="74" l="1"/>
  <c r="G79" i="74"/>
  <c r="B79" i="74"/>
  <c r="I79" i="74" s="1"/>
  <c r="H79" i="74" l="1"/>
  <c r="G80" i="74"/>
  <c r="B80" i="74"/>
  <c r="H80" i="74" s="1"/>
  <c r="I80" i="74" l="1"/>
  <c r="G81" i="74"/>
  <c r="B81" i="74"/>
  <c r="H81" i="74" s="1"/>
  <c r="I81" i="74" l="1"/>
  <c r="B82" i="74"/>
  <c r="I82" i="74" s="1"/>
  <c r="G82" i="74"/>
  <c r="H82" i="74" l="1"/>
  <c r="B83" i="74"/>
  <c r="I83" i="74" s="1"/>
  <c r="H83" i="74"/>
  <c r="G83" i="74"/>
  <c r="G84" i="74" l="1"/>
  <c r="B84" i="74"/>
  <c r="I84" i="74" s="1"/>
  <c r="H84" i="74" l="1"/>
  <c r="B85" i="74"/>
  <c r="I85" i="74" s="1"/>
  <c r="G85" i="74"/>
  <c r="H85" i="74" l="1"/>
  <c r="G86" i="74"/>
  <c r="B86" i="74"/>
  <c r="I86" i="74" s="1"/>
  <c r="H86" i="74" l="1"/>
  <c r="G87" i="74"/>
  <c r="B87" i="74"/>
  <c r="H87" i="74" s="1"/>
  <c r="I87" i="74" l="1"/>
  <c r="B88" i="74"/>
  <c r="I88" i="74" s="1"/>
  <c r="G88" i="74"/>
  <c r="H88" i="74" l="1"/>
  <c r="G89" i="74"/>
  <c r="B89" i="74"/>
  <c r="I89" i="74" s="1"/>
  <c r="H89" i="74" l="1"/>
  <c r="B90" i="74"/>
  <c r="I90" i="74" s="1"/>
  <c r="G90" i="74"/>
  <c r="H90" i="74" l="1"/>
  <c r="B91" i="74"/>
  <c r="H91" i="74" s="1"/>
  <c r="G91" i="74"/>
  <c r="I91" i="74" l="1"/>
  <c r="B92" i="74"/>
  <c r="H92" i="74" s="1"/>
  <c r="G92" i="74"/>
  <c r="I92" i="74" l="1"/>
  <c r="B93" i="74"/>
  <c r="I93" i="74" s="1"/>
  <c r="G93" i="74"/>
  <c r="H93" i="74" l="1"/>
  <c r="B94" i="74"/>
  <c r="H94" i="74"/>
  <c r="G94" i="74"/>
  <c r="I94" i="74"/>
  <c r="B95" i="74" l="1"/>
  <c r="I95" i="74" s="1"/>
  <c r="G95" i="74"/>
  <c r="H95" i="74" l="1"/>
  <c r="B96" i="74"/>
  <c r="I96" i="74" s="1"/>
  <c r="G96" i="74"/>
  <c r="H96" i="74" l="1"/>
  <c r="B97" i="74"/>
  <c r="H97" i="74" s="1"/>
  <c r="G97" i="74"/>
  <c r="I97" i="74" l="1"/>
  <c r="B98" i="74"/>
  <c r="H98" i="74" s="1"/>
  <c r="G98" i="74"/>
  <c r="I98" i="74" l="1"/>
  <c r="B99" i="74"/>
  <c r="I99" i="74" s="1"/>
  <c r="G99" i="74"/>
  <c r="H99" i="74" l="1"/>
  <c r="G100" i="74"/>
  <c r="B100" i="74"/>
  <c r="I100" i="74" s="1"/>
  <c r="H100" i="74" l="1"/>
  <c r="G101" i="74"/>
  <c r="B101" i="74"/>
  <c r="H101" i="74" s="1"/>
  <c r="I101" i="74" l="1"/>
  <c r="B102" i="74"/>
  <c r="H102" i="74" s="1"/>
  <c r="G102" i="74"/>
  <c r="I102" i="74" l="1"/>
  <c r="B103" i="74"/>
  <c r="H103" i="74" s="1"/>
  <c r="G103" i="74"/>
  <c r="I103" i="74" l="1"/>
  <c r="G104" i="74"/>
  <c r="B104" i="74"/>
  <c r="I104" i="74" s="1"/>
  <c r="H104" i="74" l="1"/>
  <c r="B105" i="74"/>
  <c r="H105" i="74" s="1"/>
  <c r="G105" i="74"/>
  <c r="I105" i="74" l="1"/>
  <c r="G106" i="74"/>
  <c r="B106" i="74"/>
  <c r="H106" i="74" s="1"/>
  <c r="I106" i="74" l="1"/>
  <c r="B107" i="74"/>
  <c r="H107" i="74" s="1"/>
  <c r="G107" i="74"/>
  <c r="I107" i="74" l="1"/>
  <c r="G108" i="74"/>
  <c r="B108" i="74"/>
  <c r="H108" i="74" s="1"/>
  <c r="I108" i="74" l="1"/>
  <c r="G109" i="74"/>
  <c r="B109" i="74"/>
  <c r="H109" i="74" s="1"/>
  <c r="I109" i="74" l="1"/>
  <c r="G110" i="74"/>
  <c r="B110" i="74"/>
  <c r="H110" i="74" s="1"/>
  <c r="I110" i="74" l="1"/>
  <c r="B111" i="74"/>
  <c r="H111" i="74" s="1"/>
  <c r="G111" i="74"/>
  <c r="I111" i="74" l="1"/>
  <c r="G112" i="74"/>
  <c r="B112" i="74"/>
  <c r="I112" i="74" s="1"/>
  <c r="H112" i="74" l="1"/>
  <c r="B113" i="74"/>
  <c r="H113" i="74" s="1"/>
  <c r="G113" i="74"/>
  <c r="I113" i="74" l="1"/>
  <c r="B114" i="74"/>
  <c r="H114" i="74" s="1"/>
  <c r="G114" i="74"/>
  <c r="I114" i="74" l="1"/>
  <c r="B115" i="74"/>
  <c r="H115" i="74" s="1"/>
  <c r="G115" i="74"/>
  <c r="I115" i="74" l="1"/>
  <c r="B116" i="74"/>
  <c r="I116" i="74" s="1"/>
  <c r="G116" i="74"/>
  <c r="H116" i="74" l="1"/>
  <c r="B117" i="74"/>
  <c r="H117" i="74" s="1"/>
  <c r="G117" i="74"/>
  <c r="I117" i="74" l="1"/>
  <c r="G118" i="74"/>
  <c r="B118" i="74"/>
  <c r="I118" i="74" s="1"/>
  <c r="H118" i="74" l="1"/>
  <c r="B119" i="74"/>
  <c r="H119" i="74" s="1"/>
  <c r="G119" i="74"/>
  <c r="I119" i="74" l="1"/>
  <c r="B120" i="74"/>
  <c r="I120" i="74" s="1"/>
  <c r="H120" i="74"/>
  <c r="G120" i="74"/>
  <c r="B121" i="74" l="1"/>
  <c r="I121" i="74" s="1"/>
  <c r="G121" i="74"/>
  <c r="H121" i="74" l="1"/>
  <c r="B122" i="74"/>
  <c r="H122" i="74" s="1"/>
  <c r="G122" i="74"/>
  <c r="I122" i="74" l="1"/>
  <c r="B123" i="74"/>
  <c r="H123" i="74" s="1"/>
  <c r="G123" i="74"/>
  <c r="I123" i="74" l="1"/>
  <c r="G124" i="74"/>
  <c r="B124" i="74"/>
  <c r="I124" i="74" s="1"/>
  <c r="H124" i="74" l="1"/>
  <c r="B125" i="74"/>
  <c r="H125" i="74" s="1"/>
  <c r="G125" i="74"/>
  <c r="I125" i="74" l="1"/>
  <c r="B126" i="74"/>
  <c r="H126" i="74" s="1"/>
  <c r="G126" i="74"/>
  <c r="I126" i="74" l="1"/>
  <c r="G127" i="74"/>
  <c r="B127" i="74"/>
  <c r="I127" i="74" s="1"/>
  <c r="H127" i="74" l="1"/>
  <c r="B128" i="74"/>
  <c r="H128" i="74" s="1"/>
  <c r="G128" i="74"/>
  <c r="I128" i="74" l="1"/>
  <c r="G129" i="74"/>
  <c r="B129" i="74"/>
  <c r="I129" i="74" s="1"/>
  <c r="H129" i="74" l="1"/>
  <c r="B130" i="74"/>
  <c r="I130" i="74" s="1"/>
  <c r="G130" i="74"/>
  <c r="H130" i="74" l="1"/>
  <c r="G131" i="74"/>
  <c r="B131" i="74"/>
  <c r="I131" i="74" s="1"/>
  <c r="H131" i="74" l="1"/>
  <c r="B132" i="74"/>
  <c r="H132" i="74" s="1"/>
  <c r="G132" i="74"/>
  <c r="I132" i="74" l="1"/>
  <c r="B133" i="74"/>
  <c r="I133" i="74" s="1"/>
  <c r="G133" i="74"/>
  <c r="H133" i="74" l="1"/>
  <c r="B134" i="74"/>
  <c r="H134" i="74" s="1"/>
  <c r="G134" i="74"/>
  <c r="I134" i="74" l="1"/>
  <c r="B135" i="74"/>
  <c r="H135" i="74" s="1"/>
  <c r="G135" i="74"/>
  <c r="I135" i="74" l="1"/>
  <c r="B136" i="74"/>
  <c r="I136" i="74" s="1"/>
  <c r="G136" i="74"/>
  <c r="H136" i="74" l="1"/>
  <c r="G137" i="74"/>
  <c r="B137" i="74"/>
  <c r="H137" i="74" s="1"/>
  <c r="I137" i="74" l="1"/>
  <c r="G138" i="74"/>
  <c r="B138" i="74"/>
  <c r="I138" i="74" s="1"/>
  <c r="H138" i="74" l="1"/>
  <c r="B139" i="74"/>
  <c r="H139" i="74" s="1"/>
  <c r="G139" i="74"/>
  <c r="I139" i="74" l="1"/>
  <c r="B140" i="74"/>
  <c r="I140" i="74" s="1"/>
  <c r="G140" i="74"/>
  <c r="H140" i="74" l="1"/>
  <c r="G141" i="74"/>
  <c r="B141" i="74"/>
  <c r="H141" i="74" s="1"/>
  <c r="I141" i="74" l="1"/>
  <c r="B142" i="74"/>
  <c r="I142" i="74" s="1"/>
  <c r="G142" i="74"/>
  <c r="H142" i="74" l="1"/>
  <c r="B143" i="74"/>
  <c r="I143" i="74" s="1"/>
  <c r="G143" i="74"/>
  <c r="H143" i="74" l="1"/>
  <c r="B144" i="74"/>
  <c r="H144" i="74" s="1"/>
  <c r="G144" i="74"/>
  <c r="I144" i="74" l="1"/>
  <c r="G145" i="74"/>
  <c r="B145" i="74"/>
  <c r="I145" i="74" s="1"/>
  <c r="H145" i="74" l="1"/>
  <c r="B146" i="74"/>
  <c r="I146" i="74" s="1"/>
  <c r="G146" i="74"/>
  <c r="H146" i="74" l="1"/>
  <c r="G147" i="74"/>
  <c r="B147" i="74"/>
  <c r="H147" i="74" s="1"/>
  <c r="I147" i="74" l="1"/>
  <c r="B148" i="74"/>
  <c r="H148" i="74" s="1"/>
  <c r="G148" i="74"/>
  <c r="I148" i="74" l="1"/>
  <c r="B149" i="74"/>
  <c r="I149" i="74" s="1"/>
  <c r="G149" i="74"/>
  <c r="H149" i="74" l="1"/>
  <c r="B150" i="74"/>
  <c r="I150" i="74" s="1"/>
  <c r="G150" i="74"/>
  <c r="H150" i="74"/>
  <c r="G151" i="74" l="1"/>
  <c r="B151" i="74"/>
  <c r="I151" i="74" s="1"/>
  <c r="H151" i="74" l="1"/>
  <c r="B152" i="74"/>
  <c r="I152" i="74" s="1"/>
  <c r="G152" i="74"/>
  <c r="H152" i="74" l="1"/>
  <c r="B153" i="74"/>
  <c r="H153" i="74" s="1"/>
  <c r="G153" i="74"/>
  <c r="I153" i="74" l="1"/>
  <c r="B154" i="74"/>
  <c r="H154" i="74" s="1"/>
  <c r="G154" i="74"/>
  <c r="I154" i="74" l="1"/>
  <c r="B155" i="74"/>
  <c r="I155" i="74" s="1"/>
  <c r="G155" i="74"/>
  <c r="H155" i="74" l="1"/>
  <c r="B156" i="74"/>
  <c r="I156" i="74" s="1"/>
  <c r="G156" i="74"/>
  <c r="H156" i="74" l="1"/>
  <c r="G157" i="74"/>
  <c r="B157" i="74"/>
  <c r="H157" i="74" s="1"/>
  <c r="I157" i="74" l="1"/>
  <c r="B158" i="74"/>
  <c r="I158" i="74" s="1"/>
  <c r="G158" i="74"/>
  <c r="H158" i="74" l="1"/>
  <c r="B159" i="74"/>
  <c r="H159" i="74" s="1"/>
  <c r="G159" i="74"/>
  <c r="I159" i="74" l="1"/>
  <c r="B160" i="74"/>
  <c r="H160" i="74" s="1"/>
  <c r="G160" i="74"/>
  <c r="I160" i="74" l="1"/>
  <c r="B161" i="74"/>
  <c r="I161" i="74" s="1"/>
  <c r="G161" i="74"/>
  <c r="H161" i="74" l="1"/>
  <c r="B162" i="74"/>
  <c r="I162" i="74" s="1"/>
  <c r="G162" i="74"/>
  <c r="H162" i="74" l="1"/>
  <c r="B163" i="74"/>
  <c r="H163" i="74" s="1"/>
  <c r="G163" i="74"/>
  <c r="I163" i="74" l="1"/>
  <c r="B164" i="74"/>
  <c r="H164" i="74" s="1"/>
  <c r="G164" i="74"/>
  <c r="I164" i="74" l="1"/>
  <c r="B165" i="74"/>
  <c r="H165" i="74" s="1"/>
  <c r="G165" i="74"/>
  <c r="I165" i="74" l="1"/>
  <c r="B166" i="74"/>
  <c r="H166" i="74" s="1"/>
  <c r="I166" i="74"/>
  <c r="G166" i="74"/>
  <c r="B167" i="74" l="1"/>
  <c r="I167" i="74" s="1"/>
  <c r="G167" i="74"/>
  <c r="H167" i="74"/>
  <c r="B168" i="74" l="1"/>
  <c r="I168" i="74" s="1"/>
  <c r="G168" i="74"/>
  <c r="H168" i="74" l="1"/>
  <c r="B169" i="74"/>
  <c r="H169" i="74" s="1"/>
  <c r="G169" i="74"/>
  <c r="I169" i="74" l="1"/>
  <c r="B170" i="74"/>
  <c r="I170" i="74" s="1"/>
  <c r="G170" i="74"/>
  <c r="H170" i="74" l="1"/>
  <c r="B171" i="74"/>
  <c r="I171" i="74" s="1"/>
  <c r="G171" i="74"/>
  <c r="H171" i="74" l="1"/>
  <c r="B172" i="74"/>
  <c r="H172" i="74" s="1"/>
  <c r="G172" i="74"/>
  <c r="I172" i="74" l="1"/>
  <c r="B173" i="74"/>
  <c r="I173" i="74" s="1"/>
  <c r="G173" i="74"/>
  <c r="H173" i="74" l="1"/>
  <c r="B174" i="74"/>
  <c r="I174" i="74" s="1"/>
  <c r="G174" i="74"/>
  <c r="H174" i="74" l="1"/>
  <c r="B175" i="74"/>
  <c r="H175" i="74" s="1"/>
  <c r="G175" i="74"/>
  <c r="I175" i="74" l="1"/>
  <c r="G176" i="74"/>
  <c r="B176" i="74"/>
  <c r="H176" i="74" s="1"/>
  <c r="I176" i="74" l="1"/>
  <c r="G177" i="74"/>
  <c r="B177" i="74"/>
  <c r="H177" i="74" s="1"/>
  <c r="I177" i="74" l="1"/>
  <c r="B178" i="74"/>
  <c r="I178" i="74" s="1"/>
  <c r="H178" i="74"/>
  <c r="G178" i="74"/>
  <c r="B179" i="74" l="1"/>
  <c r="H179" i="74" s="1"/>
  <c r="G179" i="74"/>
  <c r="I179" i="74" l="1"/>
  <c r="B180" i="74"/>
  <c r="H180" i="74" s="1"/>
  <c r="G180" i="74"/>
  <c r="I180" i="74" l="1"/>
  <c r="B181" i="74"/>
  <c r="I181" i="74" s="1"/>
  <c r="G181" i="74"/>
  <c r="H181" i="74" l="1"/>
  <c r="B182" i="74"/>
  <c r="I182" i="74" s="1"/>
  <c r="G182" i="74"/>
  <c r="H182" i="74" l="1"/>
  <c r="G183" i="74"/>
  <c r="B183" i="74"/>
  <c r="H183" i="74" s="1"/>
  <c r="I183" i="74" l="1"/>
  <c r="B184" i="74"/>
  <c r="I184" i="74" s="1"/>
  <c r="G184" i="74"/>
  <c r="H184" i="74" l="1"/>
  <c r="B185" i="74"/>
  <c r="I185" i="74" s="1"/>
  <c r="G185" i="74"/>
  <c r="H185" i="74" l="1"/>
  <c r="B186" i="74"/>
  <c r="H186" i="74" s="1"/>
  <c r="G186" i="74"/>
  <c r="I186" i="74" l="1"/>
  <c r="G187" i="74"/>
  <c r="B187" i="74"/>
  <c r="H187" i="74" s="1"/>
  <c r="I187" i="74" l="1"/>
  <c r="G188" i="74"/>
  <c r="B188" i="74"/>
  <c r="I188" i="74" s="1"/>
  <c r="H188" i="74" l="1"/>
  <c r="B189" i="74"/>
  <c r="I189" i="74" s="1"/>
  <c r="G189" i="74"/>
  <c r="H189" i="74" l="1"/>
  <c r="B190" i="74"/>
  <c r="I190" i="74" s="1"/>
  <c r="G190" i="74"/>
  <c r="H190" i="74" l="1"/>
  <c r="B191" i="74"/>
  <c r="I191" i="74" s="1"/>
  <c r="G191" i="74"/>
  <c r="H191" i="74" l="1"/>
  <c r="G192" i="74"/>
  <c r="B192" i="74"/>
  <c r="H192" i="74" s="1"/>
  <c r="I192" i="74" l="1"/>
  <c r="B193" i="74"/>
  <c r="I193" i="74" s="1"/>
  <c r="G193" i="74"/>
  <c r="H193" i="74" l="1"/>
  <c r="B194" i="74"/>
  <c r="H194" i="74" s="1"/>
  <c r="G194" i="74"/>
  <c r="I194" i="74" l="1"/>
  <c r="B195" i="74"/>
  <c r="I195" i="74" s="1"/>
  <c r="G195" i="74"/>
  <c r="H195" i="74" l="1"/>
  <c r="B196" i="74"/>
  <c r="H196" i="74" s="1"/>
  <c r="G196" i="74"/>
  <c r="I196" i="74" l="1"/>
  <c r="B197" i="74"/>
  <c r="H197" i="74" s="1"/>
  <c r="G197" i="74"/>
  <c r="I197" i="74" l="1"/>
  <c r="G198" i="74"/>
  <c r="B198" i="74"/>
  <c r="H198" i="74" s="1"/>
  <c r="I198" i="74" l="1"/>
  <c r="B199" i="74"/>
  <c r="I199" i="74" s="1"/>
  <c r="G199" i="74"/>
  <c r="H199" i="74" l="1"/>
  <c r="B200" i="74"/>
  <c r="H200" i="74" s="1"/>
  <c r="G200" i="74"/>
  <c r="I200" i="74" l="1"/>
  <c r="G201" i="74"/>
  <c r="B201" i="74"/>
  <c r="H201" i="74" s="1"/>
  <c r="I201" i="74" l="1"/>
  <c r="B202" i="74"/>
  <c r="H202" i="74" s="1"/>
  <c r="G202" i="74"/>
  <c r="I202" i="74" l="1"/>
  <c r="B203" i="74"/>
  <c r="I203" i="74" s="1"/>
  <c r="G203" i="74"/>
  <c r="H203" i="74" l="1"/>
  <c r="G204" i="74"/>
  <c r="B204" i="74"/>
  <c r="I204" i="74" s="1"/>
  <c r="H204" i="74" l="1"/>
  <c r="B205" i="74"/>
  <c r="I205" i="74" s="1"/>
  <c r="G205" i="74"/>
  <c r="H205" i="74" l="1"/>
  <c r="B206" i="74"/>
  <c r="H206" i="74" s="1"/>
  <c r="G206" i="74"/>
  <c r="I206" i="74" l="1"/>
  <c r="B207" i="74"/>
  <c r="H207" i="74" s="1"/>
  <c r="G207" i="74"/>
  <c r="I207" i="74" l="1"/>
  <c r="B208" i="74"/>
  <c r="H208" i="74" s="1"/>
  <c r="G208" i="74"/>
  <c r="I208" i="74" l="1"/>
  <c r="G209" i="74"/>
  <c r="B209" i="74"/>
  <c r="I209" i="74" s="1"/>
  <c r="H209" i="74" l="1"/>
  <c r="B210" i="74"/>
  <c r="I210" i="74" s="1"/>
  <c r="G210" i="74"/>
  <c r="H210" i="74" l="1"/>
  <c r="B211" i="74"/>
  <c r="I211" i="74" s="1"/>
  <c r="G211" i="74"/>
  <c r="H211" i="74" l="1"/>
  <c r="B212" i="74"/>
  <c r="I212" i="74" s="1"/>
  <c r="G212" i="74"/>
  <c r="H212" i="74" l="1"/>
  <c r="B213" i="74"/>
  <c r="H213" i="74" s="1"/>
  <c r="G213" i="74"/>
  <c r="I213" i="74" l="1"/>
  <c r="G214" i="74"/>
  <c r="B214" i="74"/>
  <c r="I214" i="74" s="1"/>
  <c r="H214" i="74" l="1"/>
  <c r="G215" i="74"/>
  <c r="B215" i="74"/>
  <c r="H215" i="74" s="1"/>
  <c r="I215" i="74" l="1"/>
  <c r="G216" i="74"/>
  <c r="B216" i="74"/>
  <c r="I216" i="74" s="1"/>
  <c r="H216" i="74" l="1"/>
  <c r="B217" i="74"/>
  <c r="I217" i="74" s="1"/>
  <c r="G217" i="74"/>
  <c r="H217" i="74" l="1"/>
  <c r="B218" i="74"/>
  <c r="I218" i="74" s="1"/>
  <c r="G218" i="74"/>
  <c r="H218" i="74" l="1"/>
  <c r="G219" i="74"/>
  <c r="B219" i="74"/>
  <c r="H219" i="74" s="1"/>
  <c r="I219" i="74" l="1"/>
  <c r="G220" i="74"/>
  <c r="B220" i="74"/>
  <c r="I220" i="74" s="1"/>
  <c r="H220" i="74" l="1"/>
  <c r="G221" i="74"/>
  <c r="B221" i="74"/>
  <c r="I221" i="74" s="1"/>
  <c r="H221" i="74" l="1"/>
  <c r="B222" i="74"/>
  <c r="H222" i="74" s="1"/>
  <c r="G222" i="74"/>
  <c r="I222" i="74" l="1"/>
  <c r="B223" i="74"/>
  <c r="I223" i="74" s="1"/>
  <c r="G223" i="74"/>
  <c r="H223" i="74" l="1"/>
  <c r="G224" i="74"/>
  <c r="B224" i="74"/>
  <c r="H224" i="74" s="1"/>
  <c r="I224" i="74" l="1"/>
  <c r="B225" i="74"/>
  <c r="I225" i="74" s="1"/>
  <c r="G225" i="74"/>
  <c r="H225" i="74" l="1"/>
  <c r="B226" i="74"/>
  <c r="I226" i="74" s="1"/>
  <c r="G226" i="74"/>
  <c r="H226" i="74" l="1"/>
  <c r="B227" i="74"/>
  <c r="I227" i="74" s="1"/>
  <c r="G227" i="74"/>
  <c r="H227" i="74" l="1"/>
  <c r="G228" i="74"/>
  <c r="B228" i="74"/>
  <c r="H228" i="74" s="1"/>
  <c r="I228" i="74" l="1"/>
  <c r="B229" i="74"/>
  <c r="I229" i="74" s="1"/>
  <c r="G229" i="74"/>
  <c r="H229" i="74" l="1"/>
  <c r="G230" i="74"/>
  <c r="B230" i="74"/>
  <c r="I230" i="74" s="1"/>
  <c r="H230" i="74" l="1"/>
  <c r="B231" i="74"/>
  <c r="H231" i="74" s="1"/>
  <c r="G231" i="74"/>
  <c r="I231" i="74" l="1"/>
  <c r="B232" i="74"/>
  <c r="H232" i="74" s="1"/>
  <c r="G232" i="74"/>
  <c r="I232" i="74" l="1"/>
  <c r="B233" i="74"/>
  <c r="H233" i="74" s="1"/>
  <c r="G233" i="74"/>
  <c r="I233" i="74" l="1"/>
  <c r="G234" i="74"/>
  <c r="B234" i="74"/>
  <c r="I234" i="74" s="1"/>
  <c r="H234" i="74" l="1"/>
  <c r="B235" i="74"/>
  <c r="H235" i="74" s="1"/>
  <c r="G235" i="74"/>
  <c r="I235" i="74" l="1"/>
  <c r="G236" i="74"/>
  <c r="B236" i="74"/>
  <c r="H236" i="74" s="1"/>
  <c r="I236" i="74" l="1"/>
  <c r="G237" i="74"/>
  <c r="B237" i="74"/>
  <c r="H237" i="74" s="1"/>
  <c r="I237" i="74" l="1"/>
  <c r="B238" i="74"/>
  <c r="H238" i="74" s="1"/>
  <c r="G238" i="74"/>
  <c r="I238" i="74" l="1"/>
  <c r="B239" i="74"/>
  <c r="I239" i="74" s="1"/>
  <c r="G239" i="74"/>
  <c r="H239" i="74" l="1"/>
  <c r="G240" i="74"/>
  <c r="B240" i="74"/>
  <c r="H240" i="74" s="1"/>
  <c r="I240" i="74" l="1"/>
  <c r="B241" i="74"/>
  <c r="H241" i="74" s="1"/>
  <c r="G241" i="74"/>
  <c r="I241" i="74" l="1"/>
  <c r="G242" i="74"/>
  <c r="B242" i="74"/>
  <c r="I242" i="74" s="1"/>
  <c r="H242" i="74" l="1"/>
  <c r="B243" i="74"/>
  <c r="H243" i="74" s="1"/>
  <c r="G243" i="74"/>
  <c r="I243" i="74" l="1"/>
  <c r="B244" i="74"/>
  <c r="I244" i="74" s="1"/>
  <c r="G244" i="74"/>
  <c r="H244" i="74" l="1"/>
  <c r="B245" i="74"/>
  <c r="H245" i="74" s="1"/>
  <c r="G245" i="74"/>
  <c r="I245" i="74" l="1"/>
  <c r="G246" i="74"/>
  <c r="B246" i="74"/>
  <c r="I246" i="74" s="1"/>
  <c r="H246" i="74" l="1"/>
  <c r="G247" i="74"/>
  <c r="B247" i="74"/>
  <c r="I247" i="74" s="1"/>
  <c r="H247" i="74" l="1"/>
  <c r="B248" i="74"/>
  <c r="I248" i="74" s="1"/>
  <c r="G248" i="74"/>
  <c r="H248" i="74" l="1"/>
  <c r="B249" i="74"/>
  <c r="H249" i="74" s="1"/>
  <c r="G249" i="74"/>
  <c r="I249" i="74" l="1"/>
  <c r="G250" i="74"/>
  <c r="B250" i="74"/>
  <c r="I250" i="74" s="1"/>
  <c r="H250" i="74" l="1"/>
  <c r="B251" i="74"/>
  <c r="I251" i="74" s="1"/>
  <c r="G251" i="74"/>
  <c r="H251" i="74" l="1"/>
  <c r="G252" i="74"/>
  <c r="B252" i="74"/>
  <c r="H252" i="74" s="1"/>
  <c r="I252" i="74" l="1"/>
  <c r="G253" i="74"/>
  <c r="B253" i="74"/>
  <c r="H253" i="74" s="1"/>
  <c r="I253" i="74" l="1"/>
  <c r="G254" i="74"/>
  <c r="B254" i="74"/>
  <c r="H254" i="74" s="1"/>
  <c r="I254" i="74" l="1"/>
  <c r="B255" i="74"/>
  <c r="I255" i="74" s="1"/>
  <c r="G255" i="74"/>
  <c r="H255" i="74" l="1"/>
  <c r="B256" i="74"/>
  <c r="I256" i="74" s="1"/>
  <c r="G256" i="74"/>
  <c r="H256" i="74" l="1"/>
  <c r="B257" i="74"/>
  <c r="H257" i="74" s="1"/>
  <c r="G257" i="74"/>
  <c r="I257" i="74" l="1"/>
  <c r="B258" i="74"/>
  <c r="I258" i="74" s="1"/>
  <c r="G258" i="74"/>
  <c r="H258" i="74" l="1"/>
  <c r="B259" i="74"/>
  <c r="I259" i="74" s="1"/>
  <c r="G259" i="74"/>
  <c r="H259" i="74" l="1"/>
  <c r="B260" i="74"/>
  <c r="I260" i="74" s="1"/>
  <c r="G260" i="74"/>
  <c r="H260" i="74" l="1"/>
  <c r="B261" i="74"/>
  <c r="I261" i="74" s="1"/>
  <c r="G261" i="74"/>
  <c r="H261" i="74" l="1"/>
  <c r="B262" i="74"/>
  <c r="I262" i="74" s="1"/>
  <c r="G262" i="74"/>
  <c r="H262" i="74" l="1"/>
  <c r="B263" i="74"/>
  <c r="I263" i="74" s="1"/>
  <c r="G263" i="74"/>
  <c r="H263" i="74" l="1"/>
  <c r="B264" i="74"/>
  <c r="I264" i="74" s="1"/>
  <c r="G264" i="74"/>
  <c r="H264" i="74" l="1"/>
  <c r="G265" i="74"/>
  <c r="B265" i="74"/>
  <c r="H265" i="74" s="1"/>
  <c r="I265" i="74" l="1"/>
  <c r="G266" i="74"/>
  <c r="B266" i="74"/>
  <c r="H266" i="74" s="1"/>
  <c r="I266" i="74" l="1"/>
  <c r="B267" i="74"/>
  <c r="I267" i="74" s="1"/>
  <c r="G267" i="74"/>
  <c r="H267" i="74" l="1"/>
  <c r="B268" i="74"/>
  <c r="I268" i="74" s="1"/>
  <c r="G268" i="74"/>
  <c r="H268" i="74" l="1"/>
  <c r="B269" i="74"/>
  <c r="H269" i="74" s="1"/>
  <c r="G269" i="74"/>
  <c r="I269" i="74" l="1"/>
  <c r="B270" i="74"/>
  <c r="H270" i="74" s="1"/>
  <c r="G270" i="74"/>
  <c r="I270" i="74" l="1"/>
  <c r="G271" i="74"/>
  <c r="B271" i="74"/>
  <c r="I271" i="74" s="1"/>
  <c r="H271" i="74" l="1"/>
  <c r="B272" i="74"/>
  <c r="H272" i="74" s="1"/>
  <c r="G272" i="74"/>
  <c r="I272" i="74" l="1"/>
  <c r="G273" i="74"/>
  <c r="B273" i="74"/>
  <c r="I273" i="74" s="1"/>
  <c r="H273" i="74" l="1"/>
  <c r="G274" i="74"/>
  <c r="B274" i="74"/>
  <c r="I274" i="74" s="1"/>
  <c r="H274" i="74" l="1"/>
  <c r="G275" i="74"/>
  <c r="B275" i="74"/>
  <c r="H275" i="74" s="1"/>
  <c r="I275" i="74" l="1"/>
  <c r="B276" i="74"/>
  <c r="H276" i="74" s="1"/>
  <c r="G276" i="74"/>
  <c r="I276" i="74" l="1"/>
  <c r="B277" i="74"/>
  <c r="I277" i="74" s="1"/>
  <c r="G277" i="74"/>
  <c r="H277" i="74" l="1"/>
  <c r="B278" i="74"/>
  <c r="H278" i="74" s="1"/>
  <c r="G278" i="74"/>
  <c r="I278" i="74" l="1"/>
  <c r="B279" i="74"/>
  <c r="I279" i="74" s="1"/>
  <c r="G279" i="74"/>
  <c r="H279" i="74" l="1"/>
  <c r="B280" i="74"/>
  <c r="H280" i="74" s="1"/>
  <c r="G280" i="74"/>
  <c r="I280" i="74" l="1"/>
  <c r="B281" i="74"/>
  <c r="H281" i="74" s="1"/>
  <c r="G281" i="74"/>
  <c r="I281" i="74" l="1"/>
  <c r="B282" i="74"/>
  <c r="H282" i="74" s="1"/>
  <c r="G282" i="74"/>
  <c r="I282" i="74" l="1"/>
  <c r="G283" i="74"/>
  <c r="B283" i="74"/>
  <c r="I283" i="74" s="1"/>
  <c r="H283" i="74" l="1"/>
  <c r="G284" i="74"/>
  <c r="B284" i="74"/>
  <c r="H284" i="74" s="1"/>
  <c r="I284" i="74" l="1"/>
  <c r="G285" i="74"/>
  <c r="B285" i="74"/>
  <c r="I285" i="74" s="1"/>
  <c r="H285" i="74" l="1"/>
  <c r="G286" i="74"/>
  <c r="B286" i="74"/>
  <c r="I286" i="74" s="1"/>
  <c r="H286" i="74" l="1"/>
  <c r="B287" i="74"/>
  <c r="I287" i="74" s="1"/>
  <c r="G287" i="74"/>
  <c r="H287" i="74" l="1"/>
  <c r="B288" i="74"/>
  <c r="I288" i="74" s="1"/>
  <c r="G288" i="74"/>
  <c r="H288" i="74" l="1"/>
  <c r="B289" i="74"/>
  <c r="H289" i="74" s="1"/>
  <c r="G289" i="74"/>
  <c r="I289" i="74" l="1"/>
  <c r="B290" i="74"/>
  <c r="H290" i="74" s="1"/>
  <c r="G290" i="74"/>
  <c r="I290" i="74" l="1"/>
  <c r="G291" i="74"/>
  <c r="B291" i="74"/>
  <c r="I291" i="74" s="1"/>
  <c r="H291" i="74" l="1"/>
  <c r="G292" i="74"/>
  <c r="B292" i="74"/>
  <c r="I292" i="74" s="1"/>
  <c r="H292" i="74" l="1"/>
  <c r="B293" i="74"/>
  <c r="H293" i="74" s="1"/>
  <c r="G293" i="74"/>
  <c r="I293" i="74" l="1"/>
  <c r="B294" i="74"/>
  <c r="H294" i="74" s="1"/>
  <c r="G294" i="74"/>
  <c r="I294" i="74" l="1"/>
  <c r="B295" i="74"/>
  <c r="H295" i="74" s="1"/>
  <c r="G295" i="74"/>
  <c r="I295" i="74" l="1"/>
  <c r="B296" i="74"/>
  <c r="H296" i="74" s="1"/>
  <c r="G296" i="74"/>
  <c r="I296" i="74" l="1"/>
  <c r="B297" i="74"/>
  <c r="I297" i="74" s="1"/>
  <c r="G297" i="74"/>
  <c r="H297" i="74" l="1"/>
  <c r="B298" i="74"/>
  <c r="H298" i="74" s="1"/>
  <c r="G298" i="74"/>
  <c r="I298" i="74" l="1"/>
  <c r="G299" i="74"/>
  <c r="B299" i="74"/>
  <c r="I299" i="74" s="1"/>
  <c r="H299" i="74" l="1"/>
  <c r="B300" i="74"/>
  <c r="H300" i="74" s="1"/>
  <c r="G300" i="74"/>
  <c r="I300" i="74" l="1"/>
  <c r="B301" i="74"/>
  <c r="H301" i="74" s="1"/>
  <c r="G301" i="74"/>
  <c r="I301" i="74" l="1"/>
  <c r="B302" i="74"/>
  <c r="I302" i="74" s="1"/>
  <c r="G302" i="74"/>
  <c r="H302" i="74" l="1"/>
  <c r="G303" i="74"/>
  <c r="B303" i="74"/>
  <c r="I303" i="74" s="1"/>
  <c r="H303" i="74" l="1"/>
  <c r="B304" i="74"/>
  <c r="H304" i="74" s="1"/>
  <c r="G304" i="74"/>
  <c r="I304" i="74" l="1"/>
  <c r="B305" i="74"/>
  <c r="H305" i="74" s="1"/>
  <c r="G305" i="74"/>
  <c r="I305" i="74" l="1"/>
  <c r="G306" i="74"/>
  <c r="B306" i="74"/>
  <c r="H306" i="74" s="1"/>
  <c r="I306" i="74" l="1"/>
  <c r="G307" i="74"/>
  <c r="B307" i="74"/>
  <c r="H307" i="74" s="1"/>
  <c r="I307" i="74" l="1"/>
  <c r="B308" i="74"/>
  <c r="H308" i="74" s="1"/>
  <c r="G308" i="74"/>
  <c r="I308" i="74"/>
  <c r="B309" i="74" l="1"/>
  <c r="H309" i="74" s="1"/>
  <c r="G309" i="74"/>
  <c r="I309" i="74" l="1"/>
  <c r="B310" i="74"/>
  <c r="I310" i="74" s="1"/>
  <c r="G310" i="74"/>
  <c r="H310" i="74" l="1"/>
  <c r="B311" i="74"/>
  <c r="H311" i="74" s="1"/>
  <c r="G311" i="74"/>
  <c r="I311" i="74" l="1"/>
  <c r="B312" i="74"/>
  <c r="H312" i="74" s="1"/>
  <c r="G312" i="74"/>
  <c r="I312" i="74" l="1"/>
  <c r="G313" i="74"/>
  <c r="B313" i="74"/>
  <c r="I313" i="74" s="1"/>
  <c r="H313" i="74" l="1"/>
  <c r="B314" i="74"/>
  <c r="H314" i="74" s="1"/>
  <c r="G314" i="74"/>
  <c r="I314" i="74" l="1"/>
  <c r="B315" i="74"/>
  <c r="H315" i="74" s="1"/>
  <c r="G315" i="74"/>
  <c r="I315" i="74" l="1"/>
  <c r="G316" i="74"/>
  <c r="B316" i="74"/>
  <c r="H316" i="74" s="1"/>
  <c r="I316" i="74" l="1"/>
  <c r="B317" i="74"/>
  <c r="H317" i="74" s="1"/>
  <c r="G317" i="74"/>
  <c r="I317" i="74" l="1"/>
  <c r="B318" i="74"/>
  <c r="H318" i="74" s="1"/>
  <c r="G318" i="74"/>
  <c r="I318" i="74" l="1"/>
  <c r="B319" i="74"/>
  <c r="H319" i="74" s="1"/>
  <c r="G319" i="74"/>
  <c r="I319" i="74" l="1"/>
  <c r="B320" i="74"/>
  <c r="H320" i="74" s="1"/>
  <c r="G320" i="74"/>
  <c r="I320" i="74" l="1"/>
  <c r="G321" i="74"/>
  <c r="B321" i="74"/>
  <c r="H321" i="74" s="1"/>
  <c r="I321" i="74" l="1"/>
  <c r="G322" i="74"/>
  <c r="B322" i="74"/>
  <c r="I322" i="74" s="1"/>
  <c r="H322" i="74" l="1"/>
  <c r="B323" i="74"/>
  <c r="H323" i="74" s="1"/>
  <c r="G323" i="74"/>
  <c r="I323" i="74" l="1"/>
  <c r="B324" i="74"/>
  <c r="H324" i="74" s="1"/>
  <c r="G324" i="74"/>
  <c r="I324" i="74" l="1"/>
  <c r="B325" i="74"/>
  <c r="I325" i="74" s="1"/>
  <c r="G325" i="74"/>
  <c r="H325" i="74"/>
  <c r="G326" i="74" l="1"/>
  <c r="B326" i="74"/>
  <c r="H326" i="74" s="1"/>
  <c r="I326" i="74" l="1"/>
  <c r="B327" i="74"/>
  <c r="H327" i="74" s="1"/>
  <c r="G327" i="74"/>
  <c r="I327" i="74" l="1"/>
  <c r="G328" i="74"/>
  <c r="B328" i="74"/>
  <c r="H328" i="74" s="1"/>
  <c r="I328" i="74" l="1"/>
  <c r="B329" i="74"/>
  <c r="H329" i="74" s="1"/>
  <c r="G329" i="74"/>
  <c r="I329" i="74" l="1"/>
  <c r="G330" i="74"/>
  <c r="B330" i="74"/>
  <c r="H330" i="74" s="1"/>
  <c r="I330" i="74" l="1"/>
  <c r="B331" i="74"/>
  <c r="I331" i="74" s="1"/>
  <c r="G331" i="74"/>
  <c r="H331" i="74" l="1"/>
  <c r="G332" i="74"/>
  <c r="B332" i="74"/>
  <c r="H332" i="74" s="1"/>
  <c r="I332" i="74" l="1"/>
  <c r="G333" i="74"/>
  <c r="B333" i="74"/>
  <c r="I333" i="74" s="1"/>
  <c r="H333" i="74" l="1"/>
  <c r="B334" i="74"/>
  <c r="I334" i="74" s="1"/>
  <c r="G334" i="74"/>
  <c r="H334" i="74" l="1"/>
  <c r="B335" i="74"/>
  <c r="H335" i="74" s="1"/>
  <c r="G335" i="74"/>
  <c r="I335" i="74" l="1"/>
  <c r="B336" i="74"/>
  <c r="I336" i="74" s="1"/>
  <c r="G336" i="74"/>
  <c r="H336" i="74" l="1"/>
  <c r="G337" i="74"/>
  <c r="B337" i="74"/>
  <c r="H337" i="74" s="1"/>
  <c r="I337" i="74" l="1"/>
  <c r="B338" i="74"/>
  <c r="I338" i="74" s="1"/>
  <c r="G338" i="74"/>
  <c r="H338" i="74" l="1"/>
  <c r="B339" i="74"/>
  <c r="I339" i="74" s="1"/>
  <c r="G339" i="74"/>
  <c r="H339" i="74" l="1"/>
  <c r="B340" i="74"/>
  <c r="I340" i="74" s="1"/>
  <c r="G340" i="74"/>
  <c r="H340" i="74" l="1"/>
  <c r="B341" i="74"/>
  <c r="H341" i="74" s="1"/>
  <c r="G341" i="74"/>
  <c r="I341" i="74" l="1"/>
  <c r="G342" i="74"/>
  <c r="B342" i="74"/>
  <c r="H342" i="74" s="1"/>
  <c r="I342" i="74" l="1"/>
  <c r="B343" i="74"/>
  <c r="H343" i="74" s="1"/>
  <c r="G343" i="74"/>
  <c r="I343" i="74" l="1"/>
  <c r="G344" i="74"/>
  <c r="B344" i="74"/>
  <c r="H344" i="74" s="1"/>
  <c r="I344" i="74" l="1"/>
  <c r="B345" i="74"/>
  <c r="H345" i="74" s="1"/>
  <c r="G345" i="74"/>
  <c r="I345" i="74" l="1"/>
  <c r="B346" i="74"/>
  <c r="H346" i="74" s="1"/>
  <c r="G346" i="74"/>
  <c r="I346" i="74" l="1"/>
  <c r="B347" i="74"/>
  <c r="I347" i="74" s="1"/>
  <c r="G347" i="74"/>
  <c r="H347" i="74" l="1"/>
  <c r="B348" i="74"/>
  <c r="I348" i="74" s="1"/>
  <c r="G348" i="74"/>
  <c r="H348" i="74" l="1"/>
  <c r="B349" i="74"/>
  <c r="I349" i="74" s="1"/>
  <c r="G349" i="74"/>
  <c r="H349" i="74" l="1"/>
  <c r="B350" i="74"/>
  <c r="I350" i="74" s="1"/>
  <c r="G350" i="74"/>
  <c r="H350" i="74" l="1"/>
  <c r="B351" i="74"/>
  <c r="H351" i="74" s="1"/>
  <c r="G351" i="74"/>
  <c r="I351" i="74" l="1"/>
  <c r="B352" i="74"/>
  <c r="I352" i="74" s="1"/>
  <c r="G352" i="74"/>
  <c r="H352" i="74" l="1"/>
  <c r="B353" i="74"/>
  <c r="H353" i="74" s="1"/>
  <c r="G353" i="74"/>
  <c r="I353" i="74" l="1"/>
  <c r="B354" i="74"/>
  <c r="H354" i="74" s="1"/>
  <c r="G354" i="74"/>
  <c r="I354" i="74" l="1"/>
  <c r="B355" i="74"/>
  <c r="H355" i="74" s="1"/>
  <c r="G355" i="74"/>
  <c r="I355" i="74" l="1"/>
  <c r="B356" i="74"/>
  <c r="H356" i="74" s="1"/>
  <c r="G356" i="74"/>
  <c r="I356" i="74" l="1"/>
  <c r="G357" i="74"/>
  <c r="B357" i="74"/>
  <c r="I357" i="74" s="1"/>
  <c r="H357" i="74" l="1"/>
  <c r="B358" i="74"/>
  <c r="H358" i="74" s="1"/>
  <c r="G358" i="74"/>
  <c r="I358" i="74" l="1"/>
  <c r="B359" i="74"/>
  <c r="H359" i="74" s="1"/>
  <c r="G359" i="74"/>
  <c r="I359" i="74" l="1"/>
  <c r="B360" i="74"/>
  <c r="H360" i="74" s="1"/>
  <c r="G360" i="74"/>
  <c r="I360" i="74" l="1"/>
  <c r="B361" i="74"/>
  <c r="I361" i="74" s="1"/>
  <c r="G361" i="74"/>
  <c r="H361" i="74" l="1"/>
  <c r="B362" i="74"/>
  <c r="I362" i="74" s="1"/>
  <c r="G362" i="74"/>
  <c r="H362" i="74" l="1"/>
  <c r="G363" i="74"/>
  <c r="B363" i="74"/>
  <c r="I363" i="74" s="1"/>
  <c r="H363" i="74" l="1"/>
  <c r="G364" i="74"/>
  <c r="B364" i="74"/>
  <c r="I364" i="74" s="1"/>
  <c r="H364" i="74" l="1"/>
  <c r="B365" i="74"/>
  <c r="H365" i="74" s="1"/>
  <c r="G365" i="74"/>
  <c r="I365" i="74" l="1"/>
  <c r="B366" i="74"/>
  <c r="I366" i="74" s="1"/>
  <c r="G366" i="74"/>
  <c r="H366" i="74" l="1"/>
  <c r="B367" i="74"/>
  <c r="H367" i="74" s="1"/>
  <c r="G367" i="74"/>
  <c r="I367" i="74" l="1"/>
  <c r="B368" i="74"/>
  <c r="H368" i="74" s="1"/>
  <c r="I368" i="74"/>
  <c r="G368" i="74"/>
  <c r="G369" i="74" l="1"/>
  <c r="B369" i="74"/>
  <c r="H369" i="74" s="1"/>
  <c r="I369" i="74" l="1"/>
  <c r="B370" i="74"/>
  <c r="I370" i="74" s="1"/>
  <c r="G370" i="74"/>
  <c r="H370" i="74" l="1"/>
  <c r="B371" i="74"/>
  <c r="H371" i="74" s="1"/>
  <c r="G371" i="74"/>
  <c r="I371" i="74" l="1"/>
  <c r="B372" i="74"/>
  <c r="H372" i="74" s="1"/>
  <c r="G372" i="74"/>
  <c r="I372" i="74" l="1"/>
  <c r="G373" i="74"/>
  <c r="B373" i="74"/>
  <c r="I373" i="74" s="1"/>
  <c r="H373" i="74" l="1"/>
  <c r="B374" i="74"/>
  <c r="I374" i="74" s="1"/>
  <c r="G374" i="74"/>
  <c r="H374" i="74" l="1"/>
  <c r="B375" i="74"/>
  <c r="I375" i="74" s="1"/>
  <c r="G375" i="74"/>
  <c r="H375" i="74" l="1"/>
  <c r="B376" i="74"/>
  <c r="I376" i="74" s="1"/>
  <c r="G376" i="74"/>
  <c r="H376" i="74" l="1"/>
  <c r="G377" i="74"/>
  <c r="B377" i="74"/>
  <c r="H377" i="74" s="1"/>
  <c r="I377" i="74" l="1"/>
  <c r="G378" i="74"/>
  <c r="B378" i="74"/>
  <c r="H378" i="74" s="1"/>
  <c r="I378" i="74" l="1"/>
  <c r="B379" i="74"/>
  <c r="H379" i="74" s="1"/>
  <c r="G379" i="74"/>
  <c r="I379" i="74" l="1"/>
  <c r="B380" i="74"/>
  <c r="I380" i="74" s="1"/>
  <c r="G380" i="74"/>
  <c r="H380" i="74" l="1"/>
  <c r="B381" i="74"/>
  <c r="H381" i="74" s="1"/>
  <c r="G381" i="74"/>
  <c r="I381" i="74" l="1"/>
  <c r="B382" i="74"/>
  <c r="I382" i="74" s="1"/>
  <c r="G382" i="74"/>
  <c r="H382" i="74" l="1"/>
  <c r="B383" i="74"/>
  <c r="H383" i="74" s="1"/>
  <c r="G383" i="74"/>
  <c r="I383" i="74" l="1"/>
  <c r="G384" i="74"/>
  <c r="B384" i="74"/>
  <c r="H384" i="74" s="1"/>
  <c r="I384" i="74" l="1"/>
  <c r="B385" i="74"/>
  <c r="I385" i="74" s="1"/>
  <c r="G385" i="74"/>
  <c r="H385" i="74" l="1"/>
  <c r="B386" i="74"/>
  <c r="I386" i="74" s="1"/>
  <c r="G386" i="74"/>
  <c r="H386" i="74" l="1"/>
  <c r="B387" i="74"/>
  <c r="H387" i="74" s="1"/>
  <c r="G387" i="74"/>
  <c r="I387" i="74" l="1"/>
  <c r="B388" i="74"/>
  <c r="H388" i="74" s="1"/>
  <c r="G388" i="74"/>
  <c r="I388" i="74" l="1"/>
  <c r="B389" i="74"/>
  <c r="I389" i="74" s="1"/>
  <c r="G389" i="74"/>
  <c r="H389" i="74" l="1"/>
  <c r="B390" i="74"/>
  <c r="H390" i="74" s="1"/>
  <c r="G390" i="74"/>
  <c r="I390" i="74" l="1"/>
  <c r="B391" i="74"/>
  <c r="I391" i="74" s="1"/>
  <c r="G391" i="74"/>
  <c r="H391" i="74" l="1"/>
  <c r="B392" i="74"/>
  <c r="H392" i="74" s="1"/>
  <c r="G392" i="74"/>
  <c r="I392" i="74" l="1"/>
  <c r="G393" i="74"/>
  <c r="B393" i="74"/>
  <c r="H393" i="74" s="1"/>
  <c r="I393" i="74" l="1"/>
  <c r="G394" i="74"/>
  <c r="B394" i="74"/>
  <c r="H394" i="74" s="1"/>
  <c r="I394" i="74" l="1"/>
  <c r="G395" i="74"/>
  <c r="B395" i="74"/>
  <c r="H395" i="74" s="1"/>
  <c r="I395" i="74" l="1"/>
  <c r="B396" i="74"/>
  <c r="H396" i="74" s="1"/>
  <c r="G396" i="74"/>
  <c r="I396" i="74" l="1"/>
  <c r="B397" i="74"/>
  <c r="I397" i="74" s="1"/>
  <c r="G397" i="74"/>
  <c r="H397" i="74" l="1"/>
  <c r="B398" i="74"/>
  <c r="H398" i="74" s="1"/>
  <c r="G398" i="74"/>
  <c r="I398" i="74" l="1"/>
  <c r="G399" i="74"/>
  <c r="B399" i="74"/>
  <c r="H399" i="74" s="1"/>
  <c r="I399" i="74" l="1"/>
  <c r="B400" i="74"/>
  <c r="H400" i="74" s="1"/>
  <c r="G400" i="74"/>
  <c r="I400" i="74" l="1"/>
  <c r="G401" i="74"/>
  <c r="B401" i="74"/>
  <c r="I401" i="74" s="1"/>
  <c r="H401" i="74" l="1"/>
  <c r="B402" i="74"/>
  <c r="H402" i="74" s="1"/>
  <c r="G402" i="74"/>
  <c r="I402" i="74" l="1"/>
  <c r="G403" i="74"/>
  <c r="B403" i="74"/>
  <c r="I403" i="74" s="1"/>
  <c r="H403" i="74" l="1"/>
  <c r="G404" i="74"/>
  <c r="B404" i="74"/>
  <c r="I404" i="74" s="1"/>
  <c r="H404" i="74" l="1"/>
  <c r="G405" i="74"/>
  <c r="B405" i="74"/>
  <c r="I405" i="74" s="1"/>
  <c r="H405" i="74" l="1"/>
  <c r="G406" i="74"/>
  <c r="B406" i="74"/>
  <c r="I406" i="74" s="1"/>
  <c r="H406" i="74" l="1"/>
  <c r="B407" i="74"/>
  <c r="C42" i="74" s="1"/>
  <c r="C26" i="74" s="1"/>
  <c r="G407" i="74"/>
  <c r="I407" i="74" l="1"/>
  <c r="H407" i="74"/>
  <c r="H137" i="80"/>
  <c r="H149" i="80"/>
  <c r="E79" i="80"/>
  <c r="E104" i="80"/>
  <c r="F116" i="80"/>
  <c r="I408" i="74"/>
  <c r="I42" i="74" s="1"/>
  <c r="B408" i="74"/>
  <c r="G408" i="74"/>
  <c r="G42" i="74" s="1"/>
  <c r="H408" i="74"/>
  <c r="H42" i="74" s="1"/>
  <c r="G79" i="80" l="1"/>
  <c r="D64" i="80" s="1"/>
  <c r="F79" i="80"/>
  <c r="C64" i="80" s="1"/>
  <c r="J149" i="80"/>
  <c r="K64" i="80" s="1"/>
  <c r="I149" i="80"/>
  <c r="J64" i="80" s="1"/>
  <c r="J137" i="80"/>
  <c r="I64" i="80" s="1"/>
  <c r="I137" i="80"/>
  <c r="H64" i="80" s="1"/>
  <c r="F104" i="80"/>
  <c r="E64" i="80" s="1"/>
  <c r="G104" i="80"/>
  <c r="F64" i="80" s="1"/>
  <c r="G116" i="80"/>
  <c r="G64" i="80" s="1"/>
  <c r="E37" i="80" l="1"/>
  <c r="E38" i="80"/>
  <c r="F38" i="80"/>
  <c r="F37" i="80"/>
  <c r="D37" i="80"/>
  <c r="D38" i="80"/>
  <c r="G37" i="80" l="1"/>
  <c r="C11" i="84" s="1"/>
  <c r="G38" i="80"/>
  <c r="D11" i="8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15" authorId="0" shapeId="0" xr:uid="{97CAEA5B-827A-4E6A-A177-623EB2017361}">
      <text>
        <r>
          <rPr>
            <sz val="10"/>
            <color indexed="81"/>
            <rFont val="Tahoma"/>
            <family val="2"/>
          </rPr>
          <t>These cells will display if "Scheme pipeline" is chosen in Cover sheet.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C23" authorId="0" shapeId="0" xr:uid="{FB24D0A6-4238-4C95-AAEF-EA741F3830A5}">
      <text>
        <r>
          <rPr>
            <sz val="9"/>
            <color indexed="81"/>
            <rFont val="Tahoma"/>
            <family val="2"/>
          </rPr>
          <t>The sum of percentages should not be greater than 100%. If above 100%, the cell will be shaded red. If less than 100%, it will be shaded in light red.</t>
        </r>
      </text>
    </comment>
    <comment ref="C35" authorId="0" shapeId="0" xr:uid="{9C990F4E-35FF-4F75-9BAC-96EDCB2E6F54}">
      <text>
        <r>
          <rPr>
            <sz val="9"/>
            <color indexed="81"/>
            <rFont val="Tahoma"/>
            <family val="2"/>
          </rPr>
          <t>The sum of percentages should not be greater than 100%. If above 100%, the cell will be shaded red. If less than 100%, it will be shaded in light red.</t>
        </r>
      </text>
    </comment>
    <comment ref="C47" authorId="0" shapeId="0" xr:uid="{C4378FF2-09C9-4504-8C93-6FEE2D2EF082}">
      <text>
        <r>
          <rPr>
            <sz val="9"/>
            <color indexed="81"/>
            <rFont val="Tahoma"/>
            <family val="2"/>
          </rPr>
          <t>The sum of percentages should not be greater than 100%. If above 100%, the cell will be shaded red. If less than 100%, it will be shaded in light red.</t>
        </r>
      </text>
    </comment>
    <comment ref="C66" authorId="0" shapeId="0" xr:uid="{DE55DD2B-6128-4A52-A38A-E987CFDBAC4F}">
      <text>
        <r>
          <rPr>
            <sz val="9"/>
            <color indexed="81"/>
            <rFont val="Tahoma"/>
            <family val="2"/>
          </rPr>
          <t>The sum of percentages should not be greater than 100%. If above 100%, the cell will be shaded red. If less than 100%, it will be shaded in light red.</t>
        </r>
      </text>
    </comment>
    <comment ref="C78" authorId="0" shapeId="0" xr:uid="{6519BBAE-DDF6-4E9E-A5D3-BE1BA282E6B1}">
      <text>
        <r>
          <rPr>
            <sz val="9"/>
            <color indexed="81"/>
            <rFont val="Tahoma"/>
            <family val="2"/>
          </rPr>
          <t>The sum of percentages should not be greater than 100%. If above 100%, the cell will be shaded red. If less than 100%, it will be shaded in light red.</t>
        </r>
      </text>
    </comment>
    <comment ref="C90" authorId="0" shapeId="0" xr:uid="{BB5E33B3-1461-4D9C-A2E5-6F02CC72A292}">
      <text>
        <r>
          <rPr>
            <sz val="9"/>
            <color indexed="81"/>
            <rFont val="Tahoma"/>
            <family val="2"/>
          </rPr>
          <t>The sum of percentages should not be greater than 100%. If above 100%, the cell will be shaded red. If less than 100%, it will be shaded in light red.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Zhang, Cathy</author>
  </authors>
  <commentList>
    <comment ref="D19" authorId="0" shapeId="0" xr:uid="{A3D62588-5D5E-4C5C-AFCA-0E3B2350FEAF}">
      <text>
        <r>
          <rPr>
            <sz val="9"/>
            <color indexed="81"/>
            <rFont val="Tahoma"/>
            <family val="2"/>
          </rPr>
          <t>This item only to be used for periods from the implementation of the revised accounting standard on leases AASB16</t>
        </r>
      </text>
    </comment>
    <comment ref="D27" authorId="0" shapeId="0" xr:uid="{E9F08BD3-3E66-47C7-8C68-6FFDDC9DC307}">
      <text>
        <r>
          <rPr>
            <sz val="9"/>
            <color indexed="81"/>
            <rFont val="Tahoma"/>
            <family val="2"/>
          </rPr>
          <t>This item only to be used for periods from the implementation of the revised accounting standard on leases AASB16</t>
        </r>
      </text>
    </comment>
    <comment ref="D34" authorId="0" shapeId="0" xr:uid="{805B3863-1F04-4EDA-ADF9-47E2578689B5}">
      <text>
        <r>
          <rPr>
            <sz val="9"/>
            <color indexed="81"/>
            <rFont val="Tahoma"/>
            <family val="2"/>
          </rPr>
          <t>This item only to be used for periods from the implementation of the revised accounting standard on leases AASB16</t>
        </r>
      </text>
    </comment>
    <comment ref="D35" authorId="1" shapeId="0" xr:uid="{517F3D78-D164-4523-9C3B-87D852CFB805}">
      <text>
        <r>
          <rPr>
            <sz val="9"/>
            <color indexed="81"/>
            <rFont val="Tahoma"/>
            <family val="2"/>
          </rPr>
          <t xml:space="preserve">This item should not be greater than </t>
        </r>
        <r>
          <rPr>
            <i/>
            <sz val="9"/>
            <color indexed="81"/>
            <rFont val="Tahoma"/>
            <family val="2"/>
          </rPr>
          <t xml:space="preserve">Revenue </t>
        </r>
        <r>
          <rPr>
            <sz val="9"/>
            <color indexed="81"/>
            <rFont val="Tahoma"/>
            <family val="2"/>
          </rPr>
          <t>within the year. If incorrect figure is recorded, the cell will be shaded red.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Zhang, Cathy</author>
  </authors>
  <commentList>
    <comment ref="B31" authorId="0" shapeId="0" xr:uid="{521C7DA8-378E-4803-80DA-FB1CACF63D6A}">
      <text>
        <r>
          <rPr>
            <sz val="9"/>
            <color indexed="81"/>
            <rFont val="Tahoma"/>
            <family val="2"/>
          </rPr>
          <t>This item should not be greater than 100%. If above 100%, the cell will be shaded red. If less than 100%, it will be shaded in light red.</t>
        </r>
      </text>
    </comment>
  </commentList>
</comments>
</file>

<file path=xl/sharedStrings.xml><?xml version="1.0" encoding="utf-8"?>
<sst xmlns="http://schemas.openxmlformats.org/spreadsheetml/2006/main" count="1975" uniqueCount="897">
  <si>
    <t>Date</t>
  </si>
  <si>
    <t>Cover</t>
  </si>
  <si>
    <t>Various</t>
  </si>
  <si>
    <t>3.3 Asset useful life</t>
  </si>
  <si>
    <t>Gas Pipeline Operator</t>
  </si>
  <si>
    <t>Part 10 Financial Reporting Template</t>
  </si>
  <si>
    <t xml:space="preserve">This template is to be uploaded by a Gas Pipeline Operator to its website to fulfil its annual reporting obligations. </t>
  </si>
  <si>
    <t>Basis of preparation document is to be uploaded alongside this financial template, providing assumptions, methodologies, and other relevant information.</t>
  </si>
  <si>
    <t>Colour coding of input sheets:</t>
  </si>
  <si>
    <t>Light Blue / Dark Blue = AER instructions / headings</t>
  </si>
  <si>
    <t>Orange = Input cells</t>
  </si>
  <si>
    <t>Grey = Not applicable/No inputs required</t>
  </si>
  <si>
    <t>Leave coloured cells blank if no information exists - PLEASE DO NOT ENTER TEXT unless specifically requested to do so.</t>
  </si>
  <si>
    <t>All dollar amounts are to be unrounded, and in nominal terms.</t>
  </si>
  <si>
    <t>Service provider:</t>
  </si>
  <si>
    <t xml:space="preserve">Australian business number: </t>
  </si>
  <si>
    <t>Pipeline name:</t>
  </si>
  <si>
    <t>Reedy Creek Wallumbilla Pipeline</t>
  </si>
  <si>
    <t>Type of regulated pipeline:</t>
  </si>
  <si>
    <t>Non-scheme pipeline</t>
  </si>
  <si>
    <t>Reporting period start date:</t>
  </si>
  <si>
    <t>Reporting period end date:</t>
  </si>
  <si>
    <t xml:space="preserve">Publication date of this financial report: </t>
  </si>
  <si>
    <t>Reported information is current as at:</t>
  </si>
  <si>
    <t>Has any information in this template been amended since last published within this current reporting period?</t>
  </si>
  <si>
    <t>No</t>
  </si>
  <si>
    <t>Basis of preparation ID</t>
  </si>
  <si>
    <t>N/A</t>
  </si>
  <si>
    <t>Business address</t>
  </si>
  <si>
    <t>Address</t>
  </si>
  <si>
    <t>Level 10, 121 Castlereagh Street</t>
  </si>
  <si>
    <t>Suburb</t>
  </si>
  <si>
    <t>Sydney</t>
  </si>
  <si>
    <t>State</t>
  </si>
  <si>
    <t>NSW</t>
  </si>
  <si>
    <t>Postcode</t>
  </si>
  <si>
    <t>Postal address</t>
  </si>
  <si>
    <t>PO Box R41</t>
  </si>
  <si>
    <t>Royal Exhange</t>
  </si>
  <si>
    <t>Contact name/s</t>
  </si>
  <si>
    <t>Andrew Narin (General Manager Investor Relations)</t>
  </si>
  <si>
    <t>Contact phone/s</t>
  </si>
  <si>
    <t>+61 (03) 8416 2887</t>
  </si>
  <si>
    <t>Contact email address/s</t>
  </si>
  <si>
    <t>APARegReporting@apa.com.au</t>
  </si>
  <si>
    <t xml:space="preserve"> </t>
  </si>
  <si>
    <t xml:space="preserve">Year ending </t>
  </si>
  <si>
    <t>CONTENTS</t>
  </si>
  <si>
    <t>SUMMARY</t>
  </si>
  <si>
    <t>Financial summary</t>
  </si>
  <si>
    <t>Data visualisation</t>
  </si>
  <si>
    <t>Pricing benchmarks summary</t>
  </si>
  <si>
    <t>1. PIPELINE INFORMATION</t>
  </si>
  <si>
    <t>2. REVENUE AND EXPENSES</t>
  </si>
  <si>
    <t>2.1 Profit &amp; Loss by component</t>
  </si>
  <si>
    <t>2.2 Allocation to pipeline services</t>
  </si>
  <si>
    <t xml:space="preserve">2.3 Revenue contributions </t>
  </si>
  <si>
    <t>2.4 Indirect revenue</t>
  </si>
  <si>
    <t>2.5 Shared expenses</t>
  </si>
  <si>
    <t>3.1 ASSET VALUE - DEPRICIATED BOOK VALUE METHOD (DBVM)</t>
  </si>
  <si>
    <t>3.2 ASSET VALUE - REGULATORY ASSET BASE (RAB)</t>
  </si>
  <si>
    <t>3.4 Asset impairment</t>
  </si>
  <si>
    <t>3.5 Depreciation amortisation</t>
  </si>
  <si>
    <t>3.6 Shared supporting assets</t>
  </si>
  <si>
    <t>4. ASSET VALUE - RECOVERED CAPITAL METHOD (RCM)</t>
  </si>
  <si>
    <t>4.1 Pipelines capex</t>
  </si>
  <si>
    <t>5. HISTORICAL DEMAND</t>
  </si>
  <si>
    <t>6. PRICING TEMPLATE</t>
  </si>
  <si>
    <t>Part 10 Financial Reporting</t>
  </si>
  <si>
    <t>All numbers are expressed in $nominal.</t>
  </si>
  <si>
    <t>Profit and loss (Table 2.1.1)</t>
  </si>
  <si>
    <t>Total</t>
  </si>
  <si>
    <t>Direct revenue</t>
  </si>
  <si>
    <t>Indirect revenue allocated</t>
  </si>
  <si>
    <t>Total revenue</t>
  </si>
  <si>
    <t>Direct expenses</t>
  </si>
  <si>
    <t>Shared expenses allocated</t>
  </si>
  <si>
    <t>Total expenses</t>
  </si>
  <si>
    <t>Earnings before interest and tax (EBIT)</t>
  </si>
  <si>
    <t xml:space="preserve">Depreciated book value method (Table 3.1.1 for Non-scheme pipelines) </t>
  </si>
  <si>
    <t>Value as at current reporting period</t>
  </si>
  <si>
    <t xml:space="preserve">Total assets </t>
  </si>
  <si>
    <t>Return on assets</t>
  </si>
  <si>
    <t xml:space="preserve">Regulatory Asset Base (Table 3.2.1 for Scheme pipelines) </t>
  </si>
  <si>
    <t>Recovered capital method  (Table 4.1)</t>
  </si>
  <si>
    <t>Total assets</t>
  </si>
  <si>
    <t>Revenue &amp; Expense allocation to pipeline services</t>
  </si>
  <si>
    <t>Historical demand</t>
  </si>
  <si>
    <t>Price benchmarks</t>
  </si>
  <si>
    <t>Total cost per unit</t>
  </si>
  <si>
    <t>Measurement unit</t>
  </si>
  <si>
    <t>Low</t>
  </si>
  <si>
    <t>High</t>
  </si>
  <si>
    <t>Firm forward haul transportation service</t>
  </si>
  <si>
    <t>$/GJ/day of Pipeline MDQ</t>
  </si>
  <si>
    <t>Backhaul service</t>
  </si>
  <si>
    <t>Interruptible or as available transportation service</t>
  </si>
  <si>
    <t>Firm stand-alone compression service</t>
  </si>
  <si>
    <t>Interruptible or as available stand-alone compression service</t>
  </si>
  <si>
    <t>Park service</t>
  </si>
  <si>
    <t>Park and loan services</t>
  </si>
  <si>
    <t>Capacity trading service</t>
  </si>
  <si>
    <t>$/GJ of MDQ traded</t>
  </si>
  <si>
    <t>In pipe trading service</t>
  </si>
  <si>
    <t>$/GJ traded</t>
  </si>
  <si>
    <t>Other</t>
  </si>
  <si>
    <t>Pipeline information</t>
  </si>
  <si>
    <t>Table 1.1: Pipeline details</t>
  </si>
  <si>
    <t>Pipeline location</t>
  </si>
  <si>
    <t>Pipeline length (kilometres)</t>
  </si>
  <si>
    <t>Number of customers</t>
  </si>
  <si>
    <t>Service type</t>
  </si>
  <si>
    <t>Transmission</t>
  </si>
  <si>
    <t>Pipeline nameplate capacity</t>
  </si>
  <si>
    <t>Construction date</t>
  </si>
  <si>
    <t>Table 1.2: Pipeline services provided</t>
  </si>
  <si>
    <t>Service description</t>
  </si>
  <si>
    <t>Provided to non related parties</t>
  </si>
  <si>
    <t>Provided to related parties</t>
  </si>
  <si>
    <t>Transportation services</t>
  </si>
  <si>
    <t>Yes</t>
  </si>
  <si>
    <t>Backhaul services</t>
  </si>
  <si>
    <t>Stand-alone compression services</t>
  </si>
  <si>
    <t>Storage services</t>
  </si>
  <si>
    <t>Park services</t>
  </si>
  <si>
    <t>Trading services</t>
  </si>
  <si>
    <t>Other (please specify)</t>
  </si>
  <si>
    <t>Auction service</t>
  </si>
  <si>
    <t>other service (insert description)</t>
  </si>
  <si>
    <t>Revenue and expenses</t>
  </si>
  <si>
    <t>Table 2.1:  Statement of pipeline revenue and expenses by service</t>
  </si>
  <si>
    <t>Basis of Preparation ID</t>
  </si>
  <si>
    <t>Description</t>
  </si>
  <si>
    <t>Earnings before interest and tax (EBIT) by service</t>
  </si>
  <si>
    <t>$ nominal</t>
  </si>
  <si>
    <t>Section 11</t>
  </si>
  <si>
    <t>Revenue</t>
  </si>
  <si>
    <t>Expenses</t>
  </si>
  <si>
    <t>Total net revenue</t>
  </si>
  <si>
    <t>Total Expenses</t>
  </si>
  <si>
    <t>Profit &amp; Loss statement by component</t>
  </si>
  <si>
    <t>Table 2.1.1:  Statement of pipeline revenue and expenses by component</t>
  </si>
  <si>
    <t>Current reporting period</t>
  </si>
  <si>
    <t>Previous reporting period</t>
  </si>
  <si>
    <t>Amounts excluding related party transactions</t>
  </si>
  <si>
    <t>Related party transactions</t>
  </si>
  <si>
    <t>Section 12</t>
  </si>
  <si>
    <t>Direct revenue by pipeline</t>
  </si>
  <si>
    <t>Total service revenue</t>
  </si>
  <si>
    <t>Customer contribution revenue</t>
  </si>
  <si>
    <t>Government contribution revenue</t>
  </si>
  <si>
    <t>Profit from sale of fixed assets</t>
  </si>
  <si>
    <t>Other direct revenue</t>
  </si>
  <si>
    <t>Total direct revenue by pipeline</t>
  </si>
  <si>
    <t>Indirect revenue allocated to pipeline</t>
  </si>
  <si>
    <t>Other indirect revenue</t>
  </si>
  <si>
    <t>Total indirect revenue by pipeline</t>
  </si>
  <si>
    <t>Total revenue by pipeline</t>
  </si>
  <si>
    <t>Direct expenses by pipeline</t>
  </si>
  <si>
    <t>Repairs and maintenance</t>
  </si>
  <si>
    <t>Wages</t>
  </si>
  <si>
    <t xml:space="preserve">Depreciation </t>
  </si>
  <si>
    <t>Insurance</t>
  </si>
  <si>
    <t>Licence and regulatory costs</t>
  </si>
  <si>
    <t>Directly attributable finance charges</t>
  </si>
  <si>
    <t>Leasing and rental costs</t>
  </si>
  <si>
    <t>Other direct expenses</t>
  </si>
  <si>
    <t>Total direct expenses by pipeline</t>
  </si>
  <si>
    <t>Shared expenses by pipeline</t>
  </si>
  <si>
    <t>Employee expenses</t>
  </si>
  <si>
    <t>Information technology and communication costs</t>
  </si>
  <si>
    <t>Indirect operating expenses</t>
  </si>
  <si>
    <t xml:space="preserve">Shared asset depreciation </t>
  </si>
  <si>
    <t>Rental and leasing costs</t>
  </si>
  <si>
    <t>Borrowing costs</t>
  </si>
  <si>
    <t>Loss from sale of shared fixed assets</t>
  </si>
  <si>
    <t>Impairment losses (nature of the impairment loss)</t>
  </si>
  <si>
    <t>Other shared expenses</t>
  </si>
  <si>
    <t>Total shared expenses allocated to pipeline</t>
  </si>
  <si>
    <t>Total expenses by pipeline</t>
  </si>
  <si>
    <t>Allocation to pipeline services</t>
  </si>
  <si>
    <t>Table 2.2.1:  Revenue by service</t>
  </si>
  <si>
    <t>Reporting period</t>
  </si>
  <si>
    <t>Allocation to pipeline service</t>
  </si>
  <si>
    <t>%</t>
  </si>
  <si>
    <t>Direct revenue (excl. capital contributions)</t>
  </si>
  <si>
    <t xml:space="preserve">Section 13 </t>
  </si>
  <si>
    <t>Total direct revenue (excl. capital contributions)</t>
  </si>
  <si>
    <t>Capital contributions</t>
  </si>
  <si>
    <t>Total capital contributions</t>
  </si>
  <si>
    <t>Total indirect revenue</t>
  </si>
  <si>
    <t>Table 2.2.2:  Expenses by service</t>
  </si>
  <si>
    <t>Direct expenses (excl. depreciation)</t>
  </si>
  <si>
    <t>Total direct expenses (excl. depreciation)</t>
  </si>
  <si>
    <t>Depreciation</t>
  </si>
  <si>
    <t>Total depreciation</t>
  </si>
  <si>
    <t>Shared expenses allocated (excl. depreciation)</t>
  </si>
  <si>
    <t>Total shared expenses (excl. depreciation)</t>
  </si>
  <si>
    <t>Revenue contributions</t>
  </si>
  <si>
    <t>Table 2.3.1: Customer contributions received</t>
  </si>
  <si>
    <t>Table 2.3.2: Government contributions received</t>
  </si>
  <si>
    <t>Source</t>
  </si>
  <si>
    <t xml:space="preserve">Total </t>
  </si>
  <si>
    <t>Indirect revenue</t>
  </si>
  <si>
    <t>Please ensure allocation methodologies are explained in sufficient detail in the Basis of Preparation as required under the Guideline.</t>
  </si>
  <si>
    <t>Table 2.4.1: Indirect revenue allocation</t>
  </si>
  <si>
    <t xml:space="preserve">Description </t>
  </si>
  <si>
    <t>Indirect revenue excluding related parties</t>
  </si>
  <si>
    <t>Indirect revenue from related parties</t>
  </si>
  <si>
    <t>% allocated to pipeline</t>
  </si>
  <si>
    <t>Total allocated to pipeline excluding related parties</t>
  </si>
  <si>
    <t>Total related party amounts allocated to pipeline</t>
  </si>
  <si>
    <t>Total amounts allocated to pipeline</t>
  </si>
  <si>
    <t>(list each individual revenue item)</t>
  </si>
  <si>
    <t>Section 15</t>
  </si>
  <si>
    <t>Shared expenses</t>
  </si>
  <si>
    <t>Table 2.5.1: Shared expense allocation</t>
  </si>
  <si>
    <t>Income statement account applied to</t>
  </si>
  <si>
    <t>Shared expenses excluding related parties</t>
  </si>
  <si>
    <t>Shared expenses paid to related parties</t>
  </si>
  <si>
    <t xml:space="preserve"> (list each individual cost)</t>
  </si>
  <si>
    <t>Section 16</t>
  </si>
  <si>
    <t>Shared corporate operating expense</t>
  </si>
  <si>
    <t>Shared lease asset interest expense</t>
  </si>
  <si>
    <t>Shared lease asset depreciation</t>
  </si>
  <si>
    <t>Asset value - Depreciated Book Value Method (DBVM) (For Non-scheme pipeline only)</t>
  </si>
  <si>
    <t xml:space="preserve">This template is for a non-indexed asset value based on the Australian Accounting Standards, featuring allowances for acquisition costs and asset impairments, for non-scheme pipelines.
</t>
  </si>
  <si>
    <t>Table 3.1.1: Pipeline assets (DBVM)</t>
  </si>
  <si>
    <t>Pipeline assets</t>
  </si>
  <si>
    <t xml:space="preserve">Pipelines </t>
  </si>
  <si>
    <t>Section 17</t>
  </si>
  <si>
    <t>Opening Cost Base</t>
  </si>
  <si>
    <t>Additions</t>
  </si>
  <si>
    <t>Capitalised maintenance or improvements</t>
  </si>
  <si>
    <t>Total capitalised pipeline construction costs</t>
  </si>
  <si>
    <t>Depreciation (excl. impairment)</t>
  </si>
  <si>
    <t>Impairment losses</t>
  </si>
  <si>
    <t>Disposals or early termination (at cost)</t>
  </si>
  <si>
    <t>Closing pipelines carrying value</t>
  </si>
  <si>
    <t xml:space="preserve">Compressors </t>
  </si>
  <si>
    <t>Closing compressors carrying value</t>
  </si>
  <si>
    <t xml:space="preserve">City Gates, supply regulators and valve stations </t>
  </si>
  <si>
    <t>Closing city gates, supply regulators and valve stations carrying value</t>
  </si>
  <si>
    <t xml:space="preserve">Metering </t>
  </si>
  <si>
    <t xml:space="preserve">Additions </t>
  </si>
  <si>
    <t>Closing metering carrying value</t>
  </si>
  <si>
    <t xml:space="preserve">Odorant plants </t>
  </si>
  <si>
    <t>Closing odorant plants carrying value</t>
  </si>
  <si>
    <t xml:space="preserve">SCADA (Communications) </t>
  </si>
  <si>
    <t>Closing SCADA carrying value</t>
  </si>
  <si>
    <t xml:space="preserve">Buildings </t>
  </si>
  <si>
    <t>Closing buildings carrying value</t>
  </si>
  <si>
    <t>Land and easements</t>
  </si>
  <si>
    <t>Closing land and easements carrying value</t>
  </si>
  <si>
    <t>Other depreciable pipeline assets</t>
  </si>
  <si>
    <t>Closing other depreciable pipeline assets carrying value</t>
  </si>
  <si>
    <t xml:space="preserve">Leased assets </t>
  </si>
  <si>
    <t>Depreciation (Amortisation) (excl. impairment)</t>
  </si>
  <si>
    <t>Closing leased asset carrying value</t>
  </si>
  <si>
    <t>Other non-depreciable pipeline assets</t>
  </si>
  <si>
    <t>Closing other non-depreciable pipeline assets carrying value</t>
  </si>
  <si>
    <t>Total pipeline assets</t>
  </si>
  <si>
    <t>Shared supporting assets allocated</t>
  </si>
  <si>
    <t>Shared property, plant and equipment</t>
  </si>
  <si>
    <t>Closing shared property, plant and equipment carrying value</t>
  </si>
  <si>
    <t>Shared leased assets</t>
  </si>
  <si>
    <t>Closing leased assets carrying value</t>
  </si>
  <si>
    <t xml:space="preserve">Inventories </t>
  </si>
  <si>
    <t>Deferred tax assets</t>
  </si>
  <si>
    <r>
      <t>Other</t>
    </r>
    <r>
      <rPr>
        <b/>
        <sz val="10"/>
        <color indexed="10"/>
        <rFont val="Arial"/>
        <family val="2"/>
      </rPr>
      <t xml:space="preserve"> </t>
    </r>
    <r>
      <rPr>
        <b/>
        <sz val="10"/>
        <color indexed="51"/>
        <rFont val="Arial"/>
        <family val="2"/>
      </rPr>
      <t>assets</t>
    </r>
  </si>
  <si>
    <t xml:space="preserve">Total shared supporting assets allocated </t>
  </si>
  <si>
    <t>TOTAL ASSETS</t>
  </si>
  <si>
    <t>Table 3.1.2:  Initial costs of pipeline assets (DBVM)</t>
  </si>
  <si>
    <t xml:space="preserve">Initial construction costs </t>
  </si>
  <si>
    <t>Date RAB estabilished</t>
  </si>
  <si>
    <t>Asset value - Regulatory Asset Base (RAB) (For Scheme pipeline only)</t>
  </si>
  <si>
    <t>This template is for a non-indexed asset value derived from a regulator-determined initial regulatory asset base and capital expenditure with straight-line depreciation, for scheme pipelines.</t>
  </si>
  <si>
    <t>Table 3.2.1: Pipeline assets (RAB)</t>
  </si>
  <si>
    <t>Year</t>
  </si>
  <si>
    <t xml:space="preserve"> Pipelines </t>
  </si>
  <si>
    <t>$</t>
  </si>
  <si>
    <t>Section 18</t>
  </si>
  <si>
    <t xml:space="preserve"> Nominal Opening Regulatory Asset Base  </t>
  </si>
  <si>
    <t xml:space="preserve"> Nominal Capex </t>
  </si>
  <si>
    <t xml:space="preserve"> Total capitalised pipeline construction costs </t>
  </si>
  <si>
    <t xml:space="preserve"> Less Asset disposal (at cost) </t>
  </si>
  <si>
    <t xml:space="preserve"> Less Nominal Actual Regulatory Depreciation  </t>
  </si>
  <si>
    <t xml:space="preserve"> Closing pipeline carrying value </t>
  </si>
  <si>
    <t xml:space="preserve"> Compressors </t>
  </si>
  <si>
    <t xml:space="preserve"> Additions and improvements capitalised </t>
  </si>
  <si>
    <t xml:space="preserve"> Less Depreciation of compressors </t>
  </si>
  <si>
    <t xml:space="preserve"> Less Disposal (at cost) </t>
  </si>
  <si>
    <t xml:space="preserve"> Closing compressors carrying value </t>
  </si>
  <si>
    <t xml:space="preserve"> City Gates, supply regulators and valve stations </t>
  </si>
  <si>
    <t xml:space="preserve"> Improvements capitalised </t>
  </si>
  <si>
    <t xml:space="preserve"> Less Depreciation of city gates, supply regulators and valve stations </t>
  </si>
  <si>
    <t xml:space="preserve"> Closing city gates, supply regulators and valve stations carrying value </t>
  </si>
  <si>
    <t xml:space="preserve"> Metering </t>
  </si>
  <si>
    <t xml:space="preserve"> Less Depreciation of metering </t>
  </si>
  <si>
    <t xml:space="preserve"> Closing Metering </t>
  </si>
  <si>
    <t xml:space="preserve"> Odorant plants </t>
  </si>
  <si>
    <t xml:space="preserve"> Less Depreciation of odourant plants </t>
  </si>
  <si>
    <t xml:space="preserve"> Closing odourant plants carrying value </t>
  </si>
  <si>
    <t xml:space="preserve"> SCADA (Communications) </t>
  </si>
  <si>
    <t xml:space="preserve"> Less Depreciation of SCADA </t>
  </si>
  <si>
    <t xml:space="preserve"> Closing SCADA carrying value </t>
  </si>
  <si>
    <t xml:space="preserve"> Buildings </t>
  </si>
  <si>
    <t xml:space="preserve"> Less Depreciation of buildings </t>
  </si>
  <si>
    <t xml:space="preserve"> Closing buildings carrying value </t>
  </si>
  <si>
    <t xml:space="preserve"> Land and easements </t>
  </si>
  <si>
    <t xml:space="preserve"> Less Depreciation of land and easement </t>
  </si>
  <si>
    <t xml:space="preserve"> Closing land and easements carrying value </t>
  </si>
  <si>
    <t xml:space="preserve"> Other depreciable pipeline assets </t>
  </si>
  <si>
    <t xml:space="preserve"> Less Depreciation/amortisation </t>
  </si>
  <si>
    <t xml:space="preserve"> Closing other depreciable pipeline assets carrying value </t>
  </si>
  <si>
    <t xml:space="preserve"> Leased pipeline assets </t>
  </si>
  <si>
    <t xml:space="preserve"> Closing leased pipeline assets carrying value </t>
  </si>
  <si>
    <t xml:space="preserve"> Total pipeline assets </t>
  </si>
  <si>
    <t xml:space="preserve"> Shared supporting assets (RAB)</t>
  </si>
  <si>
    <t xml:space="preserve"> Less Shared property, plant and equipment depreciation </t>
  </si>
  <si>
    <t xml:space="preserve"> Less disposals of shared supporting assets </t>
  </si>
  <si>
    <t xml:space="preserve"> Closing shared property, plant and equipment </t>
  </si>
  <si>
    <t xml:space="preserve"> Shared leased assets </t>
  </si>
  <si>
    <t xml:space="preserve"> Closing shared leased assets carrying value </t>
  </si>
  <si>
    <t xml:space="preserve"> Opening other assets </t>
  </si>
  <si>
    <t xml:space="preserve"> Change in other assets </t>
  </si>
  <si>
    <t xml:space="preserve"> Closing other assets </t>
  </si>
  <si>
    <t xml:space="preserve"> Total shared supporting assets allocated </t>
  </si>
  <si>
    <t xml:space="preserve"> TOTAL ASSETS </t>
  </si>
  <si>
    <t>Asset useful life</t>
  </si>
  <si>
    <t>Table 3.3.1: Asset useful life</t>
  </si>
  <si>
    <t>Description (list each individual  balance sheet item)</t>
  </si>
  <si>
    <t>Commission date (provide a range)</t>
  </si>
  <si>
    <t xml:space="preserve">Useful life </t>
  </si>
  <si>
    <t>Reason for choosing this useful life</t>
  </si>
  <si>
    <t>years</t>
  </si>
  <si>
    <t>Section 19</t>
  </si>
  <si>
    <t>Weighted Average Statutory Accounting useful life</t>
  </si>
  <si>
    <t>Indefinite</t>
  </si>
  <si>
    <t xml:space="preserve">insert asset description </t>
  </si>
  <si>
    <t>Asset impairment</t>
  </si>
  <si>
    <t>Table 3.4.1: Assets impaired</t>
  </si>
  <si>
    <t>Asset description</t>
  </si>
  <si>
    <t>Category</t>
  </si>
  <si>
    <t>Impairment amount $ nominal</t>
  </si>
  <si>
    <t>Impairment date</t>
  </si>
  <si>
    <t>Basis for impairment</t>
  </si>
  <si>
    <t>Table 3.4.2: Asset impairment reversals</t>
  </si>
  <si>
    <t>Prior Impairment amount 
$ nominal</t>
  </si>
  <si>
    <t>Reversal amount
$nominal</t>
  </si>
  <si>
    <t>Reversal date</t>
  </si>
  <si>
    <t>Basis for Reversal</t>
  </si>
  <si>
    <t>Depreciation amortisation</t>
  </si>
  <si>
    <t>Modify cost adjustment column if accelerated depreciation is applicable.</t>
  </si>
  <si>
    <t>Table 3.5.1: Pipeline assets at cost</t>
  </si>
  <si>
    <t>Acquisition date (provide a range)</t>
  </si>
  <si>
    <t>Useful life</t>
  </si>
  <si>
    <t>Estimated residual value</t>
  </si>
  <si>
    <t>Current year additions</t>
  </si>
  <si>
    <t>Current year capitalised maintenance or improvements</t>
  </si>
  <si>
    <t>Current year disposals or Early termination</t>
  </si>
  <si>
    <t>Cost base</t>
  </si>
  <si>
    <t>% Cost adjustment for accelerated depreciation (if applicable)</t>
  </si>
  <si>
    <t>Adjusted cost base</t>
  </si>
  <si>
    <t>Prior years' accumulated depreciation</t>
  </si>
  <si>
    <r>
      <t xml:space="preserve">Current year </t>
    </r>
    <r>
      <rPr>
        <b/>
        <sz val="10"/>
        <color indexed="9"/>
        <rFont val="Arial"/>
        <family val="2"/>
      </rPr>
      <t>depreciation</t>
    </r>
  </si>
  <si>
    <t>Written down value</t>
  </si>
  <si>
    <t>Years</t>
  </si>
  <si>
    <t>Section 21</t>
  </si>
  <si>
    <t>Table 3.5.2: Shared assets at cost</t>
  </si>
  <si>
    <t>Acquisition date</t>
  </si>
  <si>
    <t>Current year depreciation</t>
  </si>
  <si>
    <t>Total fixed assets</t>
  </si>
  <si>
    <t>Shared supporting assets</t>
  </si>
  <si>
    <t>Please ensure allocation methodologies are explained in sufficient detail within the Basis of Preparation as required under the Guideline.</t>
  </si>
  <si>
    <t>Table 3.6.1: Shared supporting asset allocation</t>
  </si>
  <si>
    <t>Description (list each individual shared asset category greater than 5%)</t>
  </si>
  <si>
    <t>Category of shared assets</t>
  </si>
  <si>
    <t>Total amount</t>
  </si>
  <si>
    <t>Total allocated to pipeline</t>
  </si>
  <si>
    <t>Section 22</t>
  </si>
  <si>
    <t>Information Technology</t>
  </si>
  <si>
    <t>Asset value - Recovered Capital Method (RCM)</t>
  </si>
  <si>
    <t>This template is for a non-indexed asset value based on original construction costs and “depreciation” based on a notional cash-flow based “return of capital” approach, for non-scheme pipelines.</t>
  </si>
  <si>
    <t>Table 4.1: Pipeline assets (RCM)</t>
  </si>
  <si>
    <t>Drag and drop columns if required</t>
  </si>
  <si>
    <t>Section 23</t>
  </si>
  <si>
    <t>Construction cost</t>
  </si>
  <si>
    <t>Residual Value</t>
  </si>
  <si>
    <t>Maintenance capitalised</t>
  </si>
  <si>
    <t>Disposal (at cost)</t>
  </si>
  <si>
    <t>Leased Asset</t>
  </si>
  <si>
    <t>Pipeline assets cost base</t>
  </si>
  <si>
    <t>Shared assets</t>
  </si>
  <si>
    <t>Construction cost or acquisition cost (where allowed) apportioned</t>
  </si>
  <si>
    <t>Shared assets cost base</t>
  </si>
  <si>
    <t>Return of capital</t>
  </si>
  <si>
    <t>Operating expenses</t>
  </si>
  <si>
    <t>Net tax liabilities</t>
  </si>
  <si>
    <t>Leased Asset Interest/Financing Charge</t>
  </si>
  <si>
    <t>Return on capital</t>
  </si>
  <si>
    <t>Total Return of Capital</t>
  </si>
  <si>
    <t>Recovered capital method total asset value</t>
  </si>
  <si>
    <t>For information</t>
  </si>
  <si>
    <t>Opening asset value</t>
  </si>
  <si>
    <t>Rate of return (WACC)</t>
  </si>
  <si>
    <t>Table 4.2: Pipeline details</t>
  </si>
  <si>
    <t>Pipeline capital expenditure</t>
  </si>
  <si>
    <t>Please report all historical expansions/extensions in table 4.1.2, regardless of value.
Please ensure all extensions/expansions in the next 12 months that have advanced to the "Final Investment Decision" stage are comprehensively reported in table 4.1.3.</t>
  </si>
  <si>
    <t>Table 4.1.1: Capital expenditure greater than 5% of construction cost</t>
  </si>
  <si>
    <t>Description of works</t>
  </si>
  <si>
    <t>Date recognised</t>
  </si>
  <si>
    <t>Expenditure ($ nominal)</t>
  </si>
  <si>
    <t>Section 24</t>
  </si>
  <si>
    <t>2025</t>
  </si>
  <si>
    <t>Total expenditure</t>
  </si>
  <si>
    <t>Table 4.1.2: Historical expansions and extensions</t>
  </si>
  <si>
    <t>Table 4.1.3: Planned expansions and extensions of capacity</t>
  </si>
  <si>
    <t>Description of the matter</t>
  </si>
  <si>
    <t>Proposed commissioning date, or a range of dates</t>
  </si>
  <si>
    <t>Expected end date, or a range of dates</t>
  </si>
  <si>
    <t>Facility's proposed nameplate rating, or the estimated likely range during affected period</t>
  </si>
  <si>
    <t>Proposed expenditure (if available, required for publicly announced expansions)</t>
  </si>
  <si>
    <t>GJ/day</t>
  </si>
  <si>
    <t>Total proposed expenditure</t>
  </si>
  <si>
    <t>For information required to be published on the Gas Bulletin Board, please provide a publicly available link on their website to the relevant part of the Gas Bulletin Board.</t>
  </si>
  <si>
    <t>Table 5.1: Historical demand information</t>
  </si>
  <si>
    <t>Description of the information</t>
  </si>
  <si>
    <t>Publicly available link on Gas Bulletin Board</t>
  </si>
  <si>
    <t>Section 25</t>
  </si>
  <si>
    <t>Utilised Capacity</t>
  </si>
  <si>
    <t>https://aemo.com.au/energy-systems/gas/gas-bulletin-board-gbb/data-gbb/gas-flows</t>
  </si>
  <si>
    <t>Pipeline Nameplate Capacity</t>
  </si>
  <si>
    <t>Table 5.2: Demand by pipeline service</t>
  </si>
  <si>
    <t>Contracted MDQ</t>
  </si>
  <si>
    <t>TJ/day</t>
  </si>
  <si>
    <t>Table 5.3: Daily demand</t>
  </si>
  <si>
    <t>Contracted firm capacity-transportation</t>
  </si>
  <si>
    <t>Contracted firm capacity-storage</t>
  </si>
  <si>
    <t>Utilised capacity</t>
  </si>
  <si>
    <t>Available capacity-total</t>
  </si>
  <si>
    <t>Available capacity-firm</t>
  </si>
  <si>
    <t>Available contracted capacity</t>
  </si>
  <si>
    <t xml:space="preserve"> -</t>
  </si>
  <si>
    <t>Pricing template</t>
  </si>
  <si>
    <t>All numbers are expressed in $nominal</t>
  </si>
  <si>
    <t>Please input the percentages of asset value allocated to each services, and the indexes provided by AER. Please ensure to include any necessary explanation in the Basis of Preparation of the allocation methodologies, or if alternative index is used.
The cost-based pricing benchmarks is calculated based on three elements. The basic logics of the methodology would be explained in the handbook.</t>
  </si>
  <si>
    <t>6.1 Inputs</t>
  </si>
  <si>
    <t>Service provider inputs</t>
  </si>
  <si>
    <t>AER inputs</t>
  </si>
  <si>
    <t>Asset allocation to pipeline service</t>
  </si>
  <si>
    <t>Average regulatory return on debt</t>
  </si>
  <si>
    <t>Gearing</t>
  </si>
  <si>
    <t>Statutory tax rate</t>
  </si>
  <si>
    <t>Gamma</t>
  </si>
  <si>
    <t>Average regulatory rate of return</t>
  </si>
  <si>
    <t>6.2 Pricing benchmarks</t>
  </si>
  <si>
    <t>Fixed operating costs per unit</t>
  </si>
  <si>
    <t>Return of capital per unit</t>
  </si>
  <si>
    <t>Return on capital &amp; Tax per unit</t>
  </si>
  <si>
    <t>6.3 Elements calculated</t>
  </si>
  <si>
    <t>Summary</t>
  </si>
  <si>
    <t>2 Fixed operating costs</t>
  </si>
  <si>
    <t>3 Return of capital</t>
  </si>
  <si>
    <t>3 Return on capital &amp; Tax</t>
  </si>
  <si>
    <t>Total costs less depreciation in Table 2.1.1 per capacity denominator</t>
  </si>
  <si>
    <t>Direct costs less depreciation in Table 2.1.1 per capacity denominator</t>
  </si>
  <si>
    <t>Total asset depreciation per capacity denominator</t>
  </si>
  <si>
    <t>Direct asset depreciation per capacity denominator</t>
  </si>
  <si>
    <t>Depreciation of RCM asset value per capacity denominator</t>
  </si>
  <si>
    <t>Based on the inferred rates of return under Depreciated book value method</t>
  </si>
  <si>
    <t>Based on the average regulatory rate of return</t>
  </si>
  <si>
    <t>Return on capital per capacity denominator</t>
  </si>
  <si>
    <t>Tax estimate per capacity denominator</t>
  </si>
  <si>
    <t>6.4 Calculation process</t>
  </si>
  <si>
    <t>Fixed operating costs</t>
  </si>
  <si>
    <t>29. Three estimates of opex per unit of capacity</t>
  </si>
  <si>
    <t>Total costs less depreciation in Table 2.1.1</t>
  </si>
  <si>
    <t>Direct costs less depreciation in Table 2.1.1</t>
  </si>
  <si>
    <t>Capacity denominator (report period) TJ</t>
  </si>
  <si>
    <t>28. Estimated remaining direct asset lives</t>
  </si>
  <si>
    <t>Depreciable direct assets in Table 3.1.1 or 3.2.1</t>
  </si>
  <si>
    <t>Estimated one-year direct asset depreciation</t>
  </si>
  <si>
    <t>Estimated remaining asset life</t>
  </si>
  <si>
    <t>30-31. Depreciation on (total: direct and shared/direct) assets per unit of capacity</t>
  </si>
  <si>
    <t>Total asset depreciation in Table 2.1.1</t>
  </si>
  <si>
    <t>Direct asset depreciation in Table 2.1.1</t>
  </si>
  <si>
    <t>32. Estimated RCM depreciation per unit of capacity</t>
  </si>
  <si>
    <t>Closing asset value based on Table 4.1</t>
  </si>
  <si>
    <t>Estimated yearly depreciation</t>
  </si>
  <si>
    <t>Return on capital &amp; Tax</t>
  </si>
  <si>
    <t>34. Estimation of taxes</t>
  </si>
  <si>
    <t>Pipeline rate of return</t>
  </si>
  <si>
    <t>Post-tax return on equity</t>
  </si>
  <si>
    <t>Estimated pretax return on equity</t>
  </si>
  <si>
    <t>Tax as a % of equity</t>
  </si>
  <si>
    <t>Tax as a % of assets</t>
  </si>
  <si>
    <t>Pre-tax rate of return</t>
  </si>
  <si>
    <t>35. Based on the inferred rates of return under Depreciated book value method</t>
  </si>
  <si>
    <t>Depreciable direct assets in Table 3.1.1 or 3.2.1 (Including Land and easements)</t>
  </si>
  <si>
    <t>Tax estimate</t>
  </si>
  <si>
    <t>36. Based on the average regulatory rate of return</t>
  </si>
  <si>
    <t>AER amendment#</t>
  </si>
  <si>
    <t>Worksheet</t>
  </si>
  <si>
    <t>Table</t>
  </si>
  <si>
    <t>Cell</t>
  </si>
  <si>
    <t>Change</t>
  </si>
  <si>
    <t>Reason</t>
  </si>
  <si>
    <t>Column C, D, E, F, I, J, K</t>
  </si>
  <si>
    <t>adjust column width to allow more characters</t>
  </si>
  <si>
    <t>the restricted cell space precludes the complete display of service provider name</t>
  </si>
  <si>
    <t>1. Pipeline information</t>
  </si>
  <si>
    <t>C16</t>
  </si>
  <si>
    <t>change the format of cell C16 from “date” to “number”</t>
  </si>
  <si>
    <t>this cell currently displays # symbols instead of a number</t>
  </si>
  <si>
    <t>2. Revenue and expenses</t>
  </si>
  <si>
    <t>Table 2.1: Statement of pipeline revenue and expenses by service</t>
  </si>
  <si>
    <t>D12-D21, F12-F21</t>
  </si>
  <si>
    <t>update the formula</t>
  </si>
  <si>
    <t xml:space="preserve">#N/A in the cells cause the sum formula in cells D22/F22 to return an error </t>
  </si>
  <si>
    <t>Inventories</t>
  </si>
  <si>
    <t>Other assets</t>
  </si>
  <si>
    <t>APA Reedy Creek Wallumbilla Pty Limited</t>
  </si>
  <si>
    <t xml:space="preserve">Check </t>
  </si>
  <si>
    <t>Check</t>
  </si>
  <si>
    <t>Company</t>
  </si>
  <si>
    <t>Ledger</t>
  </si>
  <si>
    <t>Book</t>
  </si>
  <si>
    <t>Amount Type</t>
  </si>
  <si>
    <t>Period</t>
  </si>
  <si>
    <t>Multi Company Filter</t>
  </si>
  <si>
    <t>Part 10 Mapping</t>
  </si>
  <si>
    <t>Mapping for check purposes</t>
  </si>
  <si>
    <t>C096 APA REEDY CREEK WALLUMBILLA PTY LIMITED</t>
  </si>
  <si>
    <t>Part 10</t>
  </si>
  <si>
    <t>Not Regulated</t>
  </si>
  <si>
    <t>Ledger Account</t>
  </si>
  <si>
    <t>Ledger Account Number</t>
  </si>
  <si>
    <t>Ledger Account Description</t>
  </si>
  <si>
    <t>A104 Corporate General</t>
  </si>
  <si>
    <t>A403 Reedy Creek to Wallumbilla</t>
  </si>
  <si>
    <t>A917 3rd party - Reedy Creek</t>
  </si>
  <si>
    <t>(Blank)</t>
  </si>
  <si>
    <t>Ending Balance</t>
  </si>
  <si>
    <t>1106:ACCRUED REVENUE</t>
  </si>
  <si>
    <t>ACCRUED REVENUE</t>
  </si>
  <si>
    <t>1280:PREPAYMENTS - GENERAL</t>
  </si>
  <si>
    <t>PREPAYMENTS - GENERAL</t>
  </si>
  <si>
    <t>1700:PROPERTY, PLANT AND EQUIPMENT - COST (CONTROL)</t>
  </si>
  <si>
    <t>PROPERTY, PLANT AND EQUIPMENT - COST (CONTROL)</t>
  </si>
  <si>
    <t>1701:PROPERTY, PLANT AND EQUIPMENT - COST (CONTRA)</t>
  </si>
  <si>
    <t>PROPERTY, PLANT AND EQUIPMENT - COST (CONTRA)</t>
  </si>
  <si>
    <t>1702:PROPERTY, PLANT AND EQUIPMENT - ACCUM DEPRECIATION AND IMPAIRMENT (CONTROL)</t>
  </si>
  <si>
    <t>PROPERTY, PLANT AND EQUIPMENT - ACCUM DEPRECIATION AND IMPAIRMENT (CONTROL)</t>
  </si>
  <si>
    <t>1707:ASSET MULTI-BOOK SETTLEMENT ACCOUNT</t>
  </si>
  <si>
    <t>ASSET MULTI-BOOK SETTLEMENT ACCOUNT</t>
  </si>
  <si>
    <t>1730:CONSTRUCTION IN PROGRESS</t>
  </si>
  <si>
    <t>CONSTRUCTION IN PROGRESS</t>
  </si>
  <si>
    <t>1731:CONSTRUCTION IN PROGRESS (CONTRA)</t>
  </si>
  <si>
    <t>CONSTRUCTION IN PROGRESS (CONTRA)</t>
  </si>
  <si>
    <t>1800:OTHER INTANGIBLE ASSETS - COST (CONTROL)</t>
  </si>
  <si>
    <t>OTHER INTANGIBLE ASSETS - COST (CONTROL)</t>
  </si>
  <si>
    <t>1802:OTHER INTANGIBLE ASSETS - ACCUM AMORTISATION (CONTROL)</t>
  </si>
  <si>
    <t>OTHER INTANGIBLE ASSETS - ACCUM AMORTISATION (CONTROL)</t>
  </si>
  <si>
    <t>1860:DEFERRED TAX ASSET</t>
  </si>
  <si>
    <t>DEFERRED TAX ASSET</t>
  </si>
  <si>
    <t>1861:DEFERRED TAX ASSET - NET TAX LOSSES</t>
  </si>
  <si>
    <t>DEFERRED TAX ASSET - NET TAX LOSSES</t>
  </si>
  <si>
    <t>2031:GRNI ACCRUALS (CONTROL)</t>
  </si>
  <si>
    <t>GRNI ACCRUALS (CONTROL)</t>
  </si>
  <si>
    <t>2032:GRNI ACCRUALS (CONTRA)</t>
  </si>
  <si>
    <t>GRNI ACCRUALS (CONTRA)</t>
  </si>
  <si>
    <t>2066:GRNI - CAPEX TANGIBLE RECLASS</t>
  </si>
  <si>
    <t>GRNI - CAPEX TANGIBLE RECLASS</t>
  </si>
  <si>
    <t>2100:PROVISION - INCOME TAX</t>
  </si>
  <si>
    <t>PROVISION - INCOME TAX</t>
  </si>
  <si>
    <t>2510:INTERCOMPANY NC RECEIVABLE / PAYABLE</t>
  </si>
  <si>
    <t>INTERCOMPANY NC RECEIVABLE / PAYABLE</t>
  </si>
  <si>
    <t>2513:INTERWORK TAG RECEIVABLE / PAYABLE</t>
  </si>
  <si>
    <t>INTERWORK TAG RECEIVABLE / PAYABLE</t>
  </si>
  <si>
    <t>2531:PROV - ABANDONMENT / MAKE GOOD NON-CURRENT</t>
  </si>
  <si>
    <t>PROV - ABANDONMENT / MAKE GOOD NON-CURRENT</t>
  </si>
  <si>
    <t>2580:DEFERRED TAX LIABILITIES</t>
  </si>
  <si>
    <t>DEFERRED TAX LIABILITIES</t>
  </si>
  <si>
    <t>3000:ISSUED CAPITAL</t>
  </si>
  <si>
    <t>ISSUED CAPITAL</t>
  </si>
  <si>
    <t>3200:RETAINED PROFITS - BROUGHT FORWARD</t>
  </si>
  <si>
    <t>RETAINED PROFITS - BROUGHT FORWARD</t>
  </si>
  <si>
    <t>4000:OPERATING REVENUE</t>
  </si>
  <si>
    <t>OPERATING REVENUE</t>
  </si>
  <si>
    <t>5099:LABOUR ALLOCATIONS CONVERSION BALANCE (LEGACY)</t>
  </si>
  <si>
    <t>LABOUR ALLOCATIONS CONVERSION BALANCE (LEGACY)</t>
  </si>
  <si>
    <t>5100:TIME SHEET COSTS</t>
  </si>
  <si>
    <t>TIME SHEET COSTS</t>
  </si>
  <si>
    <t>5103:CONTINGENT LABOUR</t>
  </si>
  <si>
    <t>CONTINGENT LABOUR</t>
  </si>
  <si>
    <t>5105:CONTRACTORS - O&amp;M</t>
  </si>
  <si>
    <t>CONTRACTORS - O&amp;M</t>
  </si>
  <si>
    <t>5110:TRAVEL &amp; ENTERTAINMENT</t>
  </si>
  <si>
    <t>TRAVEL &amp; ENTERTAINMENT</t>
  </si>
  <si>
    <t>5113:MATERIALS</t>
  </si>
  <si>
    <t>MATERIALS</t>
  </si>
  <si>
    <t>5117:RENT &amp; PROPERTY OUTGOINGS</t>
  </si>
  <si>
    <t>RENT &amp; PROPERTY OUTGOINGS</t>
  </si>
  <si>
    <t>5118:OTHER OPERATING COSTS</t>
  </si>
  <si>
    <t>OTHER OPERATING COSTS</t>
  </si>
  <si>
    <t>5127:CONTRACTED WORKS</t>
  </si>
  <si>
    <t>CONTRACTED WORKS</t>
  </si>
  <si>
    <t>5210:OTHER DIRECT COST RECOVERIES</t>
  </si>
  <si>
    <t>OTHER DIRECT COST RECOVERIES</t>
  </si>
  <si>
    <t>5214:ASSET LICENCES</t>
  </si>
  <si>
    <t>ASSET LICENCES</t>
  </si>
  <si>
    <t>5220:INSURANCE</t>
  </si>
  <si>
    <t>INSURANCE</t>
  </si>
  <si>
    <t>6100:DEPRECIATION</t>
  </si>
  <si>
    <t>DEPRECIATION</t>
  </si>
  <si>
    <t>6130:INCOME TAX EXPENSE</t>
  </si>
  <si>
    <t>INCOME TAX EXPENSE</t>
  </si>
  <si>
    <t>6131:INCOME TAX EXPENSE - OVERS &amp; UNDERS</t>
  </si>
  <si>
    <t>INCOME TAX EXPENSE - OVERS &amp; UNDERS</t>
  </si>
  <si>
    <t>Current assets</t>
  </si>
  <si>
    <t>Non-current assets</t>
  </si>
  <si>
    <t>Current liabilities</t>
  </si>
  <si>
    <t>Non-current liabilities</t>
  </si>
  <si>
    <t>Net assets/liabilities</t>
  </si>
  <si>
    <t>Net Profit</t>
  </si>
  <si>
    <t>Equity</t>
  </si>
  <si>
    <t>Operating Expense</t>
  </si>
  <si>
    <t>Depreciation Expense</t>
  </si>
  <si>
    <t>EBIT</t>
  </si>
  <si>
    <t>Interest expense</t>
  </si>
  <si>
    <t xml:space="preserve">Net profit before tax </t>
  </si>
  <si>
    <t xml:space="preserve">Tax expense </t>
  </si>
  <si>
    <t>Net profit after tax</t>
  </si>
  <si>
    <t>APA FIN - Trial Balance by Asset</t>
  </si>
  <si>
    <t>Actuals</t>
  </si>
  <si>
    <t>Common</t>
  </si>
  <si>
    <t>Time Period</t>
  </si>
  <si>
    <t>Current Period YTD</t>
  </si>
  <si>
    <t>2024 - P12 Jun</t>
  </si>
  <si>
    <t>Translation Currency</t>
  </si>
  <si>
    <t>AUD</t>
  </si>
  <si>
    <t>Account Translation Rule Set</t>
  </si>
  <si>
    <t>Standard</t>
  </si>
  <si>
    <t>Calculate Translation Gain or Loss</t>
  </si>
  <si>
    <t>Perform Intercompany Eliminations</t>
  </si>
  <si>
    <t>Ledger Accounts and Summaries</t>
  </si>
  <si>
    <t>Perform Interworktag Eliminations</t>
  </si>
  <si>
    <t>Worktags</t>
  </si>
  <si>
    <t>Additional Options</t>
  </si>
  <si>
    <t>Journal Source</t>
  </si>
  <si>
    <t>APA Asset</t>
  </si>
  <si>
    <t>APA Asset Hierarchies</t>
  </si>
  <si>
    <t>Cost Center</t>
  </si>
  <si>
    <t>Cost Center Hierarchies</t>
  </si>
  <si>
    <t>Revenue Category</t>
  </si>
  <si>
    <t>Revenue Category Hierarchies</t>
  </si>
  <si>
    <t>Spend Category</t>
  </si>
  <si>
    <t/>
  </si>
  <si>
    <t>2035:ACCRUED EXPENSES - OPEX - CURRENT</t>
  </si>
  <si>
    <t>ACCRUED EXPENSES - OPEX - CURRENT</t>
  </si>
  <si>
    <t>5000:PAYROLL COSTS</t>
  </si>
  <si>
    <t>PAYROLL COSTS</t>
  </si>
  <si>
    <t>5001:PAYROLL ON-COSTS</t>
  </si>
  <si>
    <t>PAYROLL ON-COSTS</t>
  </si>
  <si>
    <t>5211:CORPORATE RECOVERIES</t>
  </si>
  <si>
    <t>CORPORATE RECOVERIES</t>
  </si>
  <si>
    <t>6001:INTEREST EXPENSE - OTHER</t>
  </si>
  <si>
    <t>INTEREST EXPENSE - OTHER</t>
  </si>
  <si>
    <t>6101:AMORTISATION</t>
  </si>
  <si>
    <t>AMORTISATION</t>
  </si>
  <si>
    <t>88 609 218 608</t>
  </si>
  <si>
    <t>Queensland</t>
  </si>
  <si>
    <t>Data validation lists</t>
  </si>
  <si>
    <t>Data validation lists_1</t>
  </si>
  <si>
    <t>Initial acquisition costs</t>
  </si>
  <si>
    <t>Acquisition year</t>
  </si>
  <si>
    <t>Construction year</t>
  </si>
  <si>
    <t>Closing Regulatory Asset Base value</t>
  </si>
  <si>
    <t>Year of closing RAB set</t>
  </si>
  <si>
    <t>Amendment record</t>
  </si>
  <si>
    <t>New worksheet inserted</t>
  </si>
  <si>
    <t>AER advised of errors in the published file - the amendment record allows for errors to be corrected in a transparent manner</t>
  </si>
  <si>
    <t>F13</t>
  </si>
  <si>
    <t>Formula corrected</t>
  </si>
  <si>
    <t>Formula amended to sum both elements of 'Direct revenue' to get 'Total direct revenue'.</t>
  </si>
  <si>
    <t>3 Statement of pipeline assets</t>
  </si>
  <si>
    <t>D33:E33</t>
  </si>
  <si>
    <t>Formula inserted</t>
  </si>
  <si>
    <t>Formula to aggregate relevant rows (Metering) to determine Closing value for metering assets</t>
  </si>
  <si>
    <t>3.3 Depreciation</t>
  </si>
  <si>
    <t>3.3.1</t>
  </si>
  <si>
    <t xml:space="preserve">D9:D52 </t>
  </si>
  <si>
    <t>List amended</t>
  </si>
  <si>
    <t>The term 'other depreciable assets' has been replaced with ' other depreciable pipeline assets' to match the terms used on worksheet 3.</t>
  </si>
  <si>
    <t>M7 and N7</t>
  </si>
  <si>
    <t>Heading amended</t>
  </si>
  <si>
    <t>The heading has been amended to make it clear that accumulated depreciation is to be reported for both the current reporting period and the prior period.</t>
  </si>
  <si>
    <t>I5:K5</t>
  </si>
  <si>
    <t>Guidance note added</t>
  </si>
  <si>
    <t>A guidance note has been added to the worksheet, clarifying that additions, capitalised maintenance and disposals must all be reported on a cumulative basis in this worksheet. Closing asset values are derived in each year with reference to the initial construction cost. Therefore all amendments to this value must be reported on a cumulative basis, to ensure the closing value is adjusted for all additions, disposals or capitalised maintenance.</t>
  </si>
  <si>
    <t>Column O</t>
  </si>
  <si>
    <t>Formula updated</t>
  </si>
  <si>
    <t>Formula updated to avoid double counting of prior years' data.</t>
  </si>
  <si>
    <t>Rows 63-67 and 74-78</t>
  </si>
  <si>
    <t>rows inserted</t>
  </si>
  <si>
    <t>New items inserted to record Leased Assets as per AASB16.</t>
  </si>
  <si>
    <t>D68:E68 and D82:E82</t>
  </si>
  <si>
    <t>Formulae updated to include leased assets</t>
  </si>
  <si>
    <t xml:space="preserve">D14, D19, D25, D31, D37, D43, D49, D59 </t>
  </si>
  <si>
    <t>Formulae corrected</t>
  </si>
  <si>
    <t>Formulae ammended to include prior year accumulated depreciation plus current year depreciation.  It was only picking up current year depreciation.</t>
  </si>
  <si>
    <t>3.1 Pipeline asset useful life</t>
  </si>
  <si>
    <t>3.1.1</t>
  </si>
  <si>
    <t>B21:F25 and B32:F37</t>
  </si>
  <si>
    <t>Allow for lease asset information</t>
  </si>
  <si>
    <t>Reporting template</t>
  </si>
  <si>
    <t>D31:F32</t>
  </si>
  <si>
    <t>Formatting - font changed from white to black colour</t>
  </si>
  <si>
    <t>To be visible.</t>
  </si>
  <si>
    <t>1.1 Financial performance</t>
  </si>
  <si>
    <t>1.1.1</t>
  </si>
  <si>
    <t>C10</t>
  </si>
  <si>
    <t>Formatting - changed from Accounting Comma to Percentage Percent</t>
  </si>
  <si>
    <t>To disclose percentage with appropriate signage</t>
  </si>
  <si>
    <t>tab renamed 3.3 Depreciation amortisation</t>
  </si>
  <si>
    <t>3.3 Depreciation amortisation</t>
  </si>
  <si>
    <t>3.3.2</t>
  </si>
  <si>
    <t>L58:L78</t>
  </si>
  <si>
    <t>Insert column</t>
  </si>
  <si>
    <t>To explicitly allow for prior period depreciation</t>
  </si>
  <si>
    <t>Row 59</t>
  </si>
  <si>
    <t>to record additions and improvements capitalised</t>
  </si>
  <si>
    <t>D58</t>
  </si>
  <si>
    <t>to only pick up initial acquisition costs</t>
  </si>
  <si>
    <t>D9:D52</t>
  </si>
  <si>
    <t>List updated</t>
  </si>
  <si>
    <t>added Leased assets to drop list</t>
  </si>
  <si>
    <t>D60:D67</t>
  </si>
  <si>
    <t>added Shared leased assets to drop list</t>
  </si>
  <si>
    <t>4 Recovered Capital</t>
  </si>
  <si>
    <t>Rows 15, 22, 29</t>
  </si>
  <si>
    <t>New items inserted to record Leased Assets</t>
  </si>
  <si>
    <t>E15, E22 and E29</t>
  </si>
  <si>
    <t>Formula added</t>
  </si>
  <si>
    <t>to sum columns F to BH for respective items</t>
  </si>
  <si>
    <t>F16:BH16 and F23:BH23</t>
  </si>
  <si>
    <t>to include Leased Assets in total</t>
  </si>
  <si>
    <t>3.3.1 and 3.3.2</t>
  </si>
  <si>
    <t>B5, B56, K7, G58, J58 and M58</t>
  </si>
  <si>
    <t>Headings updated for clarity</t>
  </si>
  <si>
    <t>A7</t>
  </si>
  <si>
    <t xml:space="preserve">Heading amended </t>
  </si>
  <si>
    <t>Spelling correction - "insructions" changed to "instructions"</t>
  </si>
  <si>
    <t xml:space="preserve">Cover </t>
  </si>
  <si>
    <t>A25:E25</t>
  </si>
  <si>
    <t>Row inserted</t>
  </si>
  <si>
    <t xml:space="preserve">To record the publication date of the reporting template </t>
  </si>
  <si>
    <t>A27:E27</t>
  </si>
  <si>
    <t xml:space="preserve">To record the date to which the reported information is current </t>
  </si>
  <si>
    <t>A29:K29</t>
  </si>
  <si>
    <t>To record whether there has been any change in the template and disclose the basis of preparation reference, if relevant</t>
  </si>
  <si>
    <t xml:space="preserve">Contents </t>
  </si>
  <si>
    <t>Hyperlink added</t>
  </si>
  <si>
    <t xml:space="preserve">Hyperlink to 'Summary' worksheet inserted. </t>
  </si>
  <si>
    <t>Worksheet inserted</t>
  </si>
  <si>
    <t xml:space="preserve">To enhance accessibility and transparency of the reported information by providing 'a quick glance' view of the key information reported in the template. </t>
  </si>
  <si>
    <t>B16, B20, B21</t>
  </si>
  <si>
    <t>To make the labelling of pipeline service categories consistent with those listed in Table 2.1.1.</t>
  </si>
  <si>
    <t>2. Revenues and expenses</t>
  </si>
  <si>
    <t>Row 12 to Row 14 /
 C12: C14</t>
  </si>
  <si>
    <t>Rows inserted</t>
  </si>
  <si>
    <t>To improve the clarity of revenue categories, ‘Customer contribution revenue’ and ‘profit from sale of fixed assets’ are removed from the ‘Total service revenue’ category under Table 2.1.1. They are now reflected in Table 2.1 instead, where ‘Direct revenue’ category is reported. 
‘Government contribution revenue’ is added as a category, consistent with the treatment for ‘Customer contribution revenue’ under the ‘Direct revenue’ category.</t>
  </si>
  <si>
    <t xml:space="preserve">F11 and I11 </t>
  </si>
  <si>
    <t xml:space="preserve">To amend the formula to sum up D11 and E11 ; and G11 and H11 respectively. </t>
  </si>
  <si>
    <t>D32:D40 and E32:E40</t>
  </si>
  <si>
    <t>To amend the formula to sum up the relevant rows in Table 2.4.1 (rows 9-35 instead of rows 9-36).</t>
  </si>
  <si>
    <t>J24</t>
  </si>
  <si>
    <t>Comment removed</t>
  </si>
  <si>
    <t>To remove a comment made inadvertantly.</t>
  </si>
  <si>
    <t>C34 and C39</t>
  </si>
  <si>
    <t>To remove uppercase in some words.</t>
  </si>
  <si>
    <t>I16</t>
  </si>
  <si>
    <t>To correctly sum up revenue categories to derive 'total direct revenue'.</t>
  </si>
  <si>
    <t>2.1 Revenue by service</t>
  </si>
  <si>
    <t>2.1.1</t>
  </si>
  <si>
    <t xml:space="preserve">C10, C21 </t>
  </si>
  <si>
    <t xml:space="preserve">To clarify that Table 2.1.1 only captures service revenue, rather than all direct revenue. </t>
  </si>
  <si>
    <t>Rows removed</t>
  </si>
  <si>
    <t xml:space="preserve">The removed categories have been moved to Table 2.1, as discussed at amendment record number 31. </t>
  </si>
  <si>
    <t>Rows 16 and 17</t>
  </si>
  <si>
    <t>Rows amended and inserted</t>
  </si>
  <si>
    <t>To split “Park and park and loan services” into two rows: “Park services” and “Park and loan services” , consistent with how service categories are presented in Table 1.2.</t>
  </si>
  <si>
    <t>Row 20</t>
  </si>
  <si>
    <t xml:space="preserve">To replace 'Distribution/transmission revenue' with 'Other pipeline services (if relevant)', consistent with how service categories are presented in Table 1.2. </t>
  </si>
  <si>
    <t>I21</t>
  </si>
  <si>
    <t>To correctly calculate the 'total service revenue'.</t>
  </si>
  <si>
    <t xml:space="preserve">2.2 Revenue contributions </t>
  </si>
  <si>
    <t>2.2.1</t>
  </si>
  <si>
    <t>E9:E14</t>
  </si>
  <si>
    <t>Formula added and formatting changed</t>
  </si>
  <si>
    <t xml:space="preserve">Added sum formula. </t>
  </si>
  <si>
    <t>2.3 Indirect revenue</t>
  </si>
  <si>
    <t>2.3.1</t>
  </si>
  <si>
    <t>E2:G4</t>
  </si>
  <si>
    <t xml:space="preserve">A prompt has been added to the worksheet to highlight the need for pipeline operators to include sufficient information in their basis of preparation to explain its allocation methodologies and the basis of its allocators. </t>
  </si>
  <si>
    <t xml:space="preserve">2.4 Shared costs </t>
  </si>
  <si>
    <t>2.4.1</t>
  </si>
  <si>
    <t>As above.</t>
  </si>
  <si>
    <t>2.4 Shared costs</t>
  </si>
  <si>
    <t xml:space="preserve">H36 &amp; I36 </t>
  </si>
  <si>
    <t>To rectify a double counting error.</t>
  </si>
  <si>
    <t>C11 and C16</t>
  </si>
  <si>
    <t>Heading renamed</t>
  </si>
  <si>
    <t>To remove upppercase in some words.</t>
  </si>
  <si>
    <t>3. Statement of pipeline assets</t>
  </si>
  <si>
    <t>C38, C44</t>
  </si>
  <si>
    <t>Spelling correction - "Odourant" changed to "Odorant"</t>
  </si>
  <si>
    <t>C8 and C81</t>
  </si>
  <si>
    <t>Heading inserted</t>
  </si>
  <si>
    <t xml:space="preserve">To improve the clarity of asset categories </t>
  </si>
  <si>
    <t>C82</t>
  </si>
  <si>
    <t xml:space="preserve">To improve the consistency of labelling between worksheets </t>
  </si>
  <si>
    <t xml:space="preserve">Column C </t>
  </si>
  <si>
    <t>Rows added and headings amended</t>
  </si>
  <si>
    <t xml:space="preserve">To improve the consistency of labelling between worksheets, each asset category other than ‘pipelines’, ‘land and easements’, ‘other non-depreciable pipeline assets’, ‘inventories’, ‘deferred tax assets’ and ‘other assets’, is amended to have the following reporting lines, consistent with the headings in Table 3.3.1 : 
- Initial construction or acquisition costs 
- Additions
- Capitalised maintenance or improvements
- Depreciation 
- Disposals or early termination (at cost)
There are also some formatting changes. </t>
  </si>
  <si>
    <t>D71 &amp; E71</t>
  </si>
  <si>
    <t>To correctly sum up the cost components that derive the carrying value of ‘other depreciable pipeline assets’.</t>
  </si>
  <si>
    <t>D88 &amp; E88</t>
  </si>
  <si>
    <t xml:space="preserve">To correctly sum up the cost components that derive the carrying value of ‘shared property, plant and equipment’ (previously labelled ‘shared supporting assets’). </t>
  </si>
  <si>
    <t>3.1 Asset useful life</t>
  </si>
  <si>
    <t>Tab renamed</t>
  </si>
  <si>
    <t xml:space="preserve">Tab is renamed  from '3.1 Pipeline asset useful life' to '3.1 Asset useful life' to be consistent with the heading of the worksheet. The worksheet does not only contain pipeline asset useful life information, but also shared assets’. </t>
  </si>
  <si>
    <t>D9:D37</t>
  </si>
  <si>
    <t xml:space="preserve">Number formatting </t>
  </si>
  <si>
    <t>To disclose numbers as short dates.</t>
  </si>
  <si>
    <t>D7</t>
  </si>
  <si>
    <t>To correct spelling mistake: "Acqusition" changed to "Acquisition"</t>
  </si>
  <si>
    <t>3.2 Asset impairment</t>
  </si>
  <si>
    <t xml:space="preserve">Tab is renamed  from '3.2 Pipeline asset impairment' to '3.2 Asset impairment' to be consistent with the heading of the worksheet. The worksheet does not only contain pipeline asset impairment information, but also shared assets’. </t>
  </si>
  <si>
    <t>3.2.1 and 3.2.2</t>
  </si>
  <si>
    <t>D8:D22, D28:D54, G28:G54,</t>
  </si>
  <si>
    <t>H7 and G58</t>
  </si>
  <si>
    <t>J7 and I58</t>
  </si>
  <si>
    <t>G53</t>
  </si>
  <si>
    <t>To rectify a missing formula.</t>
  </si>
  <si>
    <t>F9:F52 and F60:F77</t>
  </si>
  <si>
    <t xml:space="preserve">To disclose numbers to the nearest whole number. </t>
  </si>
  <si>
    <t>N7, M58</t>
  </si>
  <si>
    <t>The heading has been amended to make it clear that depreciation for the current reporting period does not include accumulated depreciation for the prior years.</t>
  </si>
  <si>
    <t>The dropdown box values have been amended to match the asset categories terms used on worksheet 3.</t>
  </si>
  <si>
    <t>D60:D77</t>
  </si>
  <si>
    <t>3.4 Shared supporting assets</t>
  </si>
  <si>
    <t>3.4.1</t>
  </si>
  <si>
    <t>D9:D40</t>
  </si>
  <si>
    <t xml:space="preserve">3.4 Shared supporting assets </t>
  </si>
  <si>
    <t>4. Recovered capital</t>
  </si>
  <si>
    <t>Minor punctuation amendment.</t>
  </si>
  <si>
    <t>Background amended</t>
  </si>
  <si>
    <t>Background amended to white, consistent with the rest of the template worksheets.</t>
  </si>
  <si>
    <t>E11</t>
  </si>
  <si>
    <t xml:space="preserve">To revise the formula to sum F11:BH11, consistent with the formula of other cost compoenents that make up the 'cost base'. </t>
  </si>
  <si>
    <t>Rows 33 and 34</t>
  </si>
  <si>
    <t>To disclose opening asset value and rate of return (WACC) of each year.</t>
  </si>
  <si>
    <t>E25</t>
  </si>
  <si>
    <t>Formula deleted</t>
  </si>
  <si>
    <t>Formula not required.</t>
  </si>
  <si>
    <t>F31:BH31</t>
  </si>
  <si>
    <t>Previous sum formula included row 25 which is not an input cell</t>
  </si>
  <si>
    <t>F8:BH8</t>
  </si>
  <si>
    <t xml:space="preserve">To adjust the formula to display year numbers that would allow for cross-referencing in the Summary tab. </t>
  </si>
  <si>
    <t>D18</t>
  </si>
  <si>
    <t>To correct spelling error - "Acqusition" changed to "Acquisition"</t>
  </si>
  <si>
    <t>5. Weighted average price</t>
  </si>
  <si>
    <t>Column B</t>
  </si>
  <si>
    <t>Column added</t>
  </si>
  <si>
    <t xml:space="preserve">To disclose the reference to the basis of preparation where pipeline operator may have explained the basis of allocation between pipelines and service types. </t>
  </si>
  <si>
    <t>Column D</t>
  </si>
  <si>
    <t>To provide clarity on whether there has been any use of estimates by the pipeline operator to allocate revenue between pipelines and service types.</t>
  </si>
  <si>
    <t>B2:E3</t>
  </si>
  <si>
    <t>To insert Heading "Year ending XX/XX/XXXX", consistent with the strucure of other worksheets in the template.</t>
  </si>
  <si>
    <t>F10: BJ10</t>
  </si>
  <si>
    <t xml:space="preserve">To clarify the unit measurement the data is supposed to be expressed in. </t>
  </si>
  <si>
    <t>G10, N10, U10, AA10, AG10, AN10, AT10, AZ10, BF10</t>
  </si>
  <si>
    <t>Comment box inserted</t>
  </si>
  <si>
    <t>To provide guidance that MDQ Total TJ shall be reported as the sum of MDQ's over the reporting period in TJs</t>
  </si>
  <si>
    <t>All worksheets</t>
  </si>
  <si>
    <t xml:space="preserve">All data points expressed in dollars terms have been formatted to remove decimal points (except for weighted average prices) and to express negative values in brackets. </t>
  </si>
  <si>
    <t>Section 21 &amp; Section 22</t>
  </si>
  <si>
    <t>Please refer to the Basis of Preparation Addendum</t>
  </si>
  <si>
    <t>This FY25 Part 10 template is published without an assurance report. Assurance over the "Historical Demand" will be provided as part of the FY26 assurance process and will be published within this reporting template on the APA website by 30 November 2026.</t>
  </si>
  <si>
    <t>Atlas to Reedy Creek Pipeline</t>
  </si>
  <si>
    <t>300 TJ/d Northern-haul
520 TJ/d Southern-haul</t>
  </si>
  <si>
    <t>11/5/2018 to 30/6/2025</t>
  </si>
  <si>
    <t>1/7/2018 to 30/6/2025</t>
  </si>
  <si>
    <t>2/5/2025 to 30/6/2025</t>
  </si>
  <si>
    <t>1/7/2019 to 30/6/2025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</si>
</sst>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1" formatCode="_-* #,##0_-;\-* #,##0_-;_-* &quot;-&quot;_-;_-@_-"/>
    <numFmt numFmtId="44" formatCode="_-&quot;$&quot;* #,##0.00_-;\-&quot;$&quot;* #,##0.00_-;_-&quot;$&quot;* &quot;-&quot;??_-;_-@_-"/>
    <numFmt numFmtId="43" formatCode="_-* #,##0.00_-;\-* #,##0.00_-;_-* &quot;-&quot;??_-;_-@_-"/>
    <numFmt numFmtId="164" formatCode="_(* #,##0_);_(* \(#,##0\);_(* &quot;-&quot;_);_(@_)"/>
    <numFmt numFmtId="165" formatCode="_(* #,##0_);_(* \(#,##0\);_(* &quot;-&quot;?_);_(@_)"/>
    <numFmt numFmtId="166" formatCode="0.0"/>
    <numFmt numFmtId="167" formatCode="0.0000"/>
    <numFmt numFmtId="168" formatCode="#,##0.0"/>
    <numFmt numFmtId="169" formatCode="d/mm/yyyy;@"/>
    <numFmt numFmtId="170" formatCode="_(* #,##0.0_);_(* \(#,##0.0\);_(* &quot;-&quot;_);_(@_)"/>
    <numFmt numFmtId="171" formatCode="_(* #,##0.00_);_(* \(#,##0.00\);_(* &quot;-&quot;_);_(@_)"/>
    <numFmt numFmtId="172" formatCode="_(* #,##0.000_);_(* \(#,##0.000\);_(* &quot;-&quot;_);_(@_)"/>
    <numFmt numFmtId="173" formatCode="_(* #,##0.0000_);_(* \(#,##0.0000\);_(* &quot;-&quot;_);_(@_)"/>
    <numFmt numFmtId="174" formatCode="_(* #,##0_);_(* \(#,##0\);_(* &quot;&quot;_);_(@_)"/>
    <numFmt numFmtId="175" formatCode="#,##0.00;\(#,##0.00\)"/>
  </numFmts>
  <fonts count="82" x14ac:knownFonts="1">
    <font>
      <sz val="10"/>
      <name val="Arial"/>
    </font>
    <font>
      <sz val="10"/>
      <name val="Arial"/>
      <family val="2"/>
    </font>
    <font>
      <b/>
      <sz val="16"/>
      <name val="Arial"/>
      <family val="2"/>
    </font>
    <font>
      <b/>
      <sz val="10"/>
      <name val="Arial"/>
      <family val="2"/>
    </font>
    <font>
      <b/>
      <sz val="12"/>
      <name val="Arial"/>
      <family val="2"/>
    </font>
    <font>
      <b/>
      <sz val="10"/>
      <color indexed="51"/>
      <name val="Arial"/>
      <family val="2"/>
    </font>
    <font>
      <sz val="10"/>
      <name val="Arial"/>
      <family val="2"/>
    </font>
    <font>
      <sz val="8"/>
      <name val="Arial"/>
      <family val="2"/>
    </font>
    <font>
      <sz val="10"/>
      <color indexed="9"/>
      <name val="Arial"/>
      <family val="2"/>
    </font>
    <font>
      <sz val="18"/>
      <name val="Arial"/>
      <family val="2"/>
    </font>
    <font>
      <sz val="18"/>
      <color indexed="62"/>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8"/>
      <name val="Arial"/>
      <family val="2"/>
    </font>
    <font>
      <b/>
      <sz val="16"/>
      <color indexed="8"/>
      <name val="Arial"/>
      <family val="2"/>
    </font>
    <font>
      <b/>
      <sz val="10"/>
      <color indexed="9"/>
      <name val="Arial"/>
      <family val="2"/>
    </font>
    <font>
      <b/>
      <sz val="10"/>
      <color indexed="8"/>
      <name val="Arial"/>
      <family val="2"/>
    </font>
    <font>
      <sz val="10"/>
      <color indexed="8"/>
      <name val="Arial"/>
      <family val="2"/>
    </font>
    <font>
      <sz val="10"/>
      <name val="Cambria"/>
      <family val="2"/>
    </font>
    <font>
      <sz val="10"/>
      <name val="Arial"/>
      <family val="2"/>
    </font>
    <font>
      <sz val="11"/>
      <name val="Arial"/>
      <family val="2"/>
    </font>
    <font>
      <b/>
      <i/>
      <sz val="10"/>
      <color indexed="9"/>
      <name val="Arial"/>
      <family val="2"/>
    </font>
    <font>
      <b/>
      <sz val="12"/>
      <color indexed="9"/>
      <name val="Arial"/>
      <family val="2"/>
    </font>
    <font>
      <sz val="9"/>
      <color indexed="81"/>
      <name val="Tahoma"/>
      <family val="2"/>
    </font>
    <font>
      <sz val="10"/>
      <name val="Arial"/>
      <family val="2"/>
    </font>
    <font>
      <b/>
      <sz val="10"/>
      <color indexed="10"/>
      <name val="Arial"/>
      <family val="2"/>
    </font>
    <font>
      <sz val="20"/>
      <name val="Arial"/>
      <family val="2"/>
    </font>
    <font>
      <sz val="20"/>
      <color indexed="18"/>
      <name val="Arial"/>
      <family val="2"/>
    </font>
    <font>
      <sz val="12"/>
      <name val="Arial"/>
      <family val="2"/>
    </font>
    <font>
      <sz val="12"/>
      <color indexed="9"/>
      <name val="Arial"/>
      <family val="2"/>
    </font>
    <font>
      <sz val="8"/>
      <name val="Malgun Gothic"/>
      <family val="2"/>
    </font>
    <font>
      <i/>
      <sz val="9"/>
      <color indexed="81"/>
      <name val="Tahoma"/>
      <family val="2"/>
    </font>
    <font>
      <sz val="10"/>
      <color indexed="81"/>
      <name val="Tahoma"/>
      <family val="2"/>
    </font>
    <font>
      <sz val="10"/>
      <name val="Arial"/>
      <family val="2"/>
    </font>
    <font>
      <b/>
      <sz val="9"/>
      <name val="Calibri"/>
      <family val="2"/>
    </font>
    <font>
      <sz val="9"/>
      <color indexed="8"/>
      <name val="Calibri"/>
      <family val="2"/>
    </font>
    <font>
      <b/>
      <sz val="9"/>
      <name val="Arial"/>
      <family val="2"/>
    </font>
    <font>
      <sz val="9"/>
      <name val="Arial"/>
      <family val="2"/>
    </font>
    <font>
      <sz val="10"/>
      <color theme="1"/>
      <name val="Arial"/>
      <family val="2"/>
    </font>
    <font>
      <b/>
      <sz val="16"/>
      <color theme="0"/>
      <name val="Arial"/>
      <family val="2"/>
    </font>
    <font>
      <sz val="10"/>
      <name val="Cambria"/>
      <family val="2"/>
      <scheme val="major"/>
    </font>
    <font>
      <sz val="11"/>
      <color theme="1"/>
      <name val="Calibri"/>
      <family val="2"/>
      <scheme val="minor"/>
    </font>
    <font>
      <sz val="11"/>
      <color theme="1"/>
      <name val="Calibri"/>
      <family val="2"/>
    </font>
    <font>
      <sz val="10"/>
      <color theme="0"/>
      <name val="Arial"/>
      <family val="2"/>
    </font>
    <font>
      <b/>
      <i/>
      <sz val="10"/>
      <color theme="0"/>
      <name val="Arial"/>
      <family val="2"/>
    </font>
    <font>
      <b/>
      <sz val="10"/>
      <color theme="0"/>
      <name val="Arial"/>
      <family val="2"/>
    </font>
    <font>
      <sz val="10"/>
      <color rgb="FFFFFFFF"/>
      <name val="Arial"/>
      <family val="2"/>
    </font>
    <font>
      <b/>
      <sz val="20"/>
      <color theme="0"/>
      <name val="Arial"/>
      <family val="2"/>
    </font>
    <font>
      <sz val="20"/>
      <color theme="0"/>
      <name val="Arial"/>
      <family val="2"/>
    </font>
    <font>
      <sz val="20"/>
      <color rgb="FF17415D"/>
      <name val="Arial"/>
      <family val="2"/>
    </font>
    <font>
      <sz val="8"/>
      <color rgb="FF000000"/>
      <name val="Malgun Gothic"/>
      <family val="2"/>
    </font>
    <font>
      <sz val="11"/>
      <color rgb="FF1D1D1D"/>
      <name val="Arial"/>
      <family val="2"/>
    </font>
    <font>
      <b/>
      <sz val="10"/>
      <color theme="9"/>
      <name val="Arial"/>
      <family val="2"/>
    </font>
    <font>
      <sz val="10"/>
      <color rgb="FFFF0000"/>
      <name val="Arial"/>
      <family val="2"/>
    </font>
    <font>
      <i/>
      <sz val="12"/>
      <color theme="0"/>
      <name val="Arial"/>
      <family val="2"/>
    </font>
    <font>
      <b/>
      <sz val="12"/>
      <color theme="0"/>
      <name val="Arial"/>
      <family val="2"/>
    </font>
    <font>
      <b/>
      <sz val="12"/>
      <color rgb="FFFFFFFF"/>
      <name val="Arial"/>
      <family val="2"/>
    </font>
    <font>
      <sz val="28"/>
      <color rgb="FFFF0000"/>
      <name val="Arial"/>
      <family val="2"/>
    </font>
    <font>
      <sz val="10"/>
      <color rgb="FF000000"/>
      <name val="Arial"/>
      <family val="2"/>
    </font>
    <font>
      <b/>
      <sz val="10"/>
      <color rgb="FFFFFFFF"/>
      <name val="Arial"/>
      <family val="2"/>
    </font>
    <font>
      <sz val="9"/>
      <color rgb="FF000000"/>
      <name val="Calibri"/>
      <family val="2"/>
    </font>
    <font>
      <b/>
      <i/>
      <sz val="9"/>
      <color rgb="FF000000"/>
      <name val="Calibri"/>
      <family val="2"/>
    </font>
    <font>
      <b/>
      <sz val="9"/>
      <color rgb="FF000000"/>
      <name val="Calibri"/>
      <family val="2"/>
    </font>
    <font>
      <i/>
      <sz val="9"/>
      <color rgb="FFDE2E21"/>
      <name val="Arial"/>
      <family val="2"/>
    </font>
    <font>
      <sz val="12"/>
      <color rgb="FFFFFFFF"/>
      <name val="Arial"/>
      <family val="2"/>
    </font>
    <font>
      <b/>
      <sz val="20"/>
      <color rgb="FF17415D"/>
      <name val="Arial"/>
      <family val="2"/>
    </font>
  </fonts>
  <fills count="45">
    <fill>
      <patternFill patternType="none"/>
    </fill>
    <fill>
      <patternFill patternType="gray125"/>
    </fill>
    <fill>
      <patternFill patternType="solid">
        <fgColor indexed="38"/>
      </patternFill>
    </fill>
    <fill>
      <patternFill patternType="solid">
        <fgColor indexed="38"/>
        <bgColor indexed="64"/>
      </patternFill>
    </fill>
    <fill>
      <patternFill patternType="solid">
        <fgColor indexed="47"/>
      </patternFill>
    </fill>
    <fill>
      <patternFill patternType="solid">
        <fgColor indexed="47"/>
        <bgColor indexed="64"/>
      </patternFill>
    </fill>
    <fill>
      <patternFill patternType="solid">
        <fgColor indexed="26"/>
      </patternFill>
    </fill>
    <fill>
      <patternFill patternType="solid">
        <fgColor indexed="26"/>
        <bgColor indexed="64"/>
      </patternFill>
    </fill>
    <fill>
      <patternFill patternType="solid">
        <fgColor indexed="9"/>
      </patternFill>
    </fill>
    <fill>
      <patternFill patternType="solid">
        <fgColor indexed="9"/>
        <bgColor indexed="64"/>
      </patternFill>
    </fill>
    <fill>
      <patternFill patternType="solid">
        <fgColor indexed="43"/>
      </patternFill>
    </fill>
    <fill>
      <patternFill patternType="solid">
        <fgColor indexed="43"/>
        <bgColor indexed="64"/>
      </patternFill>
    </fill>
    <fill>
      <patternFill patternType="solid">
        <fgColor indexed="22"/>
      </patternFill>
    </fill>
    <fill>
      <patternFill patternType="solid">
        <fgColor indexed="22"/>
        <bgColor indexed="64"/>
      </patternFill>
    </fill>
    <fill>
      <patternFill patternType="solid">
        <fgColor indexed="49"/>
      </patternFill>
    </fill>
    <fill>
      <patternFill patternType="solid">
        <fgColor indexed="49"/>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patternFill>
    </fill>
    <fill>
      <patternFill patternType="solid">
        <fgColor indexed="54"/>
        <bgColor indexed="64"/>
      </patternFill>
    </fill>
    <fill>
      <patternFill patternType="solid">
        <fgColor indexed="53"/>
      </patternFill>
    </fill>
    <fill>
      <patternFill patternType="solid">
        <fgColor indexed="53"/>
        <bgColor indexed="64"/>
      </patternFill>
    </fill>
    <fill>
      <patternFill patternType="solid">
        <fgColor indexed="45"/>
      </patternFill>
    </fill>
    <fill>
      <patternFill patternType="solid">
        <fgColor indexed="45"/>
        <bgColor indexed="64"/>
      </patternFill>
    </fill>
    <fill>
      <patternFill patternType="solid">
        <fgColor indexed="55"/>
      </patternFill>
    </fill>
    <fill>
      <patternFill patternType="solid">
        <fgColor indexed="55"/>
        <bgColor indexed="64"/>
      </patternFill>
    </fill>
    <fill>
      <patternFill patternType="solid">
        <fgColor indexed="8"/>
        <bgColor indexed="64"/>
      </patternFill>
    </fill>
    <fill>
      <patternFill patternType="solid">
        <fgColor indexed="42"/>
      </patternFill>
    </fill>
    <fill>
      <patternFill patternType="solid">
        <fgColor indexed="42"/>
        <bgColor indexed="64"/>
      </patternFill>
    </fill>
    <fill>
      <patternFill patternType="solid">
        <fgColor indexed="27"/>
        <bgColor indexed="64"/>
      </patternFill>
    </fill>
    <fill>
      <patternFill patternType="solid">
        <fgColor theme="0" tint="-0.499984740745262"/>
        <bgColor indexed="64"/>
      </patternFill>
    </fill>
    <fill>
      <patternFill patternType="solid">
        <fgColor theme="1"/>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rgb="FF2B7AAF"/>
        <bgColor indexed="64"/>
      </patternFill>
    </fill>
    <fill>
      <patternFill patternType="solid">
        <fgColor rgb="FFFFECC9"/>
        <bgColor indexed="64"/>
      </patternFill>
    </fill>
    <fill>
      <patternFill patternType="solid">
        <fgColor rgb="FF17415D"/>
        <bgColor indexed="64"/>
      </patternFill>
    </fill>
    <fill>
      <patternFill patternType="solid">
        <fgColor rgb="FFC0C0C0"/>
        <bgColor indexed="64"/>
      </patternFill>
    </fill>
    <fill>
      <patternFill patternType="solid">
        <fgColor theme="0" tint="-0.249977111117893"/>
        <bgColor indexed="64"/>
      </patternFill>
    </fill>
    <fill>
      <patternFill patternType="solid">
        <fgColor rgb="FFFFFFFF"/>
        <bgColor indexed="64"/>
      </patternFill>
    </fill>
    <fill>
      <patternFill patternType="solid">
        <fgColor theme="0"/>
        <bgColor indexed="64"/>
      </patternFill>
    </fill>
    <fill>
      <patternFill patternType="solid">
        <fgColor rgb="FFFFF9E6"/>
      </patternFill>
    </fill>
    <fill>
      <patternFill patternType="solid">
        <fgColor rgb="FFCCCCCC"/>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thin">
        <color theme="4"/>
      </left>
      <right/>
      <top/>
      <bottom/>
      <diagonal/>
    </border>
    <border>
      <left/>
      <right style="thin">
        <color theme="4"/>
      </right>
      <top/>
      <bottom/>
      <diagonal/>
    </border>
    <border>
      <left/>
      <right/>
      <top style="thin">
        <color rgb="FF000000"/>
      </top>
      <bottom/>
      <diagonal/>
    </border>
    <border>
      <left/>
      <right/>
      <top style="thin">
        <color rgb="FF000000"/>
      </top>
      <bottom style="double">
        <color rgb="FF000000"/>
      </bottom>
      <diagonal/>
    </border>
  </borders>
  <cellStyleXfs count="266">
    <xf numFmtId="0" fontId="0" fillId="0" borderId="0"/>
    <xf numFmtId="0" fontId="6" fillId="0" borderId="0"/>
    <xf numFmtId="0" fontId="6" fillId="0" borderId="0" applyNumberFormat="0" applyFill="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164"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35"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41" fontId="6" fillId="13" borderId="0" applyNumberFormat="0" applyFont="0" applyBorder="0" applyAlignment="0">
      <alignment horizontal="right"/>
    </xf>
    <xf numFmtId="0" fontId="15" fillId="8" borderId="1" applyNumberFormat="0" applyAlignment="0" applyProtection="0"/>
    <xf numFmtId="0" fontId="15" fillId="9" borderId="1" applyNumberFormat="0" applyAlignment="0" applyProtection="0"/>
    <xf numFmtId="0" fontId="16" fillId="26" borderId="2" applyNumberFormat="0" applyAlignment="0" applyProtection="0"/>
    <xf numFmtId="0" fontId="16" fillId="27" borderId="2" applyNumberFormat="0" applyAlignment="0" applyProtection="0"/>
    <xf numFmtId="43" fontId="1"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49"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43" fontId="6" fillId="0" borderId="0" applyFont="0" applyFill="0" applyBorder="0" applyAlignment="0" applyProtection="0"/>
    <xf numFmtId="44" fontId="40"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0" fontId="55" fillId="32" borderId="0">
      <alignment vertical="center"/>
    </xf>
    <xf numFmtId="49" fontId="55" fillId="33" borderId="0">
      <alignment vertical="center"/>
    </xf>
    <xf numFmtId="0" fontId="17" fillId="0" borderId="0" applyNumberFormat="0" applyFill="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9" fillId="0" borderId="3"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0" applyNumberFormat="0" applyFill="0" applyBorder="0" applyAlignment="0" applyProtection="0"/>
    <xf numFmtId="0" fontId="11" fillId="0" borderId="0" applyNumberFormat="0" applyFill="0" applyBorder="0" applyAlignment="0" applyProtection="0">
      <alignment vertical="top"/>
      <protection locked="0"/>
    </xf>
    <xf numFmtId="0" fontId="22" fillId="4" borderId="1" applyNumberFormat="0" applyAlignment="0" applyProtection="0"/>
    <xf numFmtId="0" fontId="22" fillId="5" borderId="1" applyNumberFormat="0" applyAlignment="0" applyProtection="0"/>
    <xf numFmtId="164" fontId="1"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35"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6" fillId="31" borderId="0" applyFont="0" applyBorder="0" applyAlignment="0">
      <alignment horizontal="right"/>
      <protection locked="0"/>
    </xf>
    <xf numFmtId="41" fontId="40" fillId="31" borderId="0" applyFont="0" applyBorder="0" applyAlignment="0">
      <alignment horizontal="right"/>
      <protection locked="0"/>
    </xf>
    <xf numFmtId="41" fontId="6" fillId="31" borderId="0" applyFont="0" applyBorder="0" applyAlignment="0">
      <alignment horizontal="right"/>
      <protection locked="0"/>
    </xf>
    <xf numFmtId="165" fontId="6" fillId="30" borderId="0" applyFont="0" applyBorder="0">
      <alignment horizontal="right"/>
      <protection locked="0"/>
    </xf>
    <xf numFmtId="165" fontId="35" fillId="30" borderId="0" applyFont="0" applyBorder="0">
      <alignment horizontal="right"/>
      <protection locked="0"/>
    </xf>
    <xf numFmtId="165" fontId="6" fillId="30" borderId="0" applyFont="0" applyBorder="0">
      <alignment horizontal="right"/>
      <protection locked="0"/>
    </xf>
    <xf numFmtId="164"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35"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41" fontId="6" fillId="7" borderId="0" applyFont="0" applyBorder="0">
      <alignment horizontal="right"/>
      <protection locked="0"/>
    </xf>
    <xf numFmtId="0" fontId="23" fillId="0" borderId="6" applyNumberFormat="0" applyFill="0" applyAlignment="0" applyProtection="0"/>
    <xf numFmtId="0" fontId="24" fillId="10" borderId="0" applyNumberFormat="0" applyBorder="0" applyAlignment="0" applyProtection="0"/>
    <xf numFmtId="0" fontId="24" fillId="11" borderId="0" applyNumberFormat="0" applyBorder="0" applyAlignment="0" applyProtection="0"/>
    <xf numFmtId="0" fontId="6" fillId="0" borderId="0"/>
    <xf numFmtId="0" fontId="56" fillId="0" borderId="0"/>
    <xf numFmtId="0" fontId="34" fillId="0" borderId="0"/>
    <xf numFmtId="0" fontId="57" fillId="0" borderId="0"/>
    <xf numFmtId="0" fontId="6" fillId="0" borderId="0"/>
    <xf numFmtId="0" fontId="35" fillId="0" borderId="0"/>
    <xf numFmtId="0" fontId="6" fillId="0" borderId="0"/>
    <xf numFmtId="0" fontId="6" fillId="0" borderId="0"/>
    <xf numFmtId="0" fontId="6" fillId="0" borderId="0"/>
    <xf numFmtId="0" fontId="6" fillId="0" borderId="0"/>
    <xf numFmtId="0" fontId="6" fillId="0" borderId="0" applyNumberFormat="0" applyFill="0" applyBorder="0" applyAlignment="0" applyProtection="0"/>
    <xf numFmtId="0" fontId="58" fillId="0" borderId="0"/>
    <xf numFmtId="0" fontId="57" fillId="0" borderId="0"/>
    <xf numFmtId="0" fontId="1" fillId="9" borderId="0"/>
    <xf numFmtId="0" fontId="1" fillId="9" borderId="0"/>
    <xf numFmtId="0" fontId="1" fillId="9" borderId="0"/>
    <xf numFmtId="0" fontId="1" fillId="0" borderId="0"/>
    <xf numFmtId="0" fontId="1" fillId="9" borderId="0"/>
    <xf numFmtId="0" fontId="6" fillId="9" borderId="0"/>
    <xf numFmtId="0" fontId="1" fillId="9" borderId="0"/>
    <xf numFmtId="0" fontId="1" fillId="9" borderId="0"/>
    <xf numFmtId="0" fontId="35" fillId="9" borderId="0"/>
    <xf numFmtId="0" fontId="6" fillId="9" borderId="0"/>
    <xf numFmtId="0" fontId="1" fillId="9" borderId="0"/>
    <xf numFmtId="0" fontId="40" fillId="9" borderId="0"/>
    <xf numFmtId="0" fontId="6" fillId="6" borderId="7" applyNumberFormat="0" applyFont="0" applyAlignment="0" applyProtection="0"/>
    <xf numFmtId="0" fontId="35" fillId="7" borderId="7" applyNumberFormat="0" applyFont="0" applyAlignment="0" applyProtection="0"/>
    <xf numFmtId="0" fontId="6" fillId="7" borderId="7" applyNumberFormat="0" applyFont="0" applyAlignment="0" applyProtection="0"/>
    <xf numFmtId="0" fontId="25" fillId="8" borderId="8" applyNumberFormat="0" applyAlignment="0" applyProtection="0"/>
    <xf numFmtId="0" fontId="25" fillId="9" borderId="8" applyNumberFormat="0" applyAlignment="0" applyProtection="0"/>
    <xf numFmtId="9" fontId="1" fillId="0" borderId="0" applyFont="0" applyFill="0" applyBorder="0" applyAlignment="0" applyProtection="0"/>
    <xf numFmtId="9" fontId="49" fillId="0" borderId="0" applyFont="0" applyFill="0" applyBorder="0" applyAlignment="0" applyProtection="0"/>
    <xf numFmtId="9" fontId="4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35" fillId="0" borderId="0"/>
    <xf numFmtId="0" fontId="6" fillId="0" borderId="0"/>
    <xf numFmtId="0" fontId="35" fillId="0" borderId="0"/>
    <xf numFmtId="0" fontId="6" fillId="0" borderId="0"/>
    <xf numFmtId="0" fontId="40" fillId="0" borderId="0"/>
    <xf numFmtId="0" fontId="6" fillId="0" borderId="0"/>
    <xf numFmtId="0" fontId="26" fillId="0" borderId="0" applyNumberFormat="0" applyFill="0" applyBorder="0" applyAlignment="0" applyProtection="0"/>
    <xf numFmtId="0" fontId="27" fillId="0" borderId="9" applyNumberFormat="0" applyFill="0" applyAlignment="0" applyProtection="0"/>
    <xf numFmtId="0" fontId="28" fillId="0" borderId="0" applyNumberFormat="0" applyFill="0" applyBorder="0" applyAlignment="0" applyProtection="0"/>
  </cellStyleXfs>
  <cellXfs count="467">
    <xf numFmtId="0" fontId="0" fillId="0" borderId="0" xfId="0"/>
    <xf numFmtId="0" fontId="9" fillId="9" borderId="0" xfId="232" applyFont="1"/>
    <xf numFmtId="0" fontId="10" fillId="9" borderId="0" xfId="232" applyFont="1" applyAlignment="1">
      <alignment vertical="center"/>
    </xf>
    <xf numFmtId="0" fontId="9" fillId="9" borderId="0" xfId="232" applyFont="1" applyAlignment="1">
      <alignment vertical="center"/>
    </xf>
    <xf numFmtId="0" fontId="1" fillId="9" borderId="0" xfId="236"/>
    <xf numFmtId="0" fontId="0" fillId="0" borderId="0" xfId="0" applyAlignment="1">
      <alignment horizontal="center"/>
    </xf>
    <xf numFmtId="0" fontId="0" fillId="34" borderId="0" xfId="0" applyFill="1"/>
    <xf numFmtId="0" fontId="0" fillId="34" borderId="0" xfId="0" applyFill="1" applyAlignment="1">
      <alignment horizontal="center"/>
    </xf>
    <xf numFmtId="14" fontId="0" fillId="0" borderId="0" xfId="0" applyNumberFormat="1" applyAlignment="1">
      <alignment vertical="center"/>
    </xf>
    <xf numFmtId="0" fontId="0" fillId="0" borderId="0" xfId="0" applyAlignment="1">
      <alignment horizontal="center" vertical="center"/>
    </xf>
    <xf numFmtId="0" fontId="0" fillId="0" borderId="0" xfId="0" applyAlignment="1">
      <alignment vertical="center"/>
    </xf>
    <xf numFmtId="0" fontId="0" fillId="0" borderId="0" xfId="0" applyAlignment="1">
      <alignment vertical="center" wrapText="1"/>
    </xf>
    <xf numFmtId="43" fontId="0" fillId="0" borderId="0" xfId="0" applyNumberFormat="1"/>
    <xf numFmtId="164" fontId="33" fillId="13" borderId="10" xfId="79" applyNumberFormat="1" applyFont="1" applyFill="1" applyBorder="1" applyAlignment="1"/>
    <xf numFmtId="0" fontId="1" fillId="9" borderId="0" xfId="236" applyProtection="1">
      <protection locked="0"/>
    </xf>
    <xf numFmtId="164" fontId="3" fillId="13" borderId="10" xfId="79" applyNumberFormat="1" applyFont="1" applyFill="1" applyBorder="1" applyAlignment="1" applyProtection="1">
      <alignment horizontal="right"/>
    </xf>
    <xf numFmtId="10" fontId="3" fillId="13" borderId="10" xfId="239" applyNumberFormat="1" applyFont="1" applyFill="1" applyBorder="1" applyAlignment="1">
      <alignment horizontal="right"/>
    </xf>
    <xf numFmtId="167" fontId="8" fillId="28" borderId="0" xfId="0" applyNumberFormat="1" applyFont="1" applyFill="1" applyAlignment="1">
      <alignment horizontal="left" vertical="center" wrapText="1"/>
    </xf>
    <xf numFmtId="169" fontId="3" fillId="13" borderId="10" xfId="242" applyNumberFormat="1" applyFont="1" applyFill="1" applyBorder="1" applyAlignment="1">
      <alignment horizontal="right"/>
    </xf>
    <xf numFmtId="166" fontId="3" fillId="13" borderId="10" xfId="242" applyNumberFormat="1" applyFont="1" applyFill="1" applyBorder="1" applyAlignment="1">
      <alignment horizontal="right"/>
    </xf>
    <xf numFmtId="43" fontId="3" fillId="13" borderId="10" xfId="79" applyFont="1" applyFill="1" applyBorder="1" applyAlignment="1" applyProtection="1">
      <alignment horizontal="right"/>
    </xf>
    <xf numFmtId="49" fontId="8" fillId="36" borderId="10" xfId="236" applyNumberFormat="1" applyFont="1" applyFill="1" applyBorder="1" applyAlignment="1">
      <alignment horizontal="left"/>
    </xf>
    <xf numFmtId="49" fontId="59" fillId="36" borderId="10" xfId="236" applyNumberFormat="1" applyFont="1" applyFill="1" applyBorder="1" applyAlignment="1">
      <alignment horizontal="left"/>
    </xf>
    <xf numFmtId="2" fontId="31" fillId="36" borderId="11" xfId="237" applyNumberFormat="1" applyFont="1" applyFill="1" applyBorder="1" applyAlignment="1">
      <alignment horizontal="left" vertical="center" wrapText="1"/>
    </xf>
    <xf numFmtId="167" fontId="8" fillId="36" borderId="10" xfId="236" quotePrefix="1" applyNumberFormat="1" applyFont="1" applyFill="1" applyBorder="1" applyAlignment="1">
      <alignment vertical="center" wrapText="1"/>
    </xf>
    <xf numFmtId="49" fontId="31" fillId="36" borderId="10" xfId="236" applyNumberFormat="1" applyFont="1" applyFill="1" applyBorder="1" applyAlignment="1">
      <alignment horizontal="center" vertical="center" wrapText="1"/>
    </xf>
    <xf numFmtId="167" fontId="37" fillId="36" borderId="10" xfId="236" quotePrefix="1" applyNumberFormat="1" applyFont="1" applyFill="1" applyBorder="1" applyAlignment="1">
      <alignment horizontal="left" vertical="center" wrapText="1"/>
    </xf>
    <xf numFmtId="167" fontId="59" fillId="36" borderId="10" xfId="236" quotePrefix="1" applyNumberFormat="1" applyFont="1" applyFill="1" applyBorder="1" applyAlignment="1">
      <alignment horizontal="left" vertical="center" wrapText="1" indent="1"/>
    </xf>
    <xf numFmtId="167" fontId="60" fillId="36" borderId="10" xfId="236" quotePrefix="1" applyNumberFormat="1" applyFont="1" applyFill="1" applyBorder="1" applyAlignment="1">
      <alignment horizontal="left" vertical="center" wrapText="1"/>
    </xf>
    <xf numFmtId="49" fontId="59" fillId="36" borderId="10" xfId="236" applyNumberFormat="1" applyFont="1" applyFill="1" applyBorder="1" applyAlignment="1">
      <alignment horizontal="left" indent="1"/>
    </xf>
    <xf numFmtId="49" fontId="59" fillId="36" borderId="10" xfId="240" applyNumberFormat="1" applyFont="1" applyFill="1" applyBorder="1" applyAlignment="1">
      <alignment horizontal="left" vertical="center" wrapText="1" indent="1"/>
    </xf>
    <xf numFmtId="167" fontId="31" fillId="36" borderId="10" xfId="236" quotePrefix="1" applyNumberFormat="1" applyFont="1" applyFill="1" applyBorder="1" applyAlignment="1">
      <alignment horizontal="center" vertical="center" wrapText="1"/>
    </xf>
    <xf numFmtId="2" fontId="31" fillId="36" borderId="10" xfId="236" applyNumberFormat="1" applyFont="1" applyFill="1" applyBorder="1" applyAlignment="1">
      <alignment horizontal="center" vertical="center" wrapText="1"/>
    </xf>
    <xf numFmtId="2" fontId="8" fillId="36" borderId="10" xfId="79" applyNumberFormat="1" applyFont="1" applyFill="1" applyBorder="1" applyAlignment="1" applyProtection="1">
      <alignment horizontal="center"/>
    </xf>
    <xf numFmtId="49" fontId="8" fillId="36" borderId="10" xfId="236" applyNumberFormat="1" applyFont="1" applyFill="1" applyBorder="1"/>
    <xf numFmtId="49" fontId="31" fillId="36" borderId="10" xfId="236" applyNumberFormat="1" applyFont="1" applyFill="1" applyBorder="1" applyAlignment="1">
      <alignment horizontal="left"/>
    </xf>
    <xf numFmtId="49" fontId="8" fillId="36" borderId="10" xfId="236" applyNumberFormat="1" applyFont="1" applyFill="1" applyBorder="1" applyAlignment="1">
      <alignment horizontal="left" wrapText="1"/>
    </xf>
    <xf numFmtId="49" fontId="31" fillId="36" borderId="12" xfId="236" applyNumberFormat="1" applyFont="1" applyFill="1" applyBorder="1" applyAlignment="1">
      <alignment horizontal="center" vertical="center" wrapText="1"/>
    </xf>
    <xf numFmtId="49" fontId="31" fillId="36" borderId="13" xfId="236" applyNumberFormat="1" applyFont="1" applyFill="1" applyBorder="1" applyAlignment="1">
      <alignment horizontal="center" vertical="center" wrapText="1"/>
    </xf>
    <xf numFmtId="49" fontId="31" fillId="36" borderId="10" xfId="239" applyNumberFormat="1" applyFont="1" applyFill="1" applyBorder="1" applyAlignment="1">
      <alignment horizontal="center" vertical="center" wrapText="1"/>
    </xf>
    <xf numFmtId="164" fontId="31" fillId="36" borderId="10" xfId="239" applyNumberFormat="1" applyFont="1" applyFill="1" applyBorder="1" applyAlignment="1">
      <alignment horizontal="right" vertical="center" wrapText="1"/>
    </xf>
    <xf numFmtId="49" fontId="31" fillId="36" borderId="10" xfId="239" applyNumberFormat="1" applyFont="1" applyFill="1" applyBorder="1" applyAlignment="1">
      <alignment horizontal="center"/>
    </xf>
    <xf numFmtId="166" fontId="8" fillId="36" borderId="14" xfId="79" applyNumberFormat="1" applyFont="1" applyFill="1" applyBorder="1" applyAlignment="1" applyProtection="1">
      <alignment horizontal="right" vertical="center"/>
    </xf>
    <xf numFmtId="49" fontId="31" fillId="36" borderId="10" xfId="239" applyNumberFormat="1" applyFont="1" applyFill="1" applyBorder="1" applyAlignment="1">
      <alignment horizontal="right" vertical="center" wrapText="1"/>
    </xf>
    <xf numFmtId="49" fontId="31" fillId="36" borderId="14" xfId="239" applyNumberFormat="1" applyFont="1" applyFill="1" applyBorder="1" applyAlignment="1">
      <alignment horizontal="center"/>
    </xf>
    <xf numFmtId="49" fontId="8" fillId="36" borderId="10" xfId="236" applyNumberFormat="1" applyFont="1" applyFill="1" applyBorder="1" applyAlignment="1">
      <alignment wrapText="1"/>
    </xf>
    <xf numFmtId="167" fontId="31" fillId="36" borderId="10" xfId="237" quotePrefix="1" applyNumberFormat="1" applyFont="1" applyFill="1" applyBorder="1" applyAlignment="1">
      <alignment horizontal="center" vertical="center" wrapText="1"/>
    </xf>
    <xf numFmtId="2" fontId="31" fillId="36" borderId="11" xfId="237" applyNumberFormat="1" applyFont="1" applyFill="1" applyBorder="1" applyAlignment="1">
      <alignment horizontal="center" vertical="center" wrapText="1"/>
    </xf>
    <xf numFmtId="2" fontId="61" fillId="36" borderId="11" xfId="237" applyNumberFormat="1" applyFont="1" applyFill="1" applyBorder="1" applyAlignment="1">
      <alignment horizontal="left" vertical="center" wrapText="1"/>
    </xf>
    <xf numFmtId="41" fontId="8" fillId="36" borderId="15" xfId="237" applyNumberFormat="1" applyFont="1" applyFill="1" applyBorder="1" applyAlignment="1">
      <alignment horizontal="left" indent="1"/>
    </xf>
    <xf numFmtId="41" fontId="5" fillId="36" borderId="15" xfId="237" applyNumberFormat="1" applyFont="1" applyFill="1" applyBorder="1"/>
    <xf numFmtId="164" fontId="31" fillId="36" borderId="10" xfId="239" applyNumberFormat="1" applyFont="1" applyFill="1" applyBorder="1" applyAlignment="1">
      <alignment horizontal="center" vertical="center" wrapText="1"/>
    </xf>
    <xf numFmtId="167" fontId="31" fillId="36" borderId="10" xfId="242" applyNumberFormat="1" applyFont="1" applyFill="1" applyBorder="1" applyAlignment="1">
      <alignment horizontal="center" vertical="center" wrapText="1"/>
    </xf>
    <xf numFmtId="49" fontId="31" fillId="36" borderId="10" xfId="242" applyNumberFormat="1" applyFont="1" applyFill="1" applyBorder="1" applyAlignment="1">
      <alignment horizontal="center" vertical="center" wrapText="1"/>
    </xf>
    <xf numFmtId="49" fontId="61" fillId="36" borderId="10" xfId="242" applyNumberFormat="1" applyFont="1" applyFill="1" applyBorder="1" applyAlignment="1">
      <alignment horizontal="center" vertical="center" wrapText="1"/>
    </xf>
    <xf numFmtId="166" fontId="8" fillId="36" borderId="14" xfId="79" applyNumberFormat="1" applyFont="1" applyFill="1" applyBorder="1" applyAlignment="1" applyProtection="1">
      <alignment horizontal="center" vertical="center"/>
    </xf>
    <xf numFmtId="166" fontId="59" fillId="36" borderId="14" xfId="79" applyNumberFormat="1" applyFont="1" applyFill="1" applyBorder="1" applyAlignment="1" applyProtection="1">
      <alignment horizontal="center" vertical="center"/>
    </xf>
    <xf numFmtId="2" fontId="59" fillId="36" borderId="14" xfId="79" applyNumberFormat="1" applyFont="1" applyFill="1" applyBorder="1" applyAlignment="1" applyProtection="1">
      <alignment horizontal="center" vertical="center"/>
    </xf>
    <xf numFmtId="1" fontId="8" fillId="36" borderId="14" xfId="79" applyNumberFormat="1" applyFont="1" applyFill="1" applyBorder="1" applyAlignment="1" applyProtection="1">
      <alignment horizontal="center" vertical="center"/>
    </xf>
    <xf numFmtId="49" fontId="31" fillId="36" borderId="10" xfId="242" applyNumberFormat="1" applyFont="1" applyFill="1" applyBorder="1" applyAlignment="1">
      <alignment horizontal="left" vertical="center" wrapText="1"/>
    </xf>
    <xf numFmtId="167" fontId="8" fillId="36" borderId="10" xfId="0" applyNumberFormat="1" applyFont="1" applyFill="1" applyBorder="1" applyAlignment="1">
      <alignment horizontal="left" vertical="center" wrapText="1"/>
    </xf>
    <xf numFmtId="49" fontId="8" fillId="36" borderId="10" xfId="242" applyNumberFormat="1" applyFont="1" applyFill="1" applyBorder="1" applyAlignment="1">
      <alignment horizontal="left" vertical="center" wrapText="1"/>
    </xf>
    <xf numFmtId="49" fontId="59" fillId="36" borderId="10" xfId="242" applyNumberFormat="1" applyFont="1" applyFill="1" applyBorder="1" applyAlignment="1">
      <alignment horizontal="left" vertical="center" wrapText="1"/>
    </xf>
    <xf numFmtId="166" fontId="62" fillId="36" borderId="10" xfId="242" applyNumberFormat="1" applyFont="1" applyFill="1" applyBorder="1" applyAlignment="1">
      <alignment horizontal="left"/>
    </xf>
    <xf numFmtId="167" fontId="38" fillId="38" borderId="0" xfId="0" applyNumberFormat="1" applyFont="1" applyFill="1" applyAlignment="1">
      <alignment horizontal="left" vertical="center" wrapText="1"/>
    </xf>
    <xf numFmtId="10" fontId="33" fillId="13" borderId="10" xfId="249" applyNumberFormat="1" applyFont="1" applyFill="1" applyBorder="1" applyAlignment="1">
      <alignment horizontal="right"/>
    </xf>
    <xf numFmtId="41" fontId="8" fillId="38" borderId="10" xfId="237" applyNumberFormat="1" applyFont="1" applyFill="1" applyBorder="1"/>
    <xf numFmtId="41" fontId="61" fillId="38" borderId="10" xfId="237" applyNumberFormat="1" applyFont="1" applyFill="1" applyBorder="1" applyAlignment="1">
      <alignment horizontal="left"/>
    </xf>
    <xf numFmtId="41" fontId="31" fillId="38" borderId="10" xfId="237" applyNumberFormat="1" applyFont="1" applyFill="1" applyBorder="1"/>
    <xf numFmtId="49" fontId="8" fillId="38" borderId="10" xfId="236" applyNumberFormat="1" applyFont="1" applyFill="1" applyBorder="1"/>
    <xf numFmtId="167" fontId="8" fillId="38" borderId="0" xfId="0" applyNumberFormat="1" applyFont="1" applyFill="1" applyAlignment="1">
      <alignment horizontal="left" vertical="center" wrapText="1"/>
    </xf>
    <xf numFmtId="49" fontId="31" fillId="36" borderId="10" xfId="239" applyNumberFormat="1" applyFont="1" applyFill="1" applyBorder="1" applyAlignment="1">
      <alignment horizontal="center" vertical="center"/>
    </xf>
    <xf numFmtId="0" fontId="55" fillId="32" borderId="0" xfId="155">
      <alignment vertical="center"/>
    </xf>
    <xf numFmtId="0" fontId="42" fillId="0" borderId="0" xfId="0" applyFont="1" applyAlignment="1">
      <alignment horizontal="right" indent="2"/>
    </xf>
    <xf numFmtId="0" fontId="42" fillId="0" borderId="0" xfId="0" applyFont="1"/>
    <xf numFmtId="0" fontId="42" fillId="0" borderId="17" xfId="0" applyFont="1" applyBorder="1"/>
    <xf numFmtId="0" fontId="42" fillId="0" borderId="18" xfId="0" applyFont="1" applyBorder="1"/>
    <xf numFmtId="49" fontId="63" fillId="38" borderId="0" xfId="156" applyFont="1" applyFill="1">
      <alignment vertical="center"/>
    </xf>
    <xf numFmtId="14" fontId="63" fillId="38" borderId="0" xfId="236" applyNumberFormat="1" applyFont="1" applyFill="1" applyAlignment="1">
      <alignment horizontal="left"/>
    </xf>
    <xf numFmtId="14" fontId="63" fillId="38" borderId="0" xfId="236" applyNumberFormat="1" applyFont="1" applyFill="1" applyAlignment="1">
      <alignment horizontal="right"/>
    </xf>
    <xf numFmtId="14" fontId="55" fillId="38" borderId="0" xfId="236" applyNumberFormat="1" applyFont="1" applyFill="1" applyAlignment="1">
      <alignment horizontal="right"/>
    </xf>
    <xf numFmtId="0" fontId="0" fillId="9" borderId="0" xfId="236" applyFont="1"/>
    <xf numFmtId="167" fontId="8" fillId="36" borderId="10" xfId="0" applyNumberFormat="1" applyFont="1" applyFill="1" applyBorder="1" applyAlignment="1">
      <alignment horizontal="center" vertical="center" wrapText="1"/>
    </xf>
    <xf numFmtId="167" fontId="31" fillId="36" borderId="10" xfId="0" applyNumberFormat="1" applyFont="1" applyFill="1" applyBorder="1" applyAlignment="1">
      <alignment horizontal="center" vertical="center" wrapText="1"/>
    </xf>
    <xf numFmtId="167" fontId="62" fillId="36" borderId="10" xfId="0" applyNumberFormat="1" applyFont="1" applyFill="1" applyBorder="1" applyAlignment="1">
      <alignment horizontal="center" vertical="center" wrapText="1"/>
    </xf>
    <xf numFmtId="0" fontId="0" fillId="40" borderId="0" xfId="0" applyFill="1"/>
    <xf numFmtId="0" fontId="4" fillId="40" borderId="0" xfId="0" applyFont="1" applyFill="1"/>
    <xf numFmtId="49" fontId="31" fillId="36" borderId="10" xfId="236" applyNumberFormat="1" applyFont="1" applyFill="1" applyBorder="1" applyAlignment="1">
      <alignment horizontal="left" vertical="center" wrapText="1"/>
    </xf>
    <xf numFmtId="2" fontId="8" fillId="36" borderId="0" xfId="79" applyNumberFormat="1" applyFont="1" applyFill="1" applyBorder="1" applyAlignment="1" applyProtection="1">
      <alignment horizontal="center"/>
    </xf>
    <xf numFmtId="49" fontId="8" fillId="36" borderId="10" xfId="237" applyNumberFormat="1" applyFont="1" applyFill="1" applyBorder="1" applyAlignment="1">
      <alignment horizontal="center" vertical="center"/>
    </xf>
    <xf numFmtId="2" fontId="8" fillId="36" borderId="10" xfId="81" applyNumberFormat="1" applyFont="1" applyFill="1" applyBorder="1" applyAlignment="1" applyProtection="1">
      <alignment horizontal="center"/>
    </xf>
    <xf numFmtId="49" fontId="59" fillId="36" borderId="10" xfId="237" applyNumberFormat="1" applyFont="1" applyFill="1" applyBorder="1"/>
    <xf numFmtId="164" fontId="3" fillId="13" borderId="10" xfId="81" applyNumberFormat="1" applyFont="1" applyFill="1" applyBorder="1" applyAlignment="1" applyProtection="1">
      <alignment horizontal="right"/>
    </xf>
    <xf numFmtId="164" fontId="3" fillId="39" borderId="10" xfId="81" applyNumberFormat="1" applyFont="1" applyFill="1" applyBorder="1" applyAlignment="1" applyProtection="1">
      <alignment horizontal="right"/>
    </xf>
    <xf numFmtId="49" fontId="8" fillId="36" borderId="10" xfId="236" applyNumberFormat="1" applyFont="1" applyFill="1" applyBorder="1" applyAlignment="1">
      <alignment horizontal="left" vertical="center" wrapText="1"/>
    </xf>
    <xf numFmtId="49" fontId="8" fillId="38" borderId="10" xfId="236" applyNumberFormat="1" applyFont="1" applyFill="1" applyBorder="1" applyAlignment="1">
      <alignment horizontal="left" vertical="center" wrapText="1"/>
    </xf>
    <xf numFmtId="10" fontId="3" fillId="13" borderId="10" xfId="81" applyNumberFormat="1" applyFont="1" applyFill="1" applyBorder="1" applyAlignment="1" applyProtection="1">
      <alignment horizontal="right"/>
    </xf>
    <xf numFmtId="0" fontId="8" fillId="36" borderId="10" xfId="236" applyFont="1" applyFill="1" applyBorder="1" applyAlignment="1">
      <alignment horizontal="left"/>
    </xf>
    <xf numFmtId="49" fontId="31" fillId="38" borderId="10" xfId="236" applyNumberFormat="1" applyFont="1" applyFill="1" applyBorder="1" applyAlignment="1">
      <alignment horizontal="left"/>
    </xf>
    <xf numFmtId="164" fontId="33" fillId="13" borderId="10" xfId="79" applyNumberFormat="1" applyFont="1" applyFill="1" applyBorder="1" applyAlignment="1">
      <alignment horizontal="right"/>
    </xf>
    <xf numFmtId="167" fontId="8" fillId="36" borderId="10" xfId="236" quotePrefix="1" applyNumberFormat="1" applyFont="1" applyFill="1" applyBorder="1" applyAlignment="1">
      <alignment horizontal="left" vertical="center" wrapText="1"/>
    </xf>
    <xf numFmtId="164" fontId="33" fillId="13" borderId="10" xfId="79" applyNumberFormat="1" applyFont="1" applyFill="1" applyBorder="1" applyAlignment="1" applyProtection="1">
      <alignment horizontal="right"/>
    </xf>
    <xf numFmtId="164" fontId="32" fillId="13" borderId="10" xfId="79" applyNumberFormat="1" applyFont="1" applyFill="1" applyBorder="1" applyAlignment="1" applyProtection="1">
      <alignment horizontal="right"/>
    </xf>
    <xf numFmtId="49" fontId="55" fillId="38" borderId="0" xfId="156" applyFill="1">
      <alignment vertical="center"/>
    </xf>
    <xf numFmtId="167" fontId="31" fillId="36" borderId="10" xfId="236" quotePrefix="1" applyNumberFormat="1" applyFont="1" applyFill="1" applyBorder="1" applyAlignment="1">
      <alignment horizontal="left" vertical="center" wrapText="1"/>
    </xf>
    <xf numFmtId="49" fontId="31" fillId="38" borderId="10" xfId="236" applyNumberFormat="1" applyFont="1" applyFill="1" applyBorder="1"/>
    <xf numFmtId="173" fontId="33" fillId="13" borderId="10" xfId="81" applyNumberFormat="1" applyFont="1" applyFill="1" applyBorder="1" applyAlignment="1">
      <alignment horizontal="right"/>
    </xf>
    <xf numFmtId="173" fontId="33" fillId="13" borderId="10" xfId="81" applyNumberFormat="1" applyFont="1" applyFill="1" applyBorder="1" applyAlignment="1">
      <alignment horizontal="center" vertical="center"/>
    </xf>
    <xf numFmtId="164" fontId="3" fillId="39" borderId="10" xfId="79" applyNumberFormat="1" applyFont="1" applyFill="1" applyBorder="1" applyAlignment="1" applyProtection="1">
      <alignment horizontal="right"/>
    </xf>
    <xf numFmtId="0" fontId="43" fillId="0" borderId="19" xfId="0" applyFont="1" applyBorder="1"/>
    <xf numFmtId="0" fontId="43" fillId="0" borderId="20" xfId="0" applyFont="1" applyBorder="1"/>
    <xf numFmtId="0" fontId="43" fillId="0" borderId="21" xfId="0" applyFont="1" applyBorder="1"/>
    <xf numFmtId="0" fontId="43" fillId="0" borderId="17" xfId="0" applyFont="1" applyBorder="1"/>
    <xf numFmtId="0" fontId="43" fillId="0" borderId="18" xfId="0" applyFont="1" applyBorder="1"/>
    <xf numFmtId="0" fontId="43" fillId="0" borderId="0" xfId="0" applyFont="1"/>
    <xf numFmtId="0" fontId="43" fillId="0" borderId="22" xfId="0" applyFont="1" applyBorder="1"/>
    <xf numFmtId="0" fontId="43" fillId="0" borderId="23" xfId="0" applyFont="1" applyBorder="1" applyAlignment="1">
      <alignment horizontal="right" indent="2"/>
    </xf>
    <xf numFmtId="0" fontId="43" fillId="0" borderId="23" xfId="0" applyFont="1" applyBorder="1"/>
    <xf numFmtId="0" fontId="43" fillId="0" borderId="24" xfId="0" applyFont="1" applyBorder="1"/>
    <xf numFmtId="0" fontId="63" fillId="38" borderId="0" xfId="0" applyFont="1" applyFill="1" applyAlignment="1">
      <alignment horizontal="right" indent="2"/>
    </xf>
    <xf numFmtId="0" fontId="64" fillId="38" borderId="0" xfId="164" quotePrefix="1" applyFont="1" applyFill="1" applyBorder="1" applyAlignment="1" applyProtection="1"/>
    <xf numFmtId="0" fontId="64" fillId="38" borderId="0" xfId="0" quotePrefix="1" applyFont="1" applyFill="1" applyAlignment="1">
      <alignment horizontal="left"/>
    </xf>
    <xf numFmtId="0" fontId="65" fillId="40" borderId="0" xfId="164" quotePrefix="1" applyFont="1" applyFill="1" applyBorder="1" applyAlignment="1" applyProtection="1"/>
    <xf numFmtId="0" fontId="65" fillId="40" borderId="0" xfId="0" quotePrefix="1" applyFont="1" applyFill="1" applyAlignment="1">
      <alignment horizontal="left"/>
    </xf>
    <xf numFmtId="0" fontId="44" fillId="37" borderId="12" xfId="237" applyFont="1" applyFill="1" applyBorder="1" applyAlignment="1" applyProtection="1">
      <alignment horizontal="right" vertical="center"/>
      <protection locked="0"/>
    </xf>
    <xf numFmtId="0" fontId="46" fillId="41" borderId="0" xfId="0" applyFont="1" applyFill="1"/>
    <xf numFmtId="0" fontId="66" fillId="41" borderId="0" xfId="0" applyFont="1" applyFill="1"/>
    <xf numFmtId="2" fontId="8" fillId="36" borderId="10" xfId="237" applyNumberFormat="1" applyFont="1" applyFill="1" applyBorder="1" applyAlignment="1">
      <alignment horizontal="center" vertical="center" wrapText="1"/>
    </xf>
    <xf numFmtId="41" fontId="8" fillId="36" borderId="10" xfId="237" applyNumberFormat="1" applyFont="1" applyFill="1" applyBorder="1" applyAlignment="1">
      <alignment horizontal="left" indent="1"/>
    </xf>
    <xf numFmtId="49" fontId="61" fillId="36" borderId="10" xfId="237" applyNumberFormat="1" applyFont="1" applyFill="1" applyBorder="1" applyAlignment="1">
      <alignment horizontal="left" vertical="center" wrapText="1"/>
    </xf>
    <xf numFmtId="10" fontId="6" fillId="0" borderId="0" xfId="223" applyNumberFormat="1"/>
    <xf numFmtId="166" fontId="33" fillId="39" borderId="10" xfId="81" applyNumberFormat="1" applyFont="1" applyFill="1" applyBorder="1" applyAlignment="1" applyProtection="1">
      <alignment horizontal="right"/>
    </xf>
    <xf numFmtId="49" fontId="61" fillId="36" borderId="10" xfId="237" applyNumberFormat="1" applyFont="1" applyFill="1" applyBorder="1"/>
    <xf numFmtId="171" fontId="33" fillId="13" borderId="10" xfId="81" applyNumberFormat="1" applyFont="1" applyFill="1" applyBorder="1" applyAlignment="1" applyProtection="1">
      <alignment horizontal="right"/>
    </xf>
    <xf numFmtId="164" fontId="33" fillId="13" borderId="10" xfId="81" applyNumberFormat="1" applyFont="1" applyFill="1" applyBorder="1" applyAlignment="1" applyProtection="1"/>
    <xf numFmtId="170" fontId="33" fillId="13" borderId="10" xfId="81" applyNumberFormat="1" applyFont="1" applyFill="1" applyBorder="1" applyAlignment="1" applyProtection="1"/>
    <xf numFmtId="0" fontId="6" fillId="0" borderId="0" xfId="223" applyAlignment="1">
      <alignment horizontal="left" vertical="center" wrapText="1"/>
    </xf>
    <xf numFmtId="49" fontId="8" fillId="36" borderId="10" xfId="237" applyNumberFormat="1" applyFont="1" applyFill="1" applyBorder="1" applyAlignment="1">
      <alignment horizontal="left" vertical="center" wrapText="1"/>
    </xf>
    <xf numFmtId="49" fontId="31" fillId="36" borderId="10" xfId="237" applyNumberFormat="1" applyFont="1" applyFill="1" applyBorder="1" applyAlignment="1">
      <alignment horizontal="left" vertical="center" wrapText="1"/>
    </xf>
    <xf numFmtId="172" fontId="33" fillId="13" borderId="25" xfId="81" applyNumberFormat="1" applyFont="1" applyFill="1" applyBorder="1" applyAlignment="1" applyProtection="1">
      <alignment horizontal="right"/>
    </xf>
    <xf numFmtId="172" fontId="33" fillId="13" borderId="26" xfId="81" applyNumberFormat="1" applyFont="1" applyFill="1" applyBorder="1" applyAlignment="1" applyProtection="1">
      <alignment horizontal="right"/>
    </xf>
    <xf numFmtId="172" fontId="33" fillId="13" borderId="27" xfId="81" applyNumberFormat="1" applyFont="1" applyFill="1" applyBorder="1" applyAlignment="1" applyProtection="1">
      <alignment horizontal="right"/>
    </xf>
    <xf numFmtId="172" fontId="33" fillId="13" borderId="10" xfId="81" applyNumberFormat="1" applyFont="1" applyFill="1" applyBorder="1" applyAlignment="1" applyProtection="1">
      <alignment horizontal="right"/>
    </xf>
    <xf numFmtId="172" fontId="33" fillId="13" borderId="28" xfId="81" applyNumberFormat="1" applyFont="1" applyFill="1" applyBorder="1" applyAlignment="1" applyProtection="1">
      <alignment horizontal="right"/>
    </xf>
    <xf numFmtId="172" fontId="33" fillId="13" borderId="29" xfId="81" applyNumberFormat="1" applyFont="1" applyFill="1" applyBorder="1" applyAlignment="1" applyProtection="1">
      <alignment horizontal="right"/>
    </xf>
    <xf numFmtId="49" fontId="8" fillId="36" borderId="29" xfId="237" applyNumberFormat="1" applyFont="1" applyFill="1" applyBorder="1" applyAlignment="1">
      <alignment horizontal="center" vertical="center" wrapText="1"/>
    </xf>
    <xf numFmtId="0" fontId="6" fillId="0" borderId="0" xfId="223" applyAlignment="1">
      <alignment horizontal="center" vertical="center"/>
    </xf>
    <xf numFmtId="49" fontId="31" fillId="36" borderId="15" xfId="237" applyNumberFormat="1" applyFont="1" applyFill="1" applyBorder="1" applyAlignment="1">
      <alignment horizontal="center" vertical="center"/>
    </xf>
    <xf numFmtId="0" fontId="4" fillId="40" borderId="0" xfId="237" applyFont="1" applyFill="1"/>
    <xf numFmtId="173" fontId="33" fillId="13" borderId="10" xfId="81" applyNumberFormat="1" applyFont="1" applyFill="1" applyBorder="1" applyAlignment="1" applyProtection="1">
      <alignment horizontal="right"/>
    </xf>
    <xf numFmtId="49" fontId="59" fillId="36" borderId="10" xfId="237" applyNumberFormat="1" applyFont="1" applyFill="1" applyBorder="1" applyAlignment="1">
      <alignment horizontal="center" vertical="center"/>
    </xf>
    <xf numFmtId="49" fontId="59" fillId="38" borderId="10" xfId="237" applyNumberFormat="1" applyFont="1" applyFill="1" applyBorder="1"/>
    <xf numFmtId="49" fontId="8" fillId="36" borderId="0" xfId="237" applyNumberFormat="1" applyFont="1" applyFill="1" applyAlignment="1">
      <alignment horizontal="left"/>
    </xf>
    <xf numFmtId="49" fontId="8" fillId="36" borderId="10" xfId="237" applyNumberFormat="1" applyFont="1" applyFill="1" applyBorder="1" applyAlignment="1">
      <alignment horizontal="left"/>
    </xf>
    <xf numFmtId="0" fontId="4" fillId="9" borderId="0" xfId="237" applyFont="1"/>
    <xf numFmtId="0" fontId="6" fillId="0" borderId="0" xfId="223"/>
    <xf numFmtId="0" fontId="6" fillId="9" borderId="0" xfId="237"/>
    <xf numFmtId="14" fontId="59" fillId="36" borderId="10" xfId="236" applyNumberFormat="1" applyFont="1" applyFill="1" applyBorder="1" applyAlignment="1">
      <alignment horizontal="right"/>
    </xf>
    <xf numFmtId="14" fontId="61" fillId="36" borderId="10" xfId="236" applyNumberFormat="1" applyFont="1" applyFill="1" applyBorder="1" applyAlignment="1">
      <alignment horizontal="right"/>
    </xf>
    <xf numFmtId="49" fontId="59" fillId="36" borderId="10" xfId="240" applyNumberFormat="1" applyFont="1" applyFill="1" applyBorder="1" applyAlignment="1">
      <alignment horizontal="left" vertical="center" wrapText="1"/>
    </xf>
    <xf numFmtId="0" fontId="67" fillId="0" borderId="0" xfId="0" applyFont="1"/>
    <xf numFmtId="0" fontId="0" fillId="0" borderId="0" xfId="0" applyAlignment="1">
      <alignment horizontal="left" vertical="center"/>
    </xf>
    <xf numFmtId="0" fontId="4" fillId="0" borderId="0" xfId="0" applyFont="1"/>
    <xf numFmtId="9" fontId="33" fillId="37" borderId="10" xfId="252" applyFont="1" applyFill="1" applyBorder="1" applyAlignment="1" applyProtection="1">
      <alignment horizontal="right"/>
      <protection locked="0"/>
    </xf>
    <xf numFmtId="10" fontId="33" fillId="37" borderId="10" xfId="252" applyNumberFormat="1" applyFont="1" applyFill="1" applyBorder="1" applyAlignment="1" applyProtection="1">
      <alignment horizontal="right"/>
      <protection locked="0"/>
    </xf>
    <xf numFmtId="49" fontId="31" fillId="36" borderId="0" xfId="237" applyNumberFormat="1" applyFont="1" applyFill="1" applyAlignment="1">
      <alignment horizontal="left" vertical="center" wrapText="1"/>
    </xf>
    <xf numFmtId="2" fontId="33" fillId="13" borderId="10" xfId="81" applyNumberFormat="1" applyFont="1" applyFill="1" applyBorder="1" applyAlignment="1" applyProtection="1">
      <alignment horizontal="right"/>
    </xf>
    <xf numFmtId="49" fontId="8" fillId="36" borderId="0" xfId="237" applyNumberFormat="1" applyFont="1" applyFill="1" applyAlignment="1">
      <alignment horizontal="left" vertical="center" wrapText="1"/>
    </xf>
    <xf numFmtId="0" fontId="30" fillId="9" borderId="0" xfId="235" applyFont="1" applyFill="1"/>
    <xf numFmtId="0" fontId="1" fillId="9" borderId="0" xfId="239"/>
    <xf numFmtId="0" fontId="2" fillId="9" borderId="0" xfId="239" applyFont="1"/>
    <xf numFmtId="166" fontId="4" fillId="9" borderId="0" xfId="239" applyNumberFormat="1" applyFont="1" applyAlignment="1">
      <alignment horizontal="left"/>
    </xf>
    <xf numFmtId="166" fontId="4" fillId="0" borderId="0" xfId="239" applyNumberFormat="1" applyFont="1" applyFill="1" applyAlignment="1">
      <alignment horizontal="left"/>
    </xf>
    <xf numFmtId="49" fontId="31" fillId="36" borderId="10" xfId="243" applyNumberFormat="1" applyFont="1" applyFill="1" applyBorder="1" applyAlignment="1">
      <alignment horizontal="left" vertical="center" wrapText="1"/>
    </xf>
    <xf numFmtId="0" fontId="68" fillId="0" borderId="0" xfId="0" applyFont="1" applyAlignment="1">
      <alignment vertical="center"/>
    </xf>
    <xf numFmtId="0" fontId="4" fillId="9" borderId="0" xfId="236" applyFont="1"/>
    <xf numFmtId="166" fontId="3" fillId="9" borderId="0" xfId="236" applyNumberFormat="1" applyFont="1" applyAlignment="1">
      <alignment horizontal="left"/>
    </xf>
    <xf numFmtId="0" fontId="69" fillId="0" borderId="0" xfId="0" applyFont="1"/>
    <xf numFmtId="49" fontId="8" fillId="36" borderId="28" xfId="237" applyNumberFormat="1" applyFont="1" applyFill="1" applyBorder="1" applyAlignment="1">
      <alignment horizontal="center" vertical="center" wrapText="1"/>
    </xf>
    <xf numFmtId="2" fontId="31" fillId="36" borderId="10" xfId="237" applyNumberFormat="1" applyFont="1" applyFill="1" applyBorder="1" applyAlignment="1">
      <alignment horizontal="center" vertical="center" wrapText="1"/>
    </xf>
    <xf numFmtId="49" fontId="31" fillId="36" borderId="30" xfId="242" applyNumberFormat="1" applyFont="1" applyFill="1" applyBorder="1" applyAlignment="1">
      <alignment horizontal="center" vertical="center" wrapText="1"/>
    </xf>
    <xf numFmtId="49" fontId="31" fillId="36" borderId="0" xfId="242" applyNumberFormat="1" applyFont="1" applyFill="1" applyAlignment="1">
      <alignment horizontal="center" vertical="center" wrapText="1"/>
    </xf>
    <xf numFmtId="0" fontId="1" fillId="9" borderId="0" xfId="234"/>
    <xf numFmtId="0" fontId="55" fillId="38" borderId="0" xfId="234" applyFont="1" applyFill="1" applyAlignment="1">
      <alignment vertical="center"/>
    </xf>
    <xf numFmtId="0" fontId="1" fillId="9" borderId="0" xfId="234" applyAlignment="1">
      <alignment horizontal="left" vertical="center"/>
    </xf>
    <xf numFmtId="0" fontId="70" fillId="36" borderId="0" xfId="234" applyFont="1" applyFill="1" applyAlignment="1">
      <alignment vertical="center"/>
    </xf>
    <xf numFmtId="0" fontId="71" fillId="36" borderId="0" xfId="234" applyFont="1" applyFill="1" applyAlignment="1">
      <alignment vertical="center"/>
    </xf>
    <xf numFmtId="0" fontId="61" fillId="36" borderId="0" xfId="234" applyFont="1" applyFill="1" applyAlignment="1">
      <alignment vertical="center"/>
    </xf>
    <xf numFmtId="0" fontId="3" fillId="9" borderId="0" xfId="234" applyFont="1"/>
    <xf numFmtId="0" fontId="44" fillId="9" borderId="0" xfId="234" applyFont="1" applyAlignment="1">
      <alignment horizontal="left" vertical="center"/>
    </xf>
    <xf numFmtId="0" fontId="72" fillId="36" borderId="17" xfId="234" applyFont="1" applyFill="1" applyBorder="1" applyAlignment="1">
      <alignment vertical="center"/>
    </xf>
    <xf numFmtId="0" fontId="72" fillId="36" borderId="0" xfId="234" applyFont="1" applyFill="1" applyAlignment="1">
      <alignment vertical="center"/>
    </xf>
    <xf numFmtId="0" fontId="72" fillId="38" borderId="0" xfId="234" applyFont="1" applyFill="1" applyAlignment="1">
      <alignment vertical="center"/>
    </xf>
    <xf numFmtId="0" fontId="72" fillId="38" borderId="18" xfId="234" applyFont="1" applyFill="1" applyBorder="1" applyAlignment="1">
      <alignment vertical="center"/>
    </xf>
    <xf numFmtId="2" fontId="4" fillId="9" borderId="0" xfId="234" applyNumberFormat="1" applyFont="1" applyAlignment="1">
      <alignment horizontal="left" vertical="center"/>
    </xf>
    <xf numFmtId="0" fontId="4" fillId="9" borderId="0" xfId="234" applyFont="1" applyAlignment="1">
      <alignment horizontal="left" vertical="center"/>
    </xf>
    <xf numFmtId="0" fontId="44" fillId="9" borderId="0" xfId="234" applyFont="1" applyAlignment="1">
      <alignment horizontal="right" vertical="center"/>
    </xf>
    <xf numFmtId="0" fontId="44" fillId="9" borderId="0" xfId="234" applyFont="1"/>
    <xf numFmtId="0" fontId="45" fillId="36" borderId="0" xfId="237" applyFont="1" applyFill="1"/>
    <xf numFmtId="0" fontId="45" fillId="36" borderId="0" xfId="237" applyFont="1" applyFill="1" applyAlignment="1">
      <alignment horizontal="right" indent="1"/>
    </xf>
    <xf numFmtId="0" fontId="44" fillId="36" borderId="0" xfId="237" applyFont="1" applyFill="1"/>
    <xf numFmtId="0" fontId="72" fillId="36" borderId="17" xfId="237" applyFont="1" applyFill="1" applyBorder="1" applyAlignment="1">
      <alignment horizontal="left" indent="1"/>
    </xf>
    <xf numFmtId="0" fontId="73" fillId="9" borderId="0" xfId="234" applyFont="1"/>
    <xf numFmtId="0" fontId="2" fillId="9" borderId="0" xfId="236" applyFont="1"/>
    <xf numFmtId="0" fontId="36" fillId="35" borderId="10" xfId="236" applyFont="1" applyFill="1" applyBorder="1"/>
    <xf numFmtId="0" fontId="4" fillId="0" borderId="0" xfId="238" applyFont="1" applyFill="1" applyAlignment="1">
      <alignment vertical="center"/>
    </xf>
    <xf numFmtId="166" fontId="3" fillId="9" borderId="0" xfId="237" applyNumberFormat="1" applyFont="1" applyAlignment="1">
      <alignment horizontal="left"/>
    </xf>
    <xf numFmtId="49" fontId="6" fillId="9" borderId="0" xfId="237" applyNumberFormat="1"/>
    <xf numFmtId="2" fontId="6" fillId="9" borderId="0" xfId="237" applyNumberFormat="1"/>
    <xf numFmtId="49" fontId="31" fillId="36" borderId="10" xfId="237" applyNumberFormat="1" applyFont="1" applyFill="1" applyBorder="1" applyAlignment="1">
      <alignment horizontal="center" vertical="center" wrapText="1"/>
    </xf>
    <xf numFmtId="166" fontId="8" fillId="36" borderId="10" xfId="237" applyNumberFormat="1" applyFont="1" applyFill="1" applyBorder="1" applyAlignment="1">
      <alignment horizontal="left"/>
    </xf>
    <xf numFmtId="0" fontId="8" fillId="36" borderId="10" xfId="237" applyFont="1" applyFill="1" applyBorder="1"/>
    <xf numFmtId="0" fontId="31" fillId="36" borderId="10" xfId="237" applyFont="1" applyFill="1" applyBorder="1"/>
    <xf numFmtId="49" fontId="31" fillId="38" borderId="10" xfId="237" applyNumberFormat="1" applyFont="1" applyFill="1" applyBorder="1"/>
    <xf numFmtId="0" fontId="61" fillId="36" borderId="10" xfId="237" applyFont="1" applyFill="1" applyBorder="1"/>
    <xf numFmtId="0" fontId="0" fillId="9" borderId="0" xfId="237" applyFont="1"/>
    <xf numFmtId="0" fontId="36" fillId="35" borderId="10" xfId="237" applyFont="1" applyFill="1" applyBorder="1"/>
    <xf numFmtId="0" fontId="1" fillId="9" borderId="0" xfId="239" applyAlignment="1">
      <alignment horizontal="center" vertical="center"/>
    </xf>
    <xf numFmtId="0" fontId="69" fillId="9" borderId="0" xfId="236" applyFont="1"/>
    <xf numFmtId="0" fontId="1" fillId="9" borderId="0" xfId="236" applyAlignment="1">
      <alignment horizontal="left" indent="1"/>
    </xf>
    <xf numFmtId="43" fontId="1" fillId="9" borderId="0" xfId="236" applyNumberFormat="1"/>
    <xf numFmtId="49" fontId="8" fillId="36" borderId="14" xfId="239" applyNumberFormat="1" applyFont="1" applyFill="1" applyBorder="1" applyAlignment="1">
      <alignment horizontal="center"/>
    </xf>
    <xf numFmtId="2" fontId="8" fillId="36" borderId="10" xfId="79" applyNumberFormat="1" applyFont="1" applyFill="1" applyBorder="1" applyAlignment="1" applyProtection="1">
      <alignment horizontal="center" wrapText="1"/>
    </xf>
    <xf numFmtId="0" fontId="0" fillId="9" borderId="0" xfId="239" applyFont="1"/>
    <xf numFmtId="0" fontId="74" fillId="37" borderId="10" xfId="0" applyFont="1" applyFill="1" applyBorder="1" applyAlignment="1" applyProtection="1">
      <alignment horizontal="right"/>
      <protection locked="0"/>
    </xf>
    <xf numFmtId="0" fontId="3" fillId="9" borderId="0" xfId="239" applyFont="1" applyAlignment="1">
      <alignment horizontal="right"/>
    </xf>
    <xf numFmtId="0" fontId="1" fillId="9" borderId="0" xfId="239" applyAlignment="1">
      <alignment horizontal="right"/>
    </xf>
    <xf numFmtId="0" fontId="31" fillId="38" borderId="15" xfId="239" applyFont="1" applyFill="1" applyBorder="1" applyAlignment="1">
      <alignment horizontal="left"/>
    </xf>
    <xf numFmtId="49" fontId="61" fillId="36" borderId="10" xfId="237" applyNumberFormat="1" applyFont="1" applyFill="1" applyBorder="1" applyAlignment="1">
      <alignment vertical="center" wrapText="1"/>
    </xf>
    <xf numFmtId="49" fontId="31" fillId="36" borderId="31" xfId="237" applyNumberFormat="1" applyFont="1" applyFill="1" applyBorder="1" applyAlignment="1">
      <alignment horizontal="left" vertical="center" wrapText="1"/>
    </xf>
    <xf numFmtId="0" fontId="6" fillId="0" borderId="0" xfId="223" applyAlignment="1">
      <alignment vertical="center" wrapText="1"/>
    </xf>
    <xf numFmtId="49" fontId="6" fillId="36" borderId="10" xfId="237" applyNumberFormat="1" applyFill="1" applyBorder="1" applyAlignment="1">
      <alignment horizontal="left"/>
    </xf>
    <xf numFmtId="49" fontId="31" fillId="13" borderId="15" xfId="239" applyNumberFormat="1" applyFont="1" applyFill="1" applyBorder="1" applyAlignment="1">
      <alignment horizontal="right"/>
    </xf>
    <xf numFmtId="49" fontId="62" fillId="36" borderId="10" xfId="237" applyNumberFormat="1" applyFont="1" applyFill="1" applyBorder="1" applyAlignment="1">
      <alignment horizontal="left"/>
    </xf>
    <xf numFmtId="49" fontId="31" fillId="36" borderId="10" xfId="237" quotePrefix="1" applyNumberFormat="1" applyFont="1" applyFill="1" applyBorder="1" applyAlignment="1">
      <alignment horizontal="center" vertical="center" wrapText="1"/>
    </xf>
    <xf numFmtId="49" fontId="62" fillId="36" borderId="10" xfId="242" applyNumberFormat="1" applyFont="1" applyFill="1" applyBorder="1" applyAlignment="1">
      <alignment horizontal="left"/>
    </xf>
    <xf numFmtId="49" fontId="59" fillId="36" borderId="10" xfId="242" applyNumberFormat="1" applyFont="1" applyFill="1" applyBorder="1" applyAlignment="1">
      <alignment horizontal="left"/>
    </xf>
    <xf numFmtId="41" fontId="8" fillId="36" borderId="15" xfId="237" applyNumberFormat="1" applyFont="1" applyFill="1" applyBorder="1" applyAlignment="1" applyProtection="1">
      <alignment horizontal="left" indent="1"/>
      <protection locked="0"/>
    </xf>
    <xf numFmtId="174" fontId="3" fillId="13" borderId="10" xfId="81" applyNumberFormat="1" applyFont="1" applyFill="1" applyBorder="1" applyAlignment="1" applyProtection="1">
      <alignment horizontal="right"/>
    </xf>
    <xf numFmtId="0" fontId="61" fillId="36" borderId="42" xfId="0" applyFont="1" applyFill="1" applyBorder="1"/>
    <xf numFmtId="0" fontId="61" fillId="36" borderId="0" xfId="0" applyFont="1" applyFill="1" applyAlignment="1">
      <alignment horizontal="center"/>
    </xf>
    <xf numFmtId="0" fontId="61" fillId="36" borderId="0" xfId="0" applyFont="1" applyFill="1"/>
    <xf numFmtId="0" fontId="61" fillId="36" borderId="43" xfId="0" applyFont="1" applyFill="1" applyBorder="1"/>
    <xf numFmtId="14" fontId="0" fillId="0" borderId="0" xfId="0" applyNumberFormat="1"/>
    <xf numFmtId="0" fontId="0" fillId="42" borderId="0" xfId="0" applyFill="1"/>
    <xf numFmtId="0" fontId="50" fillId="0" borderId="0" xfId="0" applyFont="1" applyAlignment="1">
      <alignment horizontal="center" vertical="top" wrapText="1"/>
    </xf>
    <xf numFmtId="0" fontId="77" fillId="44" borderId="0" xfId="0" applyFont="1" applyFill="1" applyAlignment="1">
      <alignment horizontal="left" vertical="top"/>
    </xf>
    <xf numFmtId="0" fontId="51" fillId="0" borderId="0" xfId="0" applyFont="1"/>
    <xf numFmtId="0" fontId="78" fillId="0" borderId="0" xfId="0" applyFont="1" applyAlignment="1">
      <alignment vertical="top"/>
    </xf>
    <xf numFmtId="0" fontId="76" fillId="0" borderId="0" xfId="0" applyFont="1" applyAlignment="1">
      <alignment vertical="top"/>
    </xf>
    <xf numFmtId="0" fontId="78" fillId="0" borderId="0" xfId="0" applyFont="1" applyAlignment="1">
      <alignment horizontal="center" vertical="top"/>
    </xf>
    <xf numFmtId="0" fontId="78" fillId="0" borderId="0" xfId="0" applyFont="1" applyAlignment="1">
      <alignment horizontal="center" vertical="top" wrapText="1"/>
    </xf>
    <xf numFmtId="0" fontId="52" fillId="0" borderId="0" xfId="0" applyFont="1" applyAlignment="1">
      <alignment horizontal="center"/>
    </xf>
    <xf numFmtId="175" fontId="76" fillId="0" borderId="0" xfId="0" applyNumberFormat="1" applyFont="1" applyAlignment="1">
      <alignment horizontal="right" vertical="top"/>
    </xf>
    <xf numFmtId="4" fontId="51" fillId="0" borderId="0" xfId="0" applyNumberFormat="1" applyFont="1"/>
    <xf numFmtId="0" fontId="53" fillId="0" borderId="0" xfId="0" applyFont="1"/>
    <xf numFmtId="3" fontId="53" fillId="0" borderId="0" xfId="0" applyNumberFormat="1" applyFont="1"/>
    <xf numFmtId="0" fontId="53" fillId="0" borderId="44" xfId="0" applyFont="1" applyBorder="1"/>
    <xf numFmtId="3" fontId="53" fillId="0" borderId="44" xfId="0" applyNumberFormat="1" applyFont="1" applyBorder="1"/>
    <xf numFmtId="0" fontId="53" fillId="0" borderId="45" xfId="0" applyFont="1" applyBorder="1"/>
    <xf numFmtId="3" fontId="53" fillId="0" borderId="45" xfId="0" applyNumberFormat="1" applyFont="1" applyBorder="1"/>
    <xf numFmtId="0" fontId="79" fillId="0" borderId="0" xfId="0" applyFont="1"/>
    <xf numFmtId="3" fontId="79" fillId="43" borderId="0" xfId="0" applyNumberFormat="1" applyFont="1" applyFill="1"/>
    <xf numFmtId="0" fontId="52" fillId="0" borderId="44" xfId="0" applyFont="1" applyBorder="1"/>
    <xf numFmtId="3" fontId="52" fillId="0" borderId="44" xfId="0" applyNumberFormat="1" applyFont="1" applyBorder="1"/>
    <xf numFmtId="49" fontId="6" fillId="37" borderId="10" xfId="237" quotePrefix="1" applyNumberFormat="1" applyFill="1" applyBorder="1" applyAlignment="1" applyProtection="1">
      <alignment horizontal="center" vertical="center" wrapText="1"/>
      <protection locked="0"/>
    </xf>
    <xf numFmtId="49" fontId="6" fillId="37" borderId="10" xfId="241" applyNumberFormat="1" applyFill="1" applyBorder="1" applyAlignment="1" applyProtection="1">
      <alignment horizontal="center"/>
      <protection locked="0"/>
    </xf>
    <xf numFmtId="49" fontId="6" fillId="36" borderId="10" xfId="237" applyNumberFormat="1" applyFill="1" applyBorder="1" applyAlignment="1">
      <alignment horizontal="center"/>
    </xf>
    <xf numFmtId="49" fontId="1" fillId="37" borderId="10" xfId="242" applyNumberFormat="1" applyFill="1" applyBorder="1" applyAlignment="1" applyProtection="1">
      <alignment horizontal="center"/>
      <protection locked="0"/>
    </xf>
    <xf numFmtId="49" fontId="1" fillId="37" borderId="10" xfId="242" applyNumberFormat="1" applyFill="1" applyBorder="1" applyAlignment="1" applyProtection="1">
      <alignment horizontal="center" vertical="top"/>
      <protection locked="0"/>
    </xf>
    <xf numFmtId="168" fontId="6" fillId="37" borderId="10" xfId="241" applyNumberFormat="1" applyFill="1" applyBorder="1" applyAlignment="1" applyProtection="1">
      <alignment horizontal="center"/>
      <protection locked="0"/>
    </xf>
    <xf numFmtId="0" fontId="6" fillId="37" borderId="10" xfId="241" applyFill="1" applyBorder="1" applyAlignment="1" applyProtection="1">
      <alignment horizontal="center"/>
      <protection locked="0"/>
    </xf>
    <xf numFmtId="49" fontId="6" fillId="37" borderId="10" xfId="237" applyNumberFormat="1" applyFill="1" applyBorder="1" applyAlignment="1" applyProtection="1">
      <alignment horizontal="center"/>
      <protection locked="0"/>
    </xf>
    <xf numFmtId="0" fontId="1" fillId="0" borderId="0" xfId="0" applyFont="1"/>
    <xf numFmtId="49" fontId="1" fillId="9" borderId="0" xfId="239" applyNumberFormat="1"/>
    <xf numFmtId="164" fontId="1" fillId="9" borderId="0" xfId="236" applyNumberFormat="1" applyAlignment="1">
      <alignment horizontal="center"/>
    </xf>
    <xf numFmtId="164" fontId="1" fillId="9" borderId="0" xfId="236" applyNumberFormat="1"/>
    <xf numFmtId="39" fontId="1" fillId="9" borderId="0" xfId="236" applyNumberFormat="1"/>
    <xf numFmtId="0" fontId="1" fillId="37" borderId="16" xfId="236" applyFill="1" applyBorder="1" applyAlignment="1" applyProtection="1">
      <alignment horizontal="right"/>
      <protection locked="0"/>
    </xf>
    <xf numFmtId="2" fontId="1" fillId="37" borderId="16" xfId="236" applyNumberFormat="1" applyFill="1" applyBorder="1" applyAlignment="1" applyProtection="1">
      <alignment horizontal="right"/>
      <protection locked="0"/>
    </xf>
    <xf numFmtId="166" fontId="1" fillId="37" borderId="16" xfId="236" applyNumberFormat="1" applyFill="1" applyBorder="1" applyAlignment="1" applyProtection="1">
      <alignment horizontal="right"/>
      <protection locked="0"/>
    </xf>
    <xf numFmtId="14" fontId="1" fillId="37" borderId="16" xfId="236" applyNumberFormat="1" applyFill="1" applyBorder="1" applyAlignment="1" applyProtection="1">
      <alignment horizontal="right"/>
      <protection locked="0"/>
    </xf>
    <xf numFmtId="164" fontId="1" fillId="37" borderId="16" xfId="236" applyNumberFormat="1" applyFill="1" applyBorder="1" applyAlignment="1" applyProtection="1">
      <alignment horizontal="right"/>
      <protection locked="0"/>
    </xf>
    <xf numFmtId="166" fontId="1" fillId="37" borderId="10" xfId="236" applyNumberFormat="1" applyFill="1" applyBorder="1" applyAlignment="1" applyProtection="1">
      <alignment horizontal="center"/>
      <protection locked="0"/>
    </xf>
    <xf numFmtId="166" fontId="1" fillId="37" borderId="10" xfId="236" applyNumberFormat="1" applyFill="1" applyBorder="1" applyAlignment="1" applyProtection="1">
      <alignment horizontal="left" indent="1"/>
      <protection locked="0"/>
    </xf>
    <xf numFmtId="166" fontId="1" fillId="37" borderId="16" xfId="236" applyNumberFormat="1" applyFill="1" applyBorder="1" applyAlignment="1" applyProtection="1">
      <alignment horizontal="center"/>
      <protection locked="0"/>
    </xf>
    <xf numFmtId="0" fontId="1" fillId="42" borderId="0" xfId="236" applyFill="1"/>
    <xf numFmtId="0" fontId="1" fillId="37" borderId="10" xfId="81" applyNumberFormat="1" applyFont="1" applyFill="1" applyBorder="1" applyAlignment="1" applyProtection="1">
      <alignment horizontal="center"/>
    </xf>
    <xf numFmtId="0" fontId="1" fillId="37" borderId="10" xfId="81" applyNumberFormat="1" applyFont="1" applyFill="1" applyBorder="1" applyAlignment="1" applyProtection="1">
      <alignment horizontal="right"/>
    </xf>
    <xf numFmtId="49" fontId="1" fillId="9" borderId="0" xfId="236" applyNumberFormat="1"/>
    <xf numFmtId="164" fontId="1" fillId="37" borderId="10" xfId="79" applyNumberFormat="1" applyFont="1" applyFill="1" applyBorder="1" applyAlignment="1" applyProtection="1">
      <alignment horizontal="right"/>
      <protection locked="0"/>
    </xf>
    <xf numFmtId="164" fontId="1" fillId="39" borderId="10" xfId="79" applyNumberFormat="1" applyFont="1" applyFill="1" applyBorder="1" applyAlignment="1" applyProtection="1">
      <alignment horizontal="right"/>
    </xf>
    <xf numFmtId="49" fontId="1" fillId="37" borderId="10" xfId="81" applyNumberFormat="1" applyFont="1" applyFill="1" applyBorder="1" applyAlignment="1" applyProtection="1">
      <alignment horizontal="center"/>
      <protection locked="0"/>
    </xf>
    <xf numFmtId="49" fontId="1" fillId="37" borderId="10" xfId="81" applyNumberFormat="1" applyFont="1" applyFill="1" applyBorder="1" applyAlignment="1" applyProtection="1">
      <alignment horizontal="right"/>
      <protection locked="0"/>
    </xf>
    <xf numFmtId="49" fontId="1" fillId="37" borderId="10" xfId="79" applyNumberFormat="1" applyFont="1" applyFill="1" applyBorder="1" applyAlignment="1" applyProtection="1">
      <alignment horizontal="right"/>
      <protection locked="0"/>
    </xf>
    <xf numFmtId="10" fontId="1" fillId="37" borderId="10" xfId="239" applyNumberFormat="1" applyFill="1" applyBorder="1" applyAlignment="1" applyProtection="1">
      <alignment horizontal="right"/>
      <protection locked="0"/>
    </xf>
    <xf numFmtId="164" fontId="1" fillId="39" borderId="10" xfId="81" applyNumberFormat="1" applyFont="1" applyFill="1" applyBorder="1" applyAlignment="1" applyProtection="1">
      <alignment horizontal="right"/>
    </xf>
    <xf numFmtId="164" fontId="1" fillId="13" borderId="10" xfId="81" applyNumberFormat="1" applyFont="1" applyFill="1" applyBorder="1" applyAlignment="1" applyProtection="1">
      <alignment horizontal="right"/>
    </xf>
    <xf numFmtId="166" fontId="1" fillId="37" borderId="10" xfId="236" applyNumberFormat="1" applyFill="1" applyBorder="1" applyAlignment="1" applyProtection="1">
      <alignment horizontal="right"/>
      <protection locked="0"/>
    </xf>
    <xf numFmtId="164" fontId="1" fillId="9" borderId="0" xfId="239" applyNumberFormat="1"/>
    <xf numFmtId="0" fontId="1" fillId="37" borderId="10" xfId="239" applyFill="1" applyBorder="1" applyProtection="1">
      <protection locked="0"/>
    </xf>
    <xf numFmtId="164" fontId="1" fillId="37" borderId="10" xfId="239" applyNumberFormat="1" applyFill="1" applyBorder="1" applyAlignment="1" applyProtection="1">
      <alignment horizontal="right"/>
      <protection locked="0"/>
    </xf>
    <xf numFmtId="164" fontId="1" fillId="13" borderId="10" xfId="79" applyNumberFormat="1" applyFont="1" applyFill="1" applyBorder="1" applyAlignment="1" applyProtection="1">
      <alignment horizontal="right"/>
    </xf>
    <xf numFmtId="49" fontId="1" fillId="37" borderId="10" xfId="239" applyNumberFormat="1" applyFill="1" applyBorder="1" applyProtection="1">
      <protection locked="0"/>
    </xf>
    <xf numFmtId="0" fontId="1" fillId="37" borderId="10" xfId="239" applyFill="1" applyBorder="1" applyAlignment="1" applyProtection="1">
      <alignment horizontal="left" vertical="center"/>
      <protection locked="0"/>
    </xf>
    <xf numFmtId="164" fontId="1" fillId="40" borderId="10" xfId="239" applyNumberFormat="1" applyFill="1" applyBorder="1" applyAlignment="1">
      <alignment horizontal="right"/>
    </xf>
    <xf numFmtId="10" fontId="1" fillId="40" borderId="10" xfId="239" applyNumberFormat="1" applyFill="1" applyBorder="1" applyAlignment="1">
      <alignment horizontal="right"/>
    </xf>
    <xf numFmtId="10" fontId="1" fillId="13" borderId="10" xfId="79" applyNumberFormat="1" applyFont="1" applyFill="1" applyBorder="1" applyAlignment="1" applyProtection="1">
      <alignment horizontal="right"/>
    </xf>
    <xf numFmtId="0" fontId="1" fillId="42" borderId="0" xfId="238" applyFill="1" applyAlignment="1">
      <alignment vertical="center"/>
    </xf>
    <xf numFmtId="164" fontId="1" fillId="36" borderId="10" xfId="79" applyNumberFormat="1" applyFont="1" applyFill="1" applyBorder="1" applyAlignment="1" applyProtection="1">
      <alignment horizontal="right"/>
    </xf>
    <xf numFmtId="164" fontId="1" fillId="37" borderId="10" xfId="79" applyNumberFormat="1" applyFont="1" applyFill="1" applyBorder="1" applyAlignment="1" applyProtection="1">
      <alignment horizontal="right" indent="1"/>
      <protection locked="0"/>
    </xf>
    <xf numFmtId="164" fontId="1" fillId="37" borderId="10" xfId="79" applyNumberFormat="1" applyFont="1" applyFill="1" applyBorder="1" applyAlignment="1" applyProtection="1">
      <protection locked="0"/>
    </xf>
    <xf numFmtId="168" fontId="1" fillId="35" borderId="10" xfId="239" applyNumberFormat="1" applyFill="1" applyBorder="1"/>
    <xf numFmtId="14" fontId="1" fillId="37" borderId="10" xfId="239" quotePrefix="1" applyNumberFormat="1" applyFill="1" applyBorder="1" applyAlignment="1" applyProtection="1">
      <alignment horizontal="center"/>
      <protection locked="0"/>
    </xf>
    <xf numFmtId="168" fontId="1" fillId="37" borderId="10" xfId="239" applyNumberFormat="1" applyFill="1" applyBorder="1" applyAlignment="1" applyProtection="1">
      <alignment horizontal="center" vertical="center"/>
      <protection locked="0"/>
    </xf>
    <xf numFmtId="168" fontId="1" fillId="37" borderId="10" xfId="239" applyNumberFormat="1" applyFill="1" applyBorder="1" applyAlignment="1" applyProtection="1">
      <alignment horizontal="center" vertical="center" wrapText="1"/>
      <protection locked="0"/>
    </xf>
    <xf numFmtId="14" fontId="1" fillId="37" borderId="10" xfId="239" applyNumberFormat="1" applyFill="1" applyBorder="1" applyAlignment="1" applyProtection="1">
      <alignment horizontal="center"/>
      <protection locked="0"/>
    </xf>
    <xf numFmtId="168" fontId="1" fillId="37" borderId="10" xfId="239" applyNumberFormat="1" applyFill="1" applyBorder="1" applyProtection="1">
      <protection locked="0"/>
    </xf>
    <xf numFmtId="166" fontId="1" fillId="37" borderId="10" xfId="242" applyNumberFormat="1" applyFill="1" applyBorder="1" applyAlignment="1" applyProtection="1">
      <alignment horizontal="right"/>
      <protection locked="0"/>
    </xf>
    <xf numFmtId="169" fontId="1" fillId="37" borderId="16" xfId="236" applyNumberFormat="1" applyFill="1" applyBorder="1" applyAlignment="1" applyProtection="1">
      <alignment horizontal="right"/>
      <protection locked="0"/>
    </xf>
    <xf numFmtId="169" fontId="1" fillId="37" borderId="10" xfId="242" applyNumberFormat="1" applyFill="1" applyBorder="1" applyAlignment="1" applyProtection="1">
      <alignment horizontal="center"/>
      <protection locked="0"/>
    </xf>
    <xf numFmtId="1" fontId="1" fillId="37" borderId="10" xfId="242" applyNumberFormat="1" applyFill="1" applyBorder="1" applyAlignment="1" applyProtection="1">
      <alignment horizontal="center"/>
      <protection locked="0"/>
    </xf>
    <xf numFmtId="164" fontId="1" fillId="37" borderId="10" xfId="242" applyNumberFormat="1" applyFill="1" applyBorder="1" applyAlignment="1" applyProtection="1">
      <alignment horizontal="right"/>
      <protection locked="0"/>
    </xf>
    <xf numFmtId="164" fontId="1" fillId="35" borderId="10" xfId="79" applyNumberFormat="1" applyFont="1" applyFill="1" applyBorder="1" applyAlignment="1" applyProtection="1">
      <alignment horizontal="right"/>
    </xf>
    <xf numFmtId="49" fontId="1" fillId="37" borderId="10" xfId="242" applyNumberFormat="1" applyFill="1" applyBorder="1" applyAlignment="1" applyProtection="1">
      <alignment horizontal="right"/>
      <protection locked="0"/>
    </xf>
    <xf numFmtId="169" fontId="1" fillId="37" borderId="10" xfId="242" applyNumberFormat="1" applyFill="1" applyBorder="1" applyAlignment="1" applyProtection="1">
      <alignment horizontal="right"/>
      <protection locked="0"/>
    </xf>
    <xf numFmtId="1" fontId="1" fillId="37" borderId="10" xfId="242" applyNumberFormat="1" applyFill="1" applyBorder="1" applyAlignment="1" applyProtection="1">
      <alignment horizontal="right"/>
      <protection locked="0"/>
    </xf>
    <xf numFmtId="49" fontId="1" fillId="13" borderId="10" xfId="242" applyNumberFormat="1" applyFill="1" applyBorder="1" applyAlignment="1">
      <alignment horizontal="right"/>
    </xf>
    <xf numFmtId="0" fontId="1" fillId="37" borderId="10" xfId="242" applyFill="1" applyBorder="1" applyAlignment="1" applyProtection="1">
      <alignment horizontal="right"/>
      <protection locked="0"/>
    </xf>
    <xf numFmtId="169" fontId="1" fillId="37" borderId="10" xfId="242" quotePrefix="1" applyNumberFormat="1" applyFill="1" applyBorder="1" applyAlignment="1" applyProtection="1">
      <alignment horizontal="center"/>
      <protection locked="0"/>
    </xf>
    <xf numFmtId="166" fontId="1" fillId="13" borderId="10" xfId="242" applyNumberFormat="1" applyFill="1" applyBorder="1" applyAlignment="1">
      <alignment horizontal="right"/>
    </xf>
    <xf numFmtId="49" fontId="1" fillId="37" borderId="10" xfId="242" applyNumberFormat="1" applyFill="1" applyBorder="1" applyAlignment="1" applyProtection="1">
      <alignment vertical="top"/>
      <protection locked="0"/>
    </xf>
    <xf numFmtId="10" fontId="1" fillId="37" borderId="10" xfId="79" applyNumberFormat="1" applyFont="1" applyFill="1" applyBorder="1" applyAlignment="1" applyProtection="1">
      <alignment horizontal="right"/>
      <protection locked="0"/>
    </xf>
    <xf numFmtId="14" fontId="1" fillId="39" borderId="16" xfId="236" applyNumberFormat="1" applyFill="1" applyBorder="1" applyAlignment="1">
      <alignment horizontal="center"/>
    </xf>
    <xf numFmtId="168" fontId="1" fillId="37" borderId="10" xfId="239" applyNumberFormat="1" applyFill="1" applyBorder="1" applyAlignment="1" applyProtection="1">
      <alignment horizontal="left" wrapText="1"/>
      <protection locked="0"/>
    </xf>
    <xf numFmtId="14" fontId="1" fillId="37" borderId="10" xfId="239" quotePrefix="1" applyNumberFormat="1" applyFill="1" applyBorder="1" applyProtection="1">
      <protection locked="0"/>
    </xf>
    <xf numFmtId="14" fontId="1" fillId="37" borderId="10" xfId="239" applyNumberFormat="1" applyFill="1" applyBorder="1" applyProtection="1">
      <protection locked="0"/>
    </xf>
    <xf numFmtId="164" fontId="1" fillId="39" borderId="10" xfId="239" applyNumberFormat="1" applyFill="1" applyBorder="1" applyAlignment="1">
      <alignment horizontal="right"/>
    </xf>
    <xf numFmtId="0" fontId="1" fillId="37" borderId="10" xfId="239" applyFill="1" applyBorder="1" applyAlignment="1" applyProtection="1">
      <alignment horizontal="left" wrapText="1"/>
      <protection locked="0"/>
    </xf>
    <xf numFmtId="0" fontId="1" fillId="37" borderId="16" xfId="236" applyFill="1" applyBorder="1" applyAlignment="1" applyProtection="1">
      <alignment horizontal="center"/>
      <protection locked="0"/>
    </xf>
    <xf numFmtId="0" fontId="1" fillId="37" borderId="10" xfId="236" applyFill="1" applyBorder="1" applyAlignment="1" applyProtection="1">
      <alignment horizontal="center"/>
      <protection locked="0"/>
    </xf>
    <xf numFmtId="49" fontId="1" fillId="37" borderId="10" xfId="236" applyNumberFormat="1" applyFill="1" applyBorder="1" applyAlignment="1" applyProtection="1">
      <alignment horizontal="center"/>
      <protection locked="0"/>
    </xf>
    <xf numFmtId="164" fontId="1" fillId="37" borderId="10" xfId="239" applyNumberFormat="1" applyFill="1" applyBorder="1" applyProtection="1">
      <protection locked="0"/>
    </xf>
    <xf numFmtId="170" fontId="1" fillId="13" borderId="10" xfId="81" applyNumberFormat="1" applyFont="1" applyFill="1" applyBorder="1" applyAlignment="1" applyProtection="1">
      <alignment horizontal="right"/>
    </xf>
    <xf numFmtId="10" fontId="1" fillId="39" borderId="10" xfId="81" applyNumberFormat="1" applyFont="1" applyFill="1" applyBorder="1" applyAlignment="1" applyProtection="1">
      <alignment horizontal="right"/>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vertical="center" wrapText="1"/>
    </xf>
    <xf numFmtId="14" fontId="1" fillId="0" borderId="0" xfId="0" applyNumberFormat="1" applyFont="1" applyAlignment="1">
      <alignment vertical="center"/>
    </xf>
    <xf numFmtId="0" fontId="1" fillId="0" borderId="0" xfId="0" applyFont="1" applyAlignment="1">
      <alignment wrapText="1"/>
    </xf>
    <xf numFmtId="0" fontId="1" fillId="37" borderId="10" xfId="242" applyFill="1" applyBorder="1" applyAlignment="1" applyProtection="1">
      <alignment horizontal="center"/>
      <protection locked="0"/>
    </xf>
    <xf numFmtId="49" fontId="6" fillId="37" borderId="10" xfId="241" applyNumberFormat="1" applyFill="1" applyBorder="1" applyProtection="1">
      <protection locked="0"/>
    </xf>
    <xf numFmtId="49" fontId="1" fillId="37" borderId="10" xfId="239" applyNumberFormat="1" applyFill="1" applyBorder="1" applyAlignment="1" applyProtection="1">
      <alignment horizontal="center"/>
      <protection locked="0"/>
    </xf>
    <xf numFmtId="1" fontId="1" fillId="37" borderId="16" xfId="236" applyNumberFormat="1" applyFill="1" applyBorder="1" applyAlignment="1" applyProtection="1">
      <alignment horizontal="right" wrapText="1"/>
      <protection locked="0"/>
    </xf>
    <xf numFmtId="0" fontId="44" fillId="37" borderId="15" xfId="237" applyFont="1" applyFill="1" applyBorder="1" applyAlignment="1" applyProtection="1">
      <alignment horizontal="right" vertical="center"/>
      <protection locked="0"/>
    </xf>
    <xf numFmtId="0" fontId="44" fillId="37" borderId="32" xfId="237" applyFont="1" applyFill="1" applyBorder="1" applyAlignment="1" applyProtection="1">
      <alignment horizontal="right" vertical="center"/>
      <protection locked="0"/>
    </xf>
    <xf numFmtId="0" fontId="44" fillId="37" borderId="16" xfId="237" applyFont="1" applyFill="1" applyBorder="1" applyAlignment="1" applyProtection="1">
      <alignment horizontal="right" vertical="center"/>
      <protection locked="0"/>
    </xf>
    <xf numFmtId="0" fontId="80" fillId="36" borderId="19" xfId="237" applyFont="1" applyFill="1" applyBorder="1" applyAlignment="1">
      <alignment horizontal="center"/>
    </xf>
    <xf numFmtId="0" fontId="80" fillId="36" borderId="20" xfId="237" applyFont="1" applyFill="1" applyBorder="1" applyAlignment="1">
      <alignment horizontal="center"/>
    </xf>
    <xf numFmtId="0" fontId="80" fillId="36" borderId="21" xfId="237" applyFont="1" applyFill="1" applyBorder="1" applyAlignment="1">
      <alignment horizontal="center"/>
    </xf>
    <xf numFmtId="0" fontId="72" fillId="36" borderId="17" xfId="237" applyFont="1" applyFill="1" applyBorder="1" applyAlignment="1">
      <alignment horizontal="left" vertical="top"/>
    </xf>
    <xf numFmtId="49" fontId="4" fillId="37" borderId="32" xfId="234" applyNumberFormat="1" applyFont="1" applyFill="1" applyBorder="1" applyAlignment="1" applyProtection="1">
      <alignment horizontal="right" vertical="center"/>
      <protection locked="0"/>
    </xf>
    <xf numFmtId="49" fontId="44" fillId="37" borderId="32" xfId="233" applyNumberFormat="1" applyFont="1" applyFill="1" applyBorder="1" applyAlignment="1" applyProtection="1">
      <alignment horizontal="right" vertical="center"/>
      <protection locked="0"/>
    </xf>
    <xf numFmtId="49" fontId="44" fillId="37" borderId="16" xfId="233" applyNumberFormat="1" applyFont="1" applyFill="1" applyBorder="1" applyAlignment="1" applyProtection="1">
      <alignment horizontal="right" vertical="center"/>
      <protection locked="0"/>
    </xf>
    <xf numFmtId="0" fontId="72" fillId="36" borderId="30" xfId="234" applyFont="1" applyFill="1" applyBorder="1" applyAlignment="1">
      <alignment horizontal="left" vertical="center" wrapText="1"/>
    </xf>
    <xf numFmtId="0" fontId="72" fillId="36" borderId="0" xfId="234" applyFont="1" applyFill="1" applyAlignment="1">
      <alignment horizontal="left" vertical="center" wrapText="1"/>
    </xf>
    <xf numFmtId="0" fontId="72" fillId="36" borderId="15" xfId="234" applyFont="1" applyFill="1" applyBorder="1" applyAlignment="1">
      <alignment horizontal="left" vertical="center"/>
    </xf>
    <xf numFmtId="0" fontId="72" fillId="36" borderId="16" xfId="234" applyFont="1" applyFill="1" applyBorder="1" applyAlignment="1">
      <alignment horizontal="left" vertical="center"/>
    </xf>
    <xf numFmtId="14" fontId="4" fillId="37" borderId="32" xfId="234" applyNumberFormat="1" applyFont="1" applyFill="1" applyBorder="1" applyAlignment="1" applyProtection="1">
      <alignment horizontal="right" vertical="center"/>
      <protection locked="0"/>
    </xf>
    <xf numFmtId="14" fontId="44" fillId="37" borderId="32" xfId="233" applyNumberFormat="1" applyFont="1" applyFill="1" applyBorder="1" applyAlignment="1" applyProtection="1">
      <alignment horizontal="right" vertical="center"/>
      <protection locked="0"/>
    </xf>
    <xf numFmtId="14" fontId="44" fillId="37" borderId="16" xfId="233" applyNumberFormat="1" applyFont="1" applyFill="1" applyBorder="1" applyAlignment="1" applyProtection="1">
      <alignment horizontal="right" vertical="center"/>
      <protection locked="0"/>
    </xf>
    <xf numFmtId="0" fontId="4" fillId="37" borderId="10" xfId="234" applyFont="1" applyFill="1" applyBorder="1" applyAlignment="1" applyProtection="1">
      <alignment horizontal="right" vertical="center"/>
      <protection locked="0"/>
    </xf>
    <xf numFmtId="0" fontId="44" fillId="37" borderId="10" xfId="234" applyFont="1" applyFill="1" applyBorder="1" applyAlignment="1" applyProtection="1">
      <alignment horizontal="right" vertical="center"/>
      <protection locked="0"/>
    </xf>
    <xf numFmtId="0" fontId="72" fillId="36" borderId="32" xfId="234" applyFont="1" applyFill="1" applyBorder="1" applyAlignment="1">
      <alignment horizontal="left" vertical="center"/>
    </xf>
    <xf numFmtId="0" fontId="4" fillId="37" borderId="32" xfId="234" applyFont="1" applyFill="1" applyBorder="1" applyAlignment="1" applyProtection="1">
      <alignment horizontal="right" vertical="center"/>
      <protection locked="0"/>
    </xf>
    <xf numFmtId="0" fontId="44" fillId="37" borderId="32" xfId="233" applyFont="1" applyFill="1" applyBorder="1" applyAlignment="1" applyProtection="1">
      <alignment horizontal="right" vertical="center"/>
      <protection locked="0"/>
    </xf>
    <xf numFmtId="0" fontId="44" fillId="37" borderId="16" xfId="233" applyFont="1" applyFill="1" applyBorder="1" applyAlignment="1" applyProtection="1">
      <alignment horizontal="right" vertical="center"/>
      <protection locked="0"/>
    </xf>
    <xf numFmtId="0" fontId="72" fillId="36" borderId="0" xfId="234" applyFont="1" applyFill="1" applyAlignment="1">
      <alignment horizontal="left" vertical="center"/>
    </xf>
    <xf numFmtId="0" fontId="45" fillId="36" borderId="0" xfId="237" applyFont="1" applyFill="1" applyAlignment="1">
      <alignment horizontal="right" indent="1"/>
    </xf>
    <xf numFmtId="0" fontId="45" fillId="36" borderId="31" xfId="237" applyFont="1" applyFill="1" applyBorder="1" applyAlignment="1">
      <alignment horizontal="right" indent="1"/>
    </xf>
    <xf numFmtId="0" fontId="80" fillId="36" borderId="22" xfId="237" applyFont="1" applyFill="1" applyBorder="1" applyAlignment="1">
      <alignment horizontal="center"/>
    </xf>
    <xf numFmtId="0" fontId="80" fillId="36" borderId="23" xfId="237" applyFont="1" applyFill="1" applyBorder="1" applyAlignment="1">
      <alignment horizontal="center"/>
    </xf>
    <xf numFmtId="0" fontId="80" fillId="36" borderId="24" xfId="237" applyFont="1" applyFill="1" applyBorder="1" applyAlignment="1">
      <alignment horizontal="center"/>
    </xf>
    <xf numFmtId="0" fontId="72" fillId="36" borderId="22" xfId="237" applyFont="1" applyFill="1" applyBorder="1" applyAlignment="1">
      <alignment horizontal="left" vertical="top"/>
    </xf>
    <xf numFmtId="0" fontId="80" fillId="36" borderId="23" xfId="237" applyFont="1" applyFill="1" applyBorder="1" applyAlignment="1">
      <alignment horizontal="center" vertical="center"/>
    </xf>
    <xf numFmtId="0" fontId="80" fillId="36" borderId="24" xfId="237" applyFont="1" applyFill="1" applyBorder="1" applyAlignment="1">
      <alignment horizontal="center" vertical="center"/>
    </xf>
    <xf numFmtId="0" fontId="45" fillId="36" borderId="18" xfId="237" applyFont="1" applyFill="1" applyBorder="1" applyAlignment="1">
      <alignment horizontal="center"/>
    </xf>
    <xf numFmtId="0" fontId="45" fillId="36" borderId="0" xfId="237" applyFont="1" applyFill="1" applyAlignment="1">
      <alignment horizontal="center"/>
    </xf>
    <xf numFmtId="0" fontId="44" fillId="37" borderId="10" xfId="237" applyFont="1" applyFill="1" applyBorder="1" applyAlignment="1" applyProtection="1">
      <alignment horizontal="right" vertical="center"/>
      <protection locked="0"/>
    </xf>
    <xf numFmtId="0" fontId="44" fillId="36" borderId="30" xfId="237" applyFont="1" applyFill="1" applyBorder="1" applyAlignment="1">
      <alignment horizontal="center"/>
    </xf>
    <xf numFmtId="0" fontId="44" fillId="36" borderId="18" xfId="237" applyFont="1" applyFill="1" applyBorder="1" applyAlignment="1">
      <alignment horizontal="center"/>
    </xf>
    <xf numFmtId="0" fontId="44" fillId="9" borderId="32" xfId="237" applyFont="1" applyBorder="1" applyAlignment="1" applyProtection="1">
      <alignment horizontal="right" vertical="center"/>
      <protection locked="0"/>
    </xf>
    <xf numFmtId="0" fontId="44" fillId="9" borderId="16" xfId="237" applyFont="1" applyBorder="1" applyAlignment="1" applyProtection="1">
      <alignment horizontal="right" vertical="center"/>
      <protection locked="0"/>
    </xf>
    <xf numFmtId="0" fontId="44" fillId="37" borderId="15" xfId="237" quotePrefix="1" applyFont="1" applyFill="1" applyBorder="1" applyAlignment="1" applyProtection="1">
      <alignment horizontal="right" vertical="center"/>
      <protection locked="0"/>
    </xf>
    <xf numFmtId="0" fontId="4" fillId="9" borderId="19" xfId="234" applyFont="1" applyBorder="1" applyAlignment="1">
      <alignment horizontal="left" vertical="center"/>
    </xf>
    <xf numFmtId="0" fontId="44" fillId="9" borderId="20" xfId="234" applyFont="1" applyBorder="1" applyAlignment="1">
      <alignment horizontal="left" vertical="center"/>
    </xf>
    <xf numFmtId="0" fontId="44" fillId="9" borderId="21" xfId="234" applyFont="1" applyBorder="1" applyAlignment="1">
      <alignment horizontal="left" vertical="center"/>
    </xf>
    <xf numFmtId="164" fontId="4" fillId="13" borderId="22" xfId="53" applyFont="1" applyBorder="1" applyAlignment="1">
      <alignment horizontal="left" vertical="center"/>
    </xf>
    <xf numFmtId="0" fontId="44" fillId="9" borderId="23" xfId="234" applyFont="1" applyBorder="1" applyAlignment="1">
      <alignment horizontal="left" vertical="center"/>
    </xf>
    <xf numFmtId="0" fontId="44" fillId="9" borderId="24" xfId="234" applyFont="1" applyBorder="1" applyAlignment="1">
      <alignment horizontal="left" vertical="center"/>
    </xf>
    <xf numFmtId="164" fontId="4" fillId="37" borderId="17" xfId="167" applyFont="1" applyFill="1" applyBorder="1" applyAlignment="1" applyProtection="1">
      <alignment horizontal="left" vertical="center"/>
    </xf>
    <xf numFmtId="0" fontId="44" fillId="37" borderId="0" xfId="234" applyFont="1" applyFill="1" applyAlignment="1">
      <alignment horizontal="left" vertical="center"/>
    </xf>
    <xf numFmtId="0" fontId="44" fillId="37" borderId="18" xfId="234" applyFont="1" applyFill="1" applyBorder="1" applyAlignment="1">
      <alignment horizontal="left" vertical="center"/>
    </xf>
    <xf numFmtId="0" fontId="44" fillId="0" borderId="0" xfId="234" applyFont="1" applyFill="1" applyAlignment="1">
      <alignment horizontal="left" vertical="center"/>
    </xf>
    <xf numFmtId="0" fontId="44" fillId="9" borderId="0" xfId="234" applyFont="1" applyAlignment="1">
      <alignment horizontal="left" vertical="center"/>
    </xf>
    <xf numFmtId="0" fontId="4" fillId="0" borderId="0" xfId="234" applyFont="1" applyFill="1" applyAlignment="1">
      <alignment horizontal="right" vertical="center"/>
    </xf>
    <xf numFmtId="0" fontId="44" fillId="0" borderId="0" xfId="233" applyFont="1" applyFill="1" applyAlignment="1">
      <alignment horizontal="right" vertical="center"/>
    </xf>
    <xf numFmtId="0" fontId="4" fillId="37" borderId="32" xfId="234" applyFont="1" applyFill="1" applyBorder="1" applyAlignment="1" applyProtection="1">
      <alignment horizontal="right" vertical="center" wrapText="1"/>
      <protection locked="0"/>
    </xf>
    <xf numFmtId="0" fontId="44" fillId="37" borderId="32" xfId="233" applyFont="1" applyFill="1" applyBorder="1" applyAlignment="1" applyProtection="1">
      <alignment horizontal="right" vertical="center" wrapText="1"/>
      <protection locked="0"/>
    </xf>
    <xf numFmtId="0" fontId="44" fillId="37" borderId="16" xfId="233" applyFont="1" applyFill="1" applyBorder="1" applyAlignment="1" applyProtection="1">
      <alignment horizontal="right" vertical="center" wrapText="1"/>
      <protection locked="0"/>
    </xf>
    <xf numFmtId="0" fontId="4" fillId="37" borderId="10" xfId="234" applyFont="1" applyFill="1" applyBorder="1" applyAlignment="1" applyProtection="1">
      <alignment horizontal="right" vertical="center" wrapText="1"/>
      <protection locked="0"/>
    </xf>
    <xf numFmtId="0" fontId="44" fillId="37" borderId="10" xfId="234" applyFont="1" applyFill="1" applyBorder="1" applyAlignment="1" applyProtection="1">
      <alignment horizontal="right" vertical="center" wrapText="1"/>
      <protection locked="0"/>
    </xf>
    <xf numFmtId="0" fontId="81" fillId="40" borderId="0" xfId="0" applyFont="1" applyFill="1" applyAlignment="1">
      <alignment horizontal="center"/>
    </xf>
    <xf numFmtId="49" fontId="31" fillId="36" borderId="15" xfId="237" applyNumberFormat="1" applyFont="1" applyFill="1" applyBorder="1" applyAlignment="1">
      <alignment horizontal="center" vertical="center"/>
    </xf>
    <xf numFmtId="49" fontId="31" fillId="36" borderId="16" xfId="237" applyNumberFormat="1" applyFont="1" applyFill="1" applyBorder="1" applyAlignment="1">
      <alignment horizontal="center" vertical="center"/>
    </xf>
    <xf numFmtId="49" fontId="31" fillId="36" borderId="34" xfId="237" applyNumberFormat="1" applyFont="1" applyFill="1" applyBorder="1" applyAlignment="1">
      <alignment horizontal="center" vertical="center"/>
    </xf>
    <xf numFmtId="49" fontId="31" fillId="36" borderId="11" xfId="237" applyNumberFormat="1" applyFont="1" applyFill="1" applyBorder="1" applyAlignment="1">
      <alignment horizontal="center" vertical="center"/>
    </xf>
    <xf numFmtId="2" fontId="31" fillId="36" borderId="11" xfId="236" applyNumberFormat="1" applyFont="1" applyFill="1" applyBorder="1" applyAlignment="1">
      <alignment horizontal="center" vertical="center" wrapText="1"/>
    </xf>
    <xf numFmtId="2" fontId="31" fillId="36" borderId="13" xfId="236" applyNumberFormat="1" applyFont="1" applyFill="1" applyBorder="1" applyAlignment="1">
      <alignment horizontal="center" vertical="center" wrapText="1"/>
    </xf>
    <xf numFmtId="2" fontId="31" fillId="36" borderId="15" xfId="236" applyNumberFormat="1" applyFont="1" applyFill="1" applyBorder="1" applyAlignment="1">
      <alignment horizontal="center" vertical="center" wrapText="1"/>
    </xf>
    <xf numFmtId="2" fontId="31" fillId="36" borderId="32" xfId="236" applyNumberFormat="1" applyFont="1" applyFill="1" applyBorder="1" applyAlignment="1">
      <alignment horizontal="center" vertical="center" wrapText="1"/>
    </xf>
    <xf numFmtId="2" fontId="31" fillId="36" borderId="15" xfId="237" applyNumberFormat="1" applyFont="1" applyFill="1" applyBorder="1" applyAlignment="1">
      <alignment horizontal="center" vertical="center" wrapText="1"/>
    </xf>
    <xf numFmtId="2" fontId="31" fillId="36" borderId="32" xfId="237" applyNumberFormat="1" applyFont="1" applyFill="1" applyBorder="1" applyAlignment="1">
      <alignment horizontal="center" vertical="center" wrapText="1"/>
    </xf>
    <xf numFmtId="2" fontId="31" fillId="36" borderId="16" xfId="237" applyNumberFormat="1" applyFont="1" applyFill="1" applyBorder="1" applyAlignment="1">
      <alignment horizontal="center" vertical="center" wrapText="1"/>
    </xf>
    <xf numFmtId="167" fontId="31" fillId="36" borderId="15" xfId="236" quotePrefix="1" applyNumberFormat="1" applyFont="1" applyFill="1" applyBorder="1" applyAlignment="1">
      <alignment horizontal="left" vertical="center" wrapText="1"/>
    </xf>
    <xf numFmtId="167" fontId="31" fillId="36" borderId="16" xfId="236" quotePrefix="1" applyNumberFormat="1" applyFont="1" applyFill="1" applyBorder="1" applyAlignment="1">
      <alignment horizontal="left" vertical="center" wrapText="1"/>
    </xf>
    <xf numFmtId="0" fontId="4" fillId="40" borderId="0" xfId="0" applyFont="1" applyFill="1" applyAlignment="1">
      <alignment horizontal="left" vertical="top" wrapText="1"/>
    </xf>
    <xf numFmtId="49" fontId="8" fillId="36" borderId="15" xfId="236" applyNumberFormat="1" applyFont="1" applyFill="1" applyBorder="1" applyAlignment="1">
      <alignment horizontal="left" wrapText="1"/>
    </xf>
    <xf numFmtId="49" fontId="8" fillId="36" borderId="16" xfId="236" applyNumberFormat="1" applyFont="1" applyFill="1" applyBorder="1" applyAlignment="1">
      <alignment horizontal="left" wrapText="1"/>
    </xf>
    <xf numFmtId="0" fontId="4" fillId="0" borderId="0" xfId="238" applyFont="1" applyFill="1" applyAlignment="1">
      <alignment horizontal="left" vertical="center"/>
    </xf>
    <xf numFmtId="0" fontId="55" fillId="32" borderId="0" xfId="155" applyAlignment="1">
      <alignment horizontal="left" vertical="top" wrapText="1"/>
    </xf>
    <xf numFmtId="2" fontId="31" fillId="36" borderId="10" xfId="237" applyNumberFormat="1" applyFont="1" applyFill="1" applyBorder="1" applyAlignment="1">
      <alignment horizontal="center" vertical="center" wrapText="1"/>
    </xf>
    <xf numFmtId="0" fontId="4" fillId="40" borderId="0" xfId="0" applyFont="1" applyFill="1" applyAlignment="1">
      <alignment horizontal="left" vertical="center" wrapText="1"/>
    </xf>
    <xf numFmtId="0" fontId="31" fillId="38" borderId="32" xfId="239" applyFont="1" applyFill="1" applyBorder="1" applyAlignment="1">
      <alignment horizontal="left"/>
    </xf>
    <xf numFmtId="0" fontId="31" fillId="38" borderId="16" xfId="239" applyFont="1" applyFill="1" applyBorder="1" applyAlignment="1">
      <alignment horizontal="left"/>
    </xf>
    <xf numFmtId="49" fontId="31" fillId="36" borderId="30" xfId="242" applyNumberFormat="1" applyFont="1" applyFill="1" applyBorder="1" applyAlignment="1">
      <alignment horizontal="center" vertical="center" wrapText="1"/>
    </xf>
    <xf numFmtId="49" fontId="31" fillId="36" borderId="0" xfId="242" applyNumberFormat="1" applyFont="1" applyFill="1" applyAlignment="1">
      <alignment horizontal="center" vertical="center" wrapText="1"/>
    </xf>
    <xf numFmtId="49" fontId="31" fillId="36" borderId="15" xfId="242" applyNumberFormat="1" applyFont="1" applyFill="1" applyBorder="1" applyAlignment="1">
      <alignment horizontal="center" vertical="center" wrapText="1"/>
    </xf>
    <xf numFmtId="49" fontId="31" fillId="36" borderId="16" xfId="242" applyNumberFormat="1" applyFont="1" applyFill="1" applyBorder="1" applyAlignment="1">
      <alignment horizontal="center" vertical="center" wrapText="1"/>
    </xf>
    <xf numFmtId="49" fontId="59" fillId="38" borderId="34" xfId="236" applyNumberFormat="1" applyFont="1" applyFill="1" applyBorder="1" applyAlignment="1">
      <alignment horizontal="left"/>
    </xf>
    <xf numFmtId="49" fontId="59" fillId="38" borderId="33" xfId="236" applyNumberFormat="1" applyFont="1" applyFill="1" applyBorder="1" applyAlignment="1">
      <alignment horizontal="left"/>
    </xf>
    <xf numFmtId="168" fontId="59" fillId="38" borderId="15" xfId="239" applyNumberFormat="1" applyFont="1" applyFill="1" applyBorder="1" applyAlignment="1">
      <alignment horizontal="left"/>
    </xf>
    <xf numFmtId="168" fontId="59" fillId="38" borderId="32" xfId="239" applyNumberFormat="1" applyFont="1" applyFill="1" applyBorder="1" applyAlignment="1">
      <alignment horizontal="left"/>
    </xf>
    <xf numFmtId="168" fontId="59" fillId="38" borderId="16" xfId="239" applyNumberFormat="1" applyFont="1" applyFill="1" applyBorder="1" applyAlignment="1">
      <alignment horizontal="left"/>
    </xf>
    <xf numFmtId="49" fontId="8" fillId="36" borderId="38" xfId="237" applyNumberFormat="1" applyFont="1" applyFill="1" applyBorder="1" applyAlignment="1">
      <alignment horizontal="center" vertical="center" wrapText="1"/>
    </xf>
    <xf numFmtId="49" fontId="8" fillId="36" borderId="39" xfId="237" applyNumberFormat="1" applyFont="1" applyFill="1" applyBorder="1" applyAlignment="1">
      <alignment horizontal="center" vertical="center" wrapText="1"/>
    </xf>
    <xf numFmtId="49" fontId="8" fillId="36" borderId="40" xfId="237" applyNumberFormat="1" applyFont="1" applyFill="1" applyBorder="1" applyAlignment="1">
      <alignment horizontal="center" vertical="center" wrapText="1"/>
    </xf>
    <xf numFmtId="49" fontId="8" fillId="36" borderId="41" xfId="237" applyNumberFormat="1" applyFont="1" applyFill="1" applyBorder="1" applyAlignment="1">
      <alignment horizontal="center" vertical="center" wrapText="1"/>
    </xf>
    <xf numFmtId="49" fontId="61" fillId="36" borderId="14" xfId="237" applyNumberFormat="1" applyFont="1" applyFill="1" applyBorder="1" applyAlignment="1">
      <alignment horizontal="center" vertical="center"/>
    </xf>
    <xf numFmtId="49" fontId="61" fillId="36" borderId="12" xfId="237" applyNumberFormat="1" applyFont="1" applyFill="1" applyBorder="1" applyAlignment="1">
      <alignment horizontal="center" vertical="center"/>
    </xf>
    <xf numFmtId="49" fontId="31" fillId="36" borderId="35" xfId="237" applyNumberFormat="1" applyFont="1" applyFill="1" applyBorder="1" applyAlignment="1">
      <alignment horizontal="center" vertical="center" wrapText="1"/>
    </xf>
    <xf numFmtId="49" fontId="31" fillId="36" borderId="36" xfId="237" applyNumberFormat="1" applyFont="1" applyFill="1" applyBorder="1" applyAlignment="1">
      <alignment horizontal="center" vertical="center" wrapText="1"/>
    </xf>
    <xf numFmtId="49" fontId="75" fillId="36" borderId="35" xfId="237" applyNumberFormat="1" applyFont="1" applyFill="1" applyBorder="1" applyAlignment="1">
      <alignment horizontal="center" vertical="center" wrapText="1"/>
    </xf>
    <xf numFmtId="49" fontId="75" fillId="36" borderId="36" xfId="237" applyNumberFormat="1" applyFont="1" applyFill="1" applyBorder="1" applyAlignment="1">
      <alignment horizontal="center" vertical="center" wrapText="1"/>
    </xf>
    <xf numFmtId="49" fontId="31" fillId="36" borderId="19" xfId="237" applyNumberFormat="1" applyFont="1" applyFill="1" applyBorder="1" applyAlignment="1">
      <alignment horizontal="center" vertical="center" wrapText="1"/>
    </xf>
    <xf numFmtId="49" fontId="31" fillId="36" borderId="20" xfId="237" applyNumberFormat="1" applyFont="1" applyFill="1" applyBorder="1" applyAlignment="1">
      <alignment horizontal="center" vertical="center" wrapText="1"/>
    </xf>
    <xf numFmtId="49" fontId="31" fillId="36" borderId="21" xfId="237" applyNumberFormat="1" applyFont="1" applyFill="1" applyBorder="1" applyAlignment="1">
      <alignment horizontal="center" vertical="center" wrapText="1"/>
    </xf>
    <xf numFmtId="49" fontId="31" fillId="36" borderId="37" xfId="237" applyNumberFormat="1" applyFont="1" applyFill="1" applyBorder="1" applyAlignment="1">
      <alignment horizontal="center" vertical="center" wrapText="1"/>
    </xf>
    <xf numFmtId="49" fontId="8" fillId="36" borderId="14" xfId="237" applyNumberFormat="1" applyFont="1" applyFill="1" applyBorder="1" applyAlignment="1">
      <alignment horizontal="center" vertical="center" wrapText="1"/>
    </xf>
    <xf numFmtId="49" fontId="8" fillId="36" borderId="12" xfId="237" applyNumberFormat="1" applyFont="1" applyFill="1" applyBorder="1" applyAlignment="1">
      <alignment horizontal="center" vertical="center" wrapText="1"/>
    </xf>
    <xf numFmtId="173" fontId="33" fillId="13" borderId="10" xfId="81" applyNumberFormat="1" applyFont="1" applyFill="1" applyBorder="1" applyAlignment="1" applyProtection="1">
      <alignment horizontal="center" vertical="center" wrapText="1"/>
    </xf>
    <xf numFmtId="49" fontId="31" fillId="36" borderId="14" xfId="237" applyNumberFormat="1" applyFont="1" applyFill="1" applyBorder="1" applyAlignment="1">
      <alignment horizontal="center" vertical="center" wrapText="1"/>
    </xf>
    <xf numFmtId="49" fontId="31" fillId="36" borderId="12" xfId="237" applyNumberFormat="1" applyFont="1" applyFill="1" applyBorder="1" applyAlignment="1">
      <alignment horizontal="center" vertical="center" wrapText="1"/>
    </xf>
    <xf numFmtId="2" fontId="31" fillId="36" borderId="14" xfId="237" applyNumberFormat="1" applyFont="1" applyFill="1" applyBorder="1" applyAlignment="1">
      <alignment horizontal="center" vertical="center" wrapText="1"/>
    </xf>
    <xf numFmtId="2" fontId="31" fillId="36" borderId="12" xfId="237" applyNumberFormat="1" applyFont="1" applyFill="1" applyBorder="1" applyAlignment="1">
      <alignment horizontal="center" vertical="center" wrapText="1"/>
    </xf>
    <xf numFmtId="49" fontId="31" fillId="36" borderId="34" xfId="237" applyNumberFormat="1" applyFont="1" applyFill="1" applyBorder="1" applyAlignment="1">
      <alignment horizontal="center" vertical="center" wrapText="1"/>
    </xf>
    <xf numFmtId="49" fontId="31" fillId="36" borderId="11" xfId="237" applyNumberFormat="1" applyFont="1" applyFill="1" applyBorder="1" applyAlignment="1">
      <alignment horizontal="center" vertical="center" wrapText="1"/>
    </xf>
  </cellXfs>
  <cellStyles count="266">
    <cellStyle name="_APL (B001)_Jan11_Rec 2" xfId="1" xr:uid="{FF9021D7-D0FB-4096-8457-732700840403}"/>
    <cellStyle name="=C:\WINNT\SYSTEM32\COMMAND.COM 2" xfId="2" xr:uid="{7A304181-A8A2-4FCA-B59E-736E487136ED}"/>
    <cellStyle name="20% - Accent1" xfId="3" builtinId="30" customBuiltin="1"/>
    <cellStyle name="20% - Accent1 2" xfId="4" xr:uid="{27C95861-DEE2-43A0-9B5A-AEE3567F0DC7}"/>
    <cellStyle name="20% - Accent2" xfId="5" builtinId="34" customBuiltin="1"/>
    <cellStyle name="20% - Accent2 2" xfId="6" xr:uid="{726917F2-9EA9-45E5-B7DC-16427194D62C}"/>
    <cellStyle name="20% - Accent3" xfId="7" builtinId="38" customBuiltin="1"/>
    <cellStyle name="20% - Accent3 2" xfId="8" xr:uid="{C2775972-09B7-487C-996D-DD44F8254EC8}"/>
    <cellStyle name="20% - Accent4" xfId="9" builtinId="42" customBuiltin="1"/>
    <cellStyle name="20% - Accent4 2" xfId="10" xr:uid="{E03BD8A3-4773-4EDD-819E-A1A3B7412BE6}"/>
    <cellStyle name="20% - Accent5" xfId="11" builtinId="46" customBuiltin="1"/>
    <cellStyle name="20% - Accent5 2" xfId="12" xr:uid="{A31AE13A-08F9-497E-9A1A-294545DDF68A}"/>
    <cellStyle name="20% - Accent6" xfId="13" builtinId="50" customBuiltin="1"/>
    <cellStyle name="20% - Accent6 2" xfId="14" xr:uid="{8633ECCA-3600-4F7B-97E6-B6325E930EF3}"/>
    <cellStyle name="40% - Accent1" xfId="15" builtinId="31" customBuiltin="1"/>
    <cellStyle name="40% - Accent1 2" xfId="16" xr:uid="{F138A617-0414-4A99-9F1C-6A80133864AE}"/>
    <cellStyle name="40% - Accent2" xfId="17" builtinId="35" customBuiltin="1"/>
    <cellStyle name="40% - Accent2 2" xfId="18" xr:uid="{297B2862-1826-484C-A3BF-F9DBD7FDF9FF}"/>
    <cellStyle name="40% - Accent3" xfId="19" builtinId="39" customBuiltin="1"/>
    <cellStyle name="40% - Accent3 2" xfId="20" xr:uid="{19F70B11-62EC-4655-969D-654BF21B5AA1}"/>
    <cellStyle name="40% - Accent4" xfId="21" builtinId="43" customBuiltin="1"/>
    <cellStyle name="40% - Accent4 2" xfId="22" xr:uid="{932C4FE1-644A-41D3-93E3-1D163793903A}"/>
    <cellStyle name="40% - Accent5" xfId="23" builtinId="47" customBuiltin="1"/>
    <cellStyle name="40% - Accent5 2" xfId="24" xr:uid="{8C679EDA-44E1-4DB7-8331-EAC7A84C1E61}"/>
    <cellStyle name="40% - Accent6" xfId="25" builtinId="51" customBuiltin="1"/>
    <cellStyle name="40% - Accent6 2" xfId="26" xr:uid="{6C8A3343-7068-4D52-B558-275F781D5756}"/>
    <cellStyle name="60% - Accent1" xfId="27" builtinId="32" customBuiltin="1"/>
    <cellStyle name="60% - Accent1 2" xfId="28" xr:uid="{F919CE8D-78FA-47FB-8D01-D121552843A1}"/>
    <cellStyle name="60% - Accent2" xfId="29" builtinId="36" customBuiltin="1"/>
    <cellStyle name="60% - Accent2 2" xfId="30" xr:uid="{6DB54100-EE69-42DE-8D82-34800E239B0E}"/>
    <cellStyle name="60% - Accent3" xfId="31" builtinId="40" customBuiltin="1"/>
    <cellStyle name="60% - Accent3 2" xfId="32" xr:uid="{4ADF9DBB-19A0-41D0-83AD-4592AFFE887E}"/>
    <cellStyle name="60% - Accent4" xfId="33" builtinId="44" customBuiltin="1"/>
    <cellStyle name="60% - Accent4 2" xfId="34" xr:uid="{F93C686C-6599-473B-AE81-83EED9D8C7D6}"/>
    <cellStyle name="60% - Accent5" xfId="35" builtinId="48" customBuiltin="1"/>
    <cellStyle name="60% - Accent5 2" xfId="36" xr:uid="{86D28845-61A0-4908-9F53-82F94EE8091B}"/>
    <cellStyle name="60% - Accent6" xfId="37" builtinId="52" customBuiltin="1"/>
    <cellStyle name="60% - Accent6 2" xfId="38" xr:uid="{A8796A40-7469-46A3-96E8-960730962071}"/>
    <cellStyle name="Accent1" xfId="39" builtinId="29" customBuiltin="1"/>
    <cellStyle name="Accent1 2" xfId="40" xr:uid="{534B699D-756C-4ADF-B867-E2B4ED50B14F}"/>
    <cellStyle name="Accent2" xfId="41" builtinId="33" customBuiltin="1"/>
    <cellStyle name="Accent2 2" xfId="42" xr:uid="{CF77AE15-62F6-406F-8483-EA4278547677}"/>
    <cellStyle name="Accent3" xfId="43" builtinId="37" customBuiltin="1"/>
    <cellStyle name="Accent3 2" xfId="44" xr:uid="{75D05229-B952-4CE4-9FC1-8294530B5280}"/>
    <cellStyle name="Accent4" xfId="45" builtinId="41" customBuiltin="1"/>
    <cellStyle name="Accent4 2" xfId="46" xr:uid="{92B14FC1-B55C-417D-899B-B6F09459B1F9}"/>
    <cellStyle name="Accent5" xfId="47" builtinId="45" customBuiltin="1"/>
    <cellStyle name="Accent5 2" xfId="48" xr:uid="{0598D49C-810A-43E0-BD35-E43964876BA8}"/>
    <cellStyle name="Accent6" xfId="49" builtinId="49" customBuiltin="1"/>
    <cellStyle name="Accent6 2" xfId="50" xr:uid="{ABF9377B-A07B-4851-A4FB-2B2617951EAE}"/>
    <cellStyle name="Bad" xfId="51" builtinId="27" customBuiltin="1"/>
    <cellStyle name="Bad 2" xfId="52" xr:uid="{33C53757-90BB-47B7-8A12-55DE2247D817}"/>
    <cellStyle name="Blockout" xfId="53" xr:uid="{0E907644-42AE-4CF4-A27E-C812855E4BD6}"/>
    <cellStyle name="Blockout 2" xfId="54" xr:uid="{3BFEF55B-C11A-41BA-9CE9-CC7D880B2ADE}"/>
    <cellStyle name="Blockout 2 2" xfId="55" xr:uid="{0F063A3E-60C1-405E-8031-E8C766E70029}"/>
    <cellStyle name="Blockout 2 2 2" xfId="56" xr:uid="{9D5EFD64-82C9-40AF-A309-2C5D7CDE9F56}"/>
    <cellStyle name="Blockout 2 2 2 2" xfId="57" xr:uid="{4EBEE1CE-F820-4655-90BB-46AB969A4DA3}"/>
    <cellStyle name="Blockout 2 2 3" xfId="58" xr:uid="{C288ACC6-E433-4673-813B-5A6C28D74A69}"/>
    <cellStyle name="Blockout 2 2 3 2" xfId="59" xr:uid="{F51A7FBE-4C0E-4313-9925-05B8C8A3A933}"/>
    <cellStyle name="Blockout 2 2 4" xfId="60" xr:uid="{F18871AF-877E-4B6E-A2CA-EDA03595CE85}"/>
    <cellStyle name="Blockout 2 2 5" xfId="61" xr:uid="{08C1072C-EE17-48C4-A355-41A2E879516D}"/>
    <cellStyle name="Blockout 2 3" xfId="62" xr:uid="{DB271831-7A8B-4AB6-9D73-29CC9C91BD73}"/>
    <cellStyle name="Blockout 2 3 2" xfId="63" xr:uid="{A1F1EDCA-D6E4-486C-94CB-208E94E92B53}"/>
    <cellStyle name="Blockout 2 4" xfId="64" xr:uid="{C26F4E02-4541-4465-A434-47F31C882A47}"/>
    <cellStyle name="Blockout 2 4 2" xfId="65" xr:uid="{822BDB5B-430B-4312-A2E7-D40723B9E649}"/>
    <cellStyle name="Blockout 2 5" xfId="66" xr:uid="{E03AB192-B2EC-4460-8B91-820D41A91FC4}"/>
    <cellStyle name="Blockout 2 6" xfId="67" xr:uid="{132C5A15-17F8-4464-BE41-2A675C596D6C}"/>
    <cellStyle name="Blockout 3" xfId="68" xr:uid="{53529691-1062-49BF-BED6-1A08B9ADC824}"/>
    <cellStyle name="Blockout 3 2" xfId="69" xr:uid="{374FCB16-998A-4879-AF9B-C810274E2207}"/>
    <cellStyle name="Blockout 3 2 2" xfId="70" xr:uid="{7B6D4802-1DF5-49BF-9FE5-064385138CE4}"/>
    <cellStyle name="Blockout 3 3" xfId="71" xr:uid="{40CD9A1B-E00D-4610-A006-1D5E5C1FD1F0}"/>
    <cellStyle name="Blockout 3 3 2" xfId="72" xr:uid="{D9CD3AD8-7430-488B-98B3-9EC9F4C806F9}"/>
    <cellStyle name="Blockout 3 4" xfId="73" xr:uid="{B61281EC-834D-45FD-AACF-4A5B743DA110}"/>
    <cellStyle name="Blockout 3 5" xfId="74" xr:uid="{3D1FE37B-6E45-4E13-9123-093B1A613E7F}"/>
    <cellStyle name="Calculation" xfId="75" builtinId="22" customBuiltin="1"/>
    <cellStyle name="Calculation 2" xfId="76" xr:uid="{812520FA-7F5A-4610-9A24-24E290318605}"/>
    <cellStyle name="Check Cell" xfId="77" builtinId="23" customBuiltin="1"/>
    <cellStyle name="Check Cell 2" xfId="78" xr:uid="{5743E724-B4C9-42B9-A3D9-792528721649}"/>
    <cellStyle name="Comma" xfId="79" builtinId="3"/>
    <cellStyle name="Comma 10" xfId="80" xr:uid="{DC91A795-C704-45D0-BB73-3DB49FAB723F}"/>
    <cellStyle name="Comma 10 2" xfId="81" xr:uid="{7702232C-5BA5-4F58-83A5-4A45AA85F477}"/>
    <cellStyle name="Comma 11" xfId="82" xr:uid="{D08F8A56-F1B3-424B-80FF-DAB43C4A015C}"/>
    <cellStyle name="Comma 12" xfId="83" xr:uid="{4411A8F4-06BC-409D-9FE8-CBDB1E572543}"/>
    <cellStyle name="Comma 13" xfId="84" xr:uid="{4676F5C4-26EE-4796-B42F-638DDC1DF9D5}"/>
    <cellStyle name="Comma 2" xfId="85" xr:uid="{B5806AC2-3919-4548-828C-60E60F7F7389}"/>
    <cellStyle name="Comma 2 2" xfId="86" xr:uid="{42B4F2B5-1321-435D-B3CD-3282CAB36306}"/>
    <cellStyle name="Comma 2 2 2" xfId="87" xr:uid="{C99618B5-4956-495D-B4AF-D9C4C7CAB939}"/>
    <cellStyle name="Comma 2 2 2 2" xfId="88" xr:uid="{09FE5F4C-5334-427B-A86B-CB8852840D06}"/>
    <cellStyle name="Comma 2 2 2 2 2" xfId="89" xr:uid="{CBA9687E-5727-41CC-B263-FF9C94511300}"/>
    <cellStyle name="Comma 2 2 2 3" xfId="90" xr:uid="{8F7799E2-7C7D-41BF-89F9-C00A2EF42D0D}"/>
    <cellStyle name="Comma 2 2 3" xfId="91" xr:uid="{9ED6AC6B-7E1C-4EBC-99EE-AC057B5E5B9E}"/>
    <cellStyle name="Comma 2 2 3 2" xfId="92" xr:uid="{A65BD45A-C973-4FDF-A3D2-B29E514C42EF}"/>
    <cellStyle name="Comma 2 2 4" xfId="93" xr:uid="{3F8E6084-B56D-4455-B716-25FADB0ADAF7}"/>
    <cellStyle name="Comma 2 2 4 2" xfId="94" xr:uid="{4E349B26-B963-494B-A195-795E308C039E}"/>
    <cellStyle name="Comma 2 2 5" xfId="95" xr:uid="{918CA716-3682-4D85-9326-947D99CAA798}"/>
    <cellStyle name="Comma 2 2 6" xfId="96" xr:uid="{D7212F99-4A0D-41D5-BEEB-E8EF0D089FED}"/>
    <cellStyle name="Comma 2 3" xfId="97" xr:uid="{0303AC75-90F5-423D-B6B3-CEE54C0411DB}"/>
    <cellStyle name="Comma 2 3 2" xfId="98" xr:uid="{E3762550-71C7-4501-997E-37A9B6A6F4EC}"/>
    <cellStyle name="Comma 2 3 2 2" xfId="99" xr:uid="{8E49AEE8-8F83-42A7-9B6E-C5FEE5F0C579}"/>
    <cellStyle name="Comma 2 3 3" xfId="100" xr:uid="{CECBF92F-FFC5-4EEC-8AF3-30E96FFE9D55}"/>
    <cellStyle name="Comma 2 4" xfId="101" xr:uid="{D5D89A63-01B9-4C0C-8D1B-F915C80E195B}"/>
    <cellStyle name="Comma 2 4 2" xfId="102" xr:uid="{DB9E07B6-4305-4702-B972-0458A3DE9781}"/>
    <cellStyle name="Comma 2 5" xfId="103" xr:uid="{A83CDBD0-55DD-4A6C-978E-95FDA1C17BA5}"/>
    <cellStyle name="Comma 2 5 2" xfId="104" xr:uid="{0D12DCB5-2F58-431A-9D70-98646BE75C14}"/>
    <cellStyle name="Comma 2 5 3" xfId="105" xr:uid="{590BA4AD-20F0-4BD7-BE8F-AF374658761C}"/>
    <cellStyle name="Comma 2 6" xfId="106" xr:uid="{B70048D2-E336-4467-9A26-0110E2B4AD79}"/>
    <cellStyle name="Comma 2 7" xfId="107" xr:uid="{1491ECF9-8632-440F-AC21-D273B76919D9}"/>
    <cellStyle name="Comma 3" xfId="108" xr:uid="{8C635013-E1C3-4439-A155-69424E32C52E}"/>
    <cellStyle name="Comma 3 2" xfId="109" xr:uid="{CFB4E17F-1046-4AD3-8908-90DF1A73B793}"/>
    <cellStyle name="Comma 3 2 2" xfId="110" xr:uid="{D93D9783-6E1E-4BC2-A10A-06BDB93E7680}"/>
    <cellStyle name="Comma 3 2 2 2" xfId="111" xr:uid="{F50C6274-D228-41E8-B304-A47FFA74EBB3}"/>
    <cellStyle name="Comma 3 2 3" xfId="112" xr:uid="{5819F227-C277-41A5-A4C5-905FB494CDCB}"/>
    <cellStyle name="Comma 3 3" xfId="113" xr:uid="{FD335561-05F7-4C21-8DB6-7A694C062587}"/>
    <cellStyle name="Comma 3 3 2" xfId="114" xr:uid="{EC50673E-CEC8-4326-8F77-83DD3DF4ECB8}"/>
    <cellStyle name="Comma 3 4" xfId="115" xr:uid="{1B528BE5-7261-4E19-AE5A-81825668774A}"/>
    <cellStyle name="Comma 3 4 2" xfId="116" xr:uid="{1EC895E1-C11D-4294-A7C8-B67CADE7F383}"/>
    <cellStyle name="Comma 3 5" xfId="117" xr:uid="{707FD944-ABA4-4CBD-BA2A-873BD8C70F96}"/>
    <cellStyle name="Comma 3 6" xfId="118" xr:uid="{08B91FC0-8B42-4A0A-8D0D-7398BD986F2B}"/>
    <cellStyle name="Comma 4" xfId="119" xr:uid="{0CC4AE7F-61D7-4911-AE60-913F52A3EC51}"/>
    <cellStyle name="Comma 4 2" xfId="120" xr:uid="{6700FA3B-DCAD-48F5-B213-A2834ECD8A3E}"/>
    <cellStyle name="Comma 4 2 2" xfId="121" xr:uid="{09C55614-1F35-46C2-A204-C54B48A92DBD}"/>
    <cellStyle name="Comma 4 3" xfId="122" xr:uid="{E0E8B541-1C83-44CF-837A-0495AB1F9D13}"/>
    <cellStyle name="Comma 4 3 2" xfId="123" xr:uid="{821536C0-9187-4075-9226-234DA28CA175}"/>
    <cellStyle name="Comma 4 4" xfId="124" xr:uid="{690556B6-2807-4A9A-86A5-B9265F287725}"/>
    <cellStyle name="Comma 5" xfId="125" xr:uid="{9823D313-A852-4E56-9AF9-E32355AB9135}"/>
    <cellStyle name="Comma 5 2" xfId="126" xr:uid="{413F9720-C58D-48A7-8490-E9155D006184}"/>
    <cellStyle name="Comma 5 2 2" xfId="127" xr:uid="{A45D3885-6E77-454A-B7FA-5EF7604DE718}"/>
    <cellStyle name="Comma 5 3" xfId="128" xr:uid="{F1A2611A-112D-4CE2-A156-B41A35F99691}"/>
    <cellStyle name="Comma 6" xfId="129" xr:uid="{5A21C601-0C7D-48D4-9C06-64275AA38F6C}"/>
    <cellStyle name="Comma 6 2" xfId="130" xr:uid="{9B907556-B813-48BD-988C-D19A202F9F45}"/>
    <cellStyle name="Comma 6 2 2" xfId="131" xr:uid="{384A517C-4954-4B35-BF79-B18FBF6F80C1}"/>
    <cellStyle name="Comma 6 2 2 2" xfId="132" xr:uid="{ADBBF488-5F96-4AAD-8140-A6AC5C05D8FB}"/>
    <cellStyle name="Comma 6 2 2 2 2" xfId="133" xr:uid="{16411343-7EDD-4D59-9AA8-173BB29C1A01}"/>
    <cellStyle name="Comma 6 2 3" xfId="134" xr:uid="{664BC457-1042-4146-9596-E21BFF7609FE}"/>
    <cellStyle name="Comma 6 3" xfId="135" xr:uid="{711B0B75-CBB3-4DF4-98DA-D7565E63C3A6}"/>
    <cellStyle name="Comma 6 3 2" xfId="136" xr:uid="{03655341-5BA2-4A9D-A98D-84B84361A5E5}"/>
    <cellStyle name="Comma 6 4" xfId="137" xr:uid="{61FF9F28-668F-40F8-B28C-FA423446835A}"/>
    <cellStyle name="Comma 7" xfId="138" xr:uid="{B2720270-0318-4F39-A611-C8ADB5022257}"/>
    <cellStyle name="Comma 7 2" xfId="139" xr:uid="{74242402-DA8B-4997-BF7A-84B403CB6AA1}"/>
    <cellStyle name="Comma 7 2 2" xfId="140" xr:uid="{5FAC27E2-EEA8-46FB-8984-3AB8F1A89AF8}"/>
    <cellStyle name="Comma 7 3" xfId="141" xr:uid="{AC253A6E-0604-4A18-9515-B9B7655D4F95}"/>
    <cellStyle name="Comma 8" xfId="142" xr:uid="{6EDC6D54-D4BD-4E44-8658-81100918829E}"/>
    <cellStyle name="Comma 8 2" xfId="143" xr:uid="{FDD048DA-93CB-47D8-B043-77A99ABE29DA}"/>
    <cellStyle name="Comma 8 2 2" xfId="144" xr:uid="{067D8518-B33B-481E-9890-4D749CF67294}"/>
    <cellStyle name="Comma 8 3" xfId="145" xr:uid="{6ADFA01D-6FBB-4DC1-98F6-1853610C8961}"/>
    <cellStyle name="Comma 9" xfId="146" xr:uid="{0F11B729-69B9-45CA-8660-26972C74C6ED}"/>
    <cellStyle name="Comma 9 2" xfId="147" xr:uid="{8A7A120F-4899-42C7-91DF-5B06F5B47FBA}"/>
    <cellStyle name="Currency 2" xfId="148" xr:uid="{B3CC5E9C-F9FC-44E4-886F-821CCB887F56}"/>
    <cellStyle name="Currency 2 2" xfId="149" xr:uid="{30BBAB98-AB60-4899-B037-975648E66F8F}"/>
    <cellStyle name="Currency 2 2 2" xfId="150" xr:uid="{64CD11EE-A8E9-46F9-ABEE-554576D5E947}"/>
    <cellStyle name="Currency 2 3" xfId="151" xr:uid="{BD05F3DB-66DE-4E84-8C41-0F1D715C6773}"/>
    <cellStyle name="Currency 2 3 2" xfId="152" xr:uid="{752E04A2-91E2-40DB-A848-8F76083B4C79}"/>
    <cellStyle name="Currency 2 4" xfId="153" xr:uid="{594A6153-B88F-4D85-81DB-D550D8CB7752}"/>
    <cellStyle name="Currency 3" xfId="154" xr:uid="{5B6E756A-57A4-41DE-9840-EB78323152D6}"/>
    <cellStyle name="dms_H" xfId="155" xr:uid="{13839298-DC20-40BD-92D1-D40C744BCD1B}"/>
    <cellStyle name="dms_TopHeader" xfId="156" xr:uid="{28E84C88-A106-4D18-81BD-E50D2B3945CB}"/>
    <cellStyle name="Explanatory Text" xfId="157" builtinId="53" customBuiltin="1"/>
    <cellStyle name="Good" xfId="158" builtinId="26" customBuiltin="1"/>
    <cellStyle name="Good 2" xfId="159" xr:uid="{C09A881E-CC9A-40E6-9E95-8E8DD069559E}"/>
    <cellStyle name="Heading 1" xfId="160" builtinId="16" customBuiltin="1"/>
    <cellStyle name="Heading 2" xfId="161" builtinId="17" customBuiltin="1"/>
    <cellStyle name="Heading 3" xfId="162" builtinId="18" customBuiltin="1"/>
    <cellStyle name="Heading 4" xfId="163" builtinId="19" customBuiltin="1"/>
    <cellStyle name="Hyperlink" xfId="164" builtinId="8"/>
    <cellStyle name="Input" xfId="165" builtinId="20" customBuiltin="1"/>
    <cellStyle name="Input 2" xfId="166" xr:uid="{082EA6C1-A314-4DCF-81A7-F01B246D51D9}"/>
    <cellStyle name="Input1" xfId="167" xr:uid="{7A739FCB-B4EB-457B-B281-DF4B73BC899D}"/>
    <cellStyle name="Input1 2" xfId="168" xr:uid="{92B9D135-BC47-45BF-A198-CE9D7712584C}"/>
    <cellStyle name="Input1 2 2" xfId="169" xr:uid="{1EBEDB55-3301-4C39-8824-9ACB69DF5DE9}"/>
    <cellStyle name="Input1 2 2 2" xfId="170" xr:uid="{FE424594-B5E4-462F-8039-99A3009F7ACF}"/>
    <cellStyle name="Input1 2 2 2 2" xfId="171" xr:uid="{5FAB8355-38B1-4FF4-AE1B-4BEAD0D14F5A}"/>
    <cellStyle name="Input1 2 2 3" xfId="172" xr:uid="{A5014EAC-520C-49CB-967E-E22A4F6AF91D}"/>
    <cellStyle name="Input1 2 2 3 2" xfId="173" xr:uid="{601422D9-47F8-41E5-A8BE-A7EA4D098CC9}"/>
    <cellStyle name="Input1 2 2 4" xfId="174" xr:uid="{E65A4CC7-081E-4C3C-8B0C-16952F140AEE}"/>
    <cellStyle name="Input1 2 2 5" xfId="175" xr:uid="{B7E22AD3-9964-45DF-BE71-D7FF5EA06B5D}"/>
    <cellStyle name="Input1 2 3" xfId="176" xr:uid="{D4C10D8A-647E-4E5E-BD11-4D362BC9C562}"/>
    <cellStyle name="Input1 2 3 2" xfId="177" xr:uid="{F67593D8-2B0C-4E69-9C7D-D455B514239F}"/>
    <cellStyle name="Input1 2 4" xfId="178" xr:uid="{E1744BB5-AF80-43D2-82D0-2EA092219CE0}"/>
    <cellStyle name="Input1 2 4 2" xfId="179" xr:uid="{242B1707-34AE-4760-A6FF-3DD7EC42FBBA}"/>
    <cellStyle name="Input1 2 5" xfId="180" xr:uid="{250672DF-51D1-4CB9-B9DF-D76584EDF0F0}"/>
    <cellStyle name="Input1 2 6" xfId="181" xr:uid="{0BA0C162-1C05-47AD-A6E5-E55F4F172CF2}"/>
    <cellStyle name="Input1 3" xfId="182" xr:uid="{BD853CED-E190-4084-97B6-121A5BC3247A}"/>
    <cellStyle name="Input1 3 2" xfId="183" xr:uid="{7A9FD42A-41E9-4474-8FF9-989073BC7070}"/>
    <cellStyle name="Input1 3 2 2" xfId="184" xr:uid="{33E27FBD-322F-4366-B800-B85BBC52BC5A}"/>
    <cellStyle name="Input1 3 3" xfId="185" xr:uid="{806A8120-1D81-43F3-B304-50181CAD6F96}"/>
    <cellStyle name="Input1 3 3 2" xfId="186" xr:uid="{976EC94B-6437-4CFF-8028-73D189875F06}"/>
    <cellStyle name="Input1 3 4" xfId="187" xr:uid="{16E28D4A-F7F3-4728-B653-8B25B81D3E42}"/>
    <cellStyle name="Input1 3 5" xfId="188" xr:uid="{39DE075E-7661-49A8-871C-2231D3A61C62}"/>
    <cellStyle name="Input1 4" xfId="189" xr:uid="{C79DAD9A-A325-4A85-93E9-0F6D1EE1E618}"/>
    <cellStyle name="Input1 4 2" xfId="190" xr:uid="{D68FFAE6-8BF7-4C28-A7B5-C1ECB373DDC8}"/>
    <cellStyle name="Input2" xfId="191" xr:uid="{36067D6D-08FA-4FFB-B61C-0AF58C71F34B}"/>
    <cellStyle name="Input2 2" xfId="192" xr:uid="{7620188B-3DF0-4A62-9DE5-3629AB1A905B}"/>
    <cellStyle name="Input2 2 2" xfId="193" xr:uid="{CE2320A2-C961-4BC0-AD53-C59DE6112957}"/>
    <cellStyle name="Input3" xfId="194" xr:uid="{96F9A5F6-F329-4B9C-BC46-766618585E5A}"/>
    <cellStyle name="Input3 2" xfId="195" xr:uid="{98800680-67DA-4F07-BF97-B18D09AA4555}"/>
    <cellStyle name="Input3 2 2" xfId="196" xr:uid="{EF352BA8-223A-4423-9014-226A8F9EC466}"/>
    <cellStyle name="Input3 2 2 2" xfId="197" xr:uid="{B5EEB289-952E-44A5-8185-24A6F428C042}"/>
    <cellStyle name="Input3 2 2 2 2" xfId="198" xr:uid="{76CC6681-88FD-45F0-9251-690A7B29060E}"/>
    <cellStyle name="Input3 2 2 3" xfId="199" xr:uid="{D7F5775C-7368-4AED-8A1A-2CD45F38B0A3}"/>
    <cellStyle name="Input3 2 2 3 2" xfId="200" xr:uid="{CBF71E82-D736-405C-87E8-132129247F05}"/>
    <cellStyle name="Input3 2 2 4" xfId="201" xr:uid="{6C77E58E-CE4F-48D9-BB06-AB1EA5495C2B}"/>
    <cellStyle name="Input3 2 2 5" xfId="202" xr:uid="{FB992DEE-DE9A-4F98-8FC6-6230F91A6895}"/>
    <cellStyle name="Input3 2 3" xfId="203" xr:uid="{25897DA0-9A09-412B-9035-4F52564F7C81}"/>
    <cellStyle name="Input3 2 3 2" xfId="204" xr:uid="{80CCBAB8-1221-4433-A9C3-D2E2D0E94615}"/>
    <cellStyle name="Input3 2 4" xfId="205" xr:uid="{1AC71F36-3D97-4282-AA2F-C190EF8DB554}"/>
    <cellStyle name="Input3 2 4 2" xfId="206" xr:uid="{AB517ED5-66FA-48C7-B2A5-2E5B32D48E12}"/>
    <cellStyle name="Input3 2 5" xfId="207" xr:uid="{75BF941E-C672-47C8-9C3C-A1082D29DB05}"/>
    <cellStyle name="Input3 2 6" xfId="208" xr:uid="{3B34CFF2-B6ED-4678-88D5-D7FC9952F8C2}"/>
    <cellStyle name="Input3 3" xfId="209" xr:uid="{CE0FDFA6-66F4-4C9A-BFC6-B116009A5999}"/>
    <cellStyle name="Input3 3 2" xfId="210" xr:uid="{7D68FBEE-94FB-4894-A1D9-5B962257083C}"/>
    <cellStyle name="Input3 3 2 2" xfId="211" xr:uid="{C28BCF6E-61EC-40B4-91C5-D8EFF83DD92A}"/>
    <cellStyle name="Input3 3 3" xfId="212" xr:uid="{00EBA1F7-F3CE-4005-8452-13CDEBA3CEA6}"/>
    <cellStyle name="Input3 3 3 2" xfId="213" xr:uid="{1804D48E-80C6-41DA-BDA4-6A719A59A21B}"/>
    <cellStyle name="Input3 3 4" xfId="214" xr:uid="{A9D10925-CDE0-4C12-BCBA-941C76D0F207}"/>
    <cellStyle name="Input3 3 5" xfId="215" xr:uid="{B0EB7B84-1011-40A4-A67A-BA79F239FD39}"/>
    <cellStyle name="Linked Cell" xfId="216" builtinId="24" customBuiltin="1"/>
    <cellStyle name="Neutral" xfId="217" builtinId="28" customBuiltin="1"/>
    <cellStyle name="Neutral 2" xfId="218" xr:uid="{FC70FA56-03D2-405A-9AD1-71F4208A7E07}"/>
    <cellStyle name="Normal" xfId="0" builtinId="0"/>
    <cellStyle name="Normal 15" xfId="219" xr:uid="{1100DFB9-3DD2-4A28-91CF-228B245112C4}"/>
    <cellStyle name="Normal 2" xfId="220" xr:uid="{F2F95DDF-2A54-4E9C-AA0E-BEF3DE4EFAE4}"/>
    <cellStyle name="Normal 2 2" xfId="221" xr:uid="{32D6D891-BFFC-465B-8283-57C2346FBD3B}"/>
    <cellStyle name="Normal 2 4 3" xfId="222" xr:uid="{89389DFB-C44D-4A1A-BE60-9D75697295BD}"/>
    <cellStyle name="Normal 3" xfId="223" xr:uid="{F91D9D0D-7DAC-458D-A137-D790F0F67988}"/>
    <cellStyle name="Normal 3 2" xfId="224" xr:uid="{4178FBB0-BA8D-42E2-965A-FF4CA197C58D}"/>
    <cellStyle name="Normal 3 2 2" xfId="225" xr:uid="{6617FDF9-99A8-4717-8DEA-36DF850B5A1A}"/>
    <cellStyle name="Normal 3 2 3" xfId="226" xr:uid="{FE634753-5C1D-4B95-B343-B28008EFB52D}"/>
    <cellStyle name="Normal 3 3" xfId="227" xr:uid="{B855182F-8759-4732-A572-05091BAA482C}"/>
    <cellStyle name="Normal 3 3 2" xfId="228" xr:uid="{93F899C9-41BD-4E88-8B61-BE74AEC795B3}"/>
    <cellStyle name="Normal 4" xfId="229" xr:uid="{D58965FD-B956-4F3D-B2BA-4160A23E843A}"/>
    <cellStyle name="Normal 5" xfId="230" xr:uid="{8C7C05EE-CF78-4C45-9F79-C9DE9A2F64F6}"/>
    <cellStyle name="Normal 6" xfId="231" xr:uid="{D71378AF-8BFE-4470-AC72-56FAFB89EFB8}"/>
    <cellStyle name="Normal_2010 06 02 - Urgent RIN for Vic DNSPs revised proposals" xfId="232" xr:uid="{1407CF1C-BFB2-4F25-9D64-5D986D3A2631}"/>
    <cellStyle name="Normal_2010 06 22 - AA - Scheme Templates for data collection" xfId="233" xr:uid="{2E2E927C-3300-40EC-85AD-571ED05832D7}"/>
    <cellStyle name="Normal_2010 06 22 - IE - Scheme Template for data collection" xfId="234" xr:uid="{5577133D-13EF-4F58-94A1-D575A5289EDB}"/>
    <cellStyle name="Normal_Book1" xfId="235" xr:uid="{16A6C456-8BB6-4D38-A538-9983DB620594}"/>
    <cellStyle name="Normal_D11 2371025  Financial information - 2012 Draft RIN - Ausgrid" xfId="236" xr:uid="{E4024992-1F47-4A5C-A180-8A59A7432A5C}"/>
    <cellStyle name="Normal_D11 2371025  Financial information - 2012 Draft RIN - Ausgrid 2" xfId="237" xr:uid="{66C7972B-FC9D-4751-ADED-E1CCA2D9D3A6}"/>
    <cellStyle name="Normal_D12 1569  Opex, DMIS, EBSS - 2012 draft RIN - Ausgrid" xfId="238" xr:uid="{D9C64CF5-1EFB-4910-8A51-06A10EC06192}"/>
    <cellStyle name="Normal_D12 16703  Overheads, Avoided Cost, ACS, Demand and Revenue - 2012 draft RIN - Ausgrid" xfId="239" xr:uid="{CDA5313A-0A59-483F-BC29-3A87A3085DF8}"/>
    <cellStyle name="Normal_D12 16703  Overheads, Avoided Cost, ACS, Demand and Revenue - 2012 draft RIN - Ausgrid 2" xfId="240" xr:uid="{6469D3FA-80EE-4677-9B13-6BE2F6E2A8B8}"/>
    <cellStyle name="Normal_D12 16703  Overheads, Avoided Cost, ACS, Demand and Revenue - 2012 draft RIN - Ausgrid 3" xfId="241" xr:uid="{7DDB8C73-78CB-4722-958B-E28EAA8DA233}"/>
    <cellStyle name="Normal_Sheet1" xfId="242" xr:uid="{C633B2B7-0FAA-444F-BB0F-0A4ADFF7DD05}"/>
    <cellStyle name="Normal_Sheet1 2" xfId="243" xr:uid="{289A8525-77D4-4C8B-BD4A-1B203A0D78B2}"/>
    <cellStyle name="Note" xfId="244" builtinId="10" customBuiltin="1"/>
    <cellStyle name="Note 2" xfId="245" xr:uid="{3FD5BF34-5197-4D5A-B1C1-3226B41481DA}"/>
    <cellStyle name="Note 2 2" xfId="246" xr:uid="{FD2D4A1B-DF4E-4225-A595-66887F7A687E}"/>
    <cellStyle name="Output" xfId="247" builtinId="21" customBuiltin="1"/>
    <cellStyle name="Output 2" xfId="248" xr:uid="{FD3329ED-5DA4-4274-8E4D-690B7CD2379C}"/>
    <cellStyle name="Per cent" xfId="249" builtinId="5"/>
    <cellStyle name="Per cent 2" xfId="250" xr:uid="{EDC4F840-4F65-43FD-87C5-795B7F905287}"/>
    <cellStyle name="Percent 2" xfId="251" xr:uid="{E435E16E-D721-4A83-90FE-F50EC117D19E}"/>
    <cellStyle name="Percent 2 2" xfId="252" xr:uid="{5DBABC00-71E5-46A4-B3EF-C90B918C5AB6}"/>
    <cellStyle name="Percent 2 2 2" xfId="253" xr:uid="{9D834C0B-2359-4047-93F8-D7972F736E43}"/>
    <cellStyle name="Percent 3" xfId="254" xr:uid="{AAC37629-D125-4FA3-BC2B-C0268B9C52E4}"/>
    <cellStyle name="Style 1" xfId="255" xr:uid="{80C9CEA9-23FF-4169-BF6F-3923838FC8C7}"/>
    <cellStyle name="Style 1 2" xfId="256" xr:uid="{7E8944C0-0F61-4378-92D8-EA709BA60531}"/>
    <cellStyle name="Style 1 2 2" xfId="257" xr:uid="{B93C5F03-3E25-4653-AED4-86352E9BC52B}"/>
    <cellStyle name="Style 1 2 2 2" xfId="258" xr:uid="{8E825761-A75D-450B-99E4-0C8EB2687D42}"/>
    <cellStyle name="Style 1 3" xfId="259" xr:uid="{48E9D339-710C-42F5-AF1A-D177E37D7ACF}"/>
    <cellStyle name="Style 1 3 2" xfId="260" xr:uid="{D301F1AE-730D-46C3-8B14-B4D41FE8BC0A}"/>
    <cellStyle name="Style 1 4" xfId="261" xr:uid="{A2C10263-1F86-4F50-9851-0C348F3E064D}"/>
    <cellStyle name="Style 1 4 2" xfId="262" xr:uid="{8637B74D-960F-48D3-90C5-1FBFEAD3A631}"/>
    <cellStyle name="Title" xfId="263" builtinId="15" customBuiltin="1"/>
    <cellStyle name="Total" xfId="264" builtinId="25" customBuiltin="1"/>
    <cellStyle name="Warning Text" xfId="265" builtinId="11" customBuiltin="1"/>
  </cellStyles>
  <dxfs count="97">
    <dxf>
      <font>
        <color auto="1"/>
      </font>
      <fill>
        <patternFill>
          <fgColor indexed="64"/>
          <bgColor rgb="FFFF0000"/>
        </patternFill>
      </fill>
    </dxf>
    <dxf>
      <font>
        <color rgb="FF9C0006"/>
      </font>
      <fill>
        <patternFill>
          <bgColor rgb="FFFFC7CE"/>
        </patternFill>
      </fill>
    </dxf>
    <dxf>
      <font>
        <color rgb="FF2B7AAF"/>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auto="1"/>
      </font>
      <fill>
        <patternFill>
          <fgColor indexed="64"/>
          <bgColor rgb="FFFF0000"/>
        </patternFill>
      </fill>
    </dxf>
    <dxf>
      <font>
        <color rgb="FF9C0006"/>
      </font>
      <fill>
        <patternFill>
          <bgColor rgb="FFFFC7CE"/>
        </patternFill>
      </fill>
    </dxf>
    <dxf>
      <font>
        <color theme="0" tint="-0.24994659260841701"/>
      </font>
      <numFmt numFmtId="176" formatCode="&quot; -&quot;"/>
    </dxf>
    <dxf>
      <alignment vertical="center" textRotation="0" indent="0" justifyLastLine="0" shrinkToFit="0" readingOrder="0"/>
    </dxf>
    <dxf>
      <alignment vertical="center" textRotation="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horizontal="center" vertical="center" textRotation="0" wrapText="0" indent="0" justifyLastLine="0" shrinkToFit="0" readingOrder="0"/>
    </dxf>
    <dxf>
      <alignment vertical="center" textRotation="0" indent="0" justifyLastLine="0" shrinkToFit="0" readingOrder="0"/>
    </dxf>
    <dxf>
      <alignment vertical="center" textRotation="0" indent="0" justifyLastLine="0" shrinkToFit="0" readingOrder="0"/>
    </dxf>
    <dxf>
      <fill>
        <patternFill patternType="solid">
          <fgColor indexed="64"/>
          <bgColor theme="3" tint="0.59999389629810485"/>
        </patternFill>
      </fill>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auto="1"/>
        <name val="Arial"/>
        <family val="2"/>
        <scheme val="none"/>
      </font>
    </dxf>
    <dxf>
      <border outline="0">
        <top style="thin">
          <color theme="4"/>
        </top>
      </border>
    </dxf>
    <dxf>
      <font>
        <b/>
        <i val="0"/>
        <strike val="0"/>
        <condense val="0"/>
        <extend val="0"/>
        <outline val="0"/>
        <shadow val="0"/>
        <u val="none"/>
        <vertAlign val="baseline"/>
        <sz val="10"/>
        <color theme="0"/>
        <name val="Arial"/>
        <family val="2"/>
        <scheme val="none"/>
      </font>
      <fill>
        <patternFill patternType="solid">
          <fgColor indexed="64"/>
          <bgColor rgb="FF2B7AA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Revenue allocation to pipeline services</a:t>
            </a:r>
          </a:p>
        </c:rich>
      </c:tx>
      <c:overlay val="0"/>
      <c:spPr>
        <a:noFill/>
        <a:ln w="25400">
          <a:noFill/>
        </a:ln>
      </c:spPr>
    </c:title>
    <c:autoTitleDeleted val="0"/>
    <c:plotArea>
      <c:layout>
        <c:manualLayout>
          <c:layoutTarget val="inner"/>
          <c:xMode val="edge"/>
          <c:yMode val="edge"/>
          <c:x val="0.24177040996089655"/>
          <c:y val="6.7078467027851196E-2"/>
          <c:w val="0.53318213061065745"/>
          <c:h val="0.7986917755772150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1599-4C69-8574-33B6D21AA206}"/>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1599-4C69-8574-33B6D21AA206}"/>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1599-4C69-8574-33B6D21AA206}"/>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1599-4C69-8574-33B6D21AA206}"/>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1599-4C69-8574-33B6D21AA206}"/>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1599-4C69-8574-33B6D21AA206}"/>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1599-4C69-8574-33B6D21AA206}"/>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1599-4C69-8574-33B6D21AA206}"/>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1599-4C69-8574-33B6D21AA206}"/>
              </c:ext>
            </c:extLst>
          </c:dPt>
          <c:dPt>
            <c:idx val="9"/>
            <c:bubble3D val="0"/>
            <c:extLst>
              <c:ext xmlns:c16="http://schemas.microsoft.com/office/drawing/2014/chart" uri="{C3380CC4-5D6E-409C-BE32-E72D297353CC}">
                <c16:uniqueId val="{00000009-1599-4C69-8574-33B6D21AA206}"/>
              </c:ext>
            </c:extLst>
          </c:dPt>
          <c:dLbls>
            <c:dLbl>
              <c:idx val="1"/>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1-1599-4C69-8574-33B6D21AA206}"/>
                </c:ext>
              </c:extLst>
            </c:dLbl>
            <c:dLbl>
              <c:idx val="4"/>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4-1599-4C69-8574-33B6D21AA206}"/>
                </c:ext>
              </c:extLst>
            </c:dLbl>
            <c:dLbl>
              <c:idx val="5"/>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5-1599-4C69-8574-33B6D21AA206}"/>
                </c:ext>
              </c:extLst>
            </c:dLbl>
            <c:dLbl>
              <c:idx val="6"/>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6-1599-4C69-8574-33B6D21AA206}"/>
                </c:ext>
              </c:extLst>
            </c:dLbl>
            <c:dLbl>
              <c:idx val="7"/>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7-1599-4C69-8574-33B6D21AA206}"/>
                </c:ext>
              </c:extLst>
            </c:dLbl>
            <c:dLbl>
              <c:idx val="8"/>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8-1599-4C69-8574-33B6D21AA206}"/>
                </c:ext>
              </c:extLst>
            </c:dLbl>
            <c:dLbl>
              <c:idx val="9"/>
              <c:numFmt formatCode="0%;\-0%;\ &quot;&quot;"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6="http://schemas.microsoft.com/office/drawing/2014/chart" uri="{C3380CC4-5D6E-409C-BE32-E72D297353CC}">
                  <c16:uniqueId val="{00000009-1599-4C69-8574-33B6D21AA206}"/>
                </c:ext>
              </c:extLst>
            </c:dLbl>
            <c:numFmt formatCode="0%;\-0%;\ &quot;&quot;"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expenses'!$D$12:$D$21</c:f>
              <c:numCache>
                <c:formatCode>_(* #,##0_);_(* \(#,##0\);_(* ""_);_(@_)</c:formatCode>
                <c:ptCount val="10"/>
                <c:pt idx="0">
                  <c:v>10177177.079984827</c:v>
                </c:pt>
                <c:pt idx="1">
                  <c:v>0</c:v>
                </c:pt>
                <c:pt idx="2">
                  <c:v>211679.83355433357</c:v>
                </c:pt>
                <c:pt idx="3">
                  <c:v>0</c:v>
                </c:pt>
                <c:pt idx="4">
                  <c:v>0</c:v>
                </c:pt>
                <c:pt idx="5">
                  <c:v>0</c:v>
                </c:pt>
                <c:pt idx="6">
                  <c:v>0</c:v>
                </c:pt>
                <c:pt idx="7">
                  <c:v>1004.3118106771674</c:v>
                </c:pt>
                <c:pt idx="8">
                  <c:v>14474.382666275087</c:v>
                </c:pt>
                <c:pt idx="9">
                  <c:v>66845.127725047394</c:v>
                </c:pt>
              </c:numCache>
            </c:numRef>
          </c:val>
          <c:extLst>
            <c:ext xmlns:c16="http://schemas.microsoft.com/office/drawing/2014/chart" uri="{C3380CC4-5D6E-409C-BE32-E72D297353CC}">
              <c16:uniqueId val="{0000000A-1599-4C69-8574-33B6D21AA206}"/>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9670394583383235"/>
          <c:y val="0.1611816062992126"/>
          <c:w val="0.3990304684692636"/>
          <c:h val="0.57060674015748025"/>
        </c:manualLayout>
      </c:layout>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Expense allocation to pipeline services</a:t>
            </a:r>
          </a:p>
        </c:rich>
      </c:tx>
      <c:overlay val="0"/>
      <c:spPr>
        <a:noFill/>
        <a:ln w="25400">
          <a:noFill/>
        </a:ln>
      </c:spPr>
    </c:title>
    <c:autoTitleDeleted val="0"/>
    <c:plotArea>
      <c:layout>
        <c:manualLayout>
          <c:layoutTarget val="inner"/>
          <c:xMode val="edge"/>
          <c:yMode val="edge"/>
          <c:x val="0.26497122127771"/>
          <c:y val="5.9444058054497949E-2"/>
          <c:w val="0.51226897399608629"/>
          <c:h val="0.79860449666463462"/>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0-53D3-4A3A-B73E-E019409520EF}"/>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1-53D3-4A3A-B73E-E019409520EF}"/>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2-53D3-4A3A-B73E-E019409520EF}"/>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3-53D3-4A3A-B73E-E019409520E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4-53D3-4A3A-B73E-E019409520EF}"/>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5-53D3-4A3A-B73E-E019409520EF}"/>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6-53D3-4A3A-B73E-E019409520EF}"/>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7-53D3-4A3A-B73E-E019409520EF}"/>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08-53D3-4A3A-B73E-E019409520EF}"/>
              </c:ext>
            </c:extLst>
          </c:dPt>
          <c:dPt>
            <c:idx val="9"/>
            <c:bubble3D val="0"/>
            <c:extLst>
              <c:ext xmlns:c16="http://schemas.microsoft.com/office/drawing/2014/chart" uri="{C3380CC4-5D6E-409C-BE32-E72D297353CC}">
                <c16:uniqueId val="{00000009-53D3-4A3A-B73E-E019409520EF}"/>
              </c:ext>
            </c:extLst>
          </c:dPt>
          <c:dLbls>
            <c:dLbl>
              <c:idx val="1"/>
              <c:layout>
                <c:manualLayout>
                  <c:x val="6.9658976245652565E-2"/>
                  <c:y val="-8.830867807170239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53D3-4A3A-B73E-E019409520EF}"/>
                </c:ext>
              </c:extLst>
            </c:dLbl>
            <c:dLbl>
              <c:idx val="4"/>
              <c:layout>
                <c:manualLayout>
                  <c:x val="9.4621200802816018E-3"/>
                  <c:y val="4.3372409002892416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53D3-4A3A-B73E-E019409520EF}"/>
                </c:ext>
              </c:extLst>
            </c:dLbl>
            <c:dLbl>
              <c:idx val="5"/>
              <c:layout>
                <c:manualLayout>
                  <c:x val="-3.4084159850856404E-4"/>
                  <c:y val="-1.0284269355420705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53D3-4A3A-B73E-E019409520EF}"/>
                </c:ext>
              </c:extLst>
            </c:dLbl>
            <c:dLbl>
              <c:idx val="6"/>
              <c:layout>
                <c:manualLayout>
                  <c:x val="-7.5549572047626046E-3"/>
                  <c:y val="-1.9087522533174253E-3"/>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53D3-4A3A-B73E-E019409520EF}"/>
                </c:ext>
              </c:extLst>
            </c:dLbl>
            <c:dLbl>
              <c:idx val="7"/>
              <c:layout>
                <c:manualLayout>
                  <c:x val="-7.0214069892144473E-3"/>
                  <c:y val="-3.5060841568912086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53D3-4A3A-B73E-E019409520EF}"/>
                </c:ext>
              </c:extLst>
            </c:dLbl>
            <c:dLbl>
              <c:idx val="8"/>
              <c:layout>
                <c:manualLayout>
                  <c:x val="2.3741561499401775E-4"/>
                  <c:y val="1.0101140760341207E-4"/>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8-53D3-4A3A-B73E-E019409520EF}"/>
                </c:ext>
              </c:extLst>
            </c:dLbl>
            <c:dLbl>
              <c:idx val="9"/>
              <c:layout>
                <c:manualLayout>
                  <c:x val="2.424949605010419E-4"/>
                  <c:y val="2.0644260931505398E-2"/>
                </c:manualLayout>
              </c:layout>
              <c:numFmt formatCode="0%;\-0%;\ &quot;&quot;\ " sourceLinked="0"/>
              <c:spPr>
                <a:noFill/>
                <a:ln w="25400">
                  <a:noFill/>
                </a:ln>
              </c:spPr>
              <c:txPr>
                <a:bodyPr/>
                <a:lstStyle/>
                <a:p>
                  <a:pPr>
                    <a:defRPr sz="900" b="0" i="0" u="none" strike="noStrike" baseline="0">
                      <a:solidFill>
                        <a:srgbClr val="000000"/>
                      </a:solidFill>
                      <a:latin typeface="Arial"/>
                      <a:ea typeface="Arial"/>
                      <a:cs typeface="Arial"/>
                    </a:defRPr>
                  </a:pPr>
                  <a:endParaRPr lang="en-US"/>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9-53D3-4A3A-B73E-E019409520EF}"/>
                </c:ext>
              </c:extLst>
            </c:dLbl>
            <c:numFmt formatCode="0%;\-0%;\ &quot;&quot;\ " sourceLinked="0"/>
            <c:spPr>
              <a:noFill/>
              <a:ln w="25400">
                <a:noFill/>
              </a:ln>
            </c:spPr>
            <c:txPr>
              <a:bodyPr wrap="square" lIns="38100" tIns="19050" rIns="38100" bIns="19050" anchor="ctr">
                <a:spAutoFit/>
              </a:bodyPr>
              <a:lstStyle/>
              <a:p>
                <a:pPr>
                  <a:defRPr sz="900" b="0" i="0" u="none" strike="noStrike" baseline="0">
                    <a:solidFill>
                      <a:srgbClr val="000000"/>
                    </a:solidFill>
                    <a:latin typeface="Arial"/>
                    <a:ea typeface="Arial"/>
                    <a:cs typeface="Arial"/>
                  </a:defRPr>
                </a:pPr>
                <a:endParaRPr lang="en-US"/>
              </a:p>
            </c:txPr>
            <c:showLegendKey val="0"/>
            <c:showVal val="0"/>
            <c:showCatName val="1"/>
            <c:showSerName val="0"/>
            <c:showPercent val="1"/>
            <c:showBubbleSize val="0"/>
            <c:showLeaderLines val="1"/>
            <c:extLst>
              <c:ext xmlns:c15="http://schemas.microsoft.com/office/drawing/2012/chart" uri="{CE6537A1-D6FC-4f65-9D91-7224C49458BB}"/>
            </c:extLst>
          </c:dLbls>
          <c:cat>
            <c:strRef>
              <c:f>'2. Revenue and expenses'!$E$12:$E$21</c:f>
              <c:strCache>
                <c:ptCount val="10"/>
                <c:pt idx="0">
                  <c:v>Firm forward haul transportation service</c:v>
                </c:pt>
                <c:pt idx="1">
                  <c:v>Backhaul service</c:v>
                </c:pt>
                <c:pt idx="2">
                  <c:v>Interruptible or as available transportation service</c:v>
                </c:pt>
                <c:pt idx="3">
                  <c:v>Firm stand-alone compression service</c:v>
                </c:pt>
                <c:pt idx="4">
                  <c:v>Interruptible or as available stand-alone compression service</c:v>
                </c:pt>
                <c:pt idx="5">
                  <c:v>Park service</c:v>
                </c:pt>
                <c:pt idx="6">
                  <c:v>Park and loan services</c:v>
                </c:pt>
                <c:pt idx="7">
                  <c:v>Capacity trading service</c:v>
                </c:pt>
                <c:pt idx="8">
                  <c:v>In pipe trading service</c:v>
                </c:pt>
                <c:pt idx="9">
                  <c:v>Other</c:v>
                </c:pt>
              </c:strCache>
            </c:strRef>
          </c:cat>
          <c:val>
            <c:numRef>
              <c:f>'2. Revenue and expenses'!$F$12:$F$21</c:f>
              <c:numCache>
                <c:formatCode>_(* #,##0_);_(* \(#,##0\);_(* ""_);_(@_)</c:formatCode>
                <c:ptCount val="10"/>
                <c:pt idx="0">
                  <c:v>4854556.2877906924</c:v>
                </c:pt>
                <c:pt idx="1">
                  <c:v>0</c:v>
                </c:pt>
                <c:pt idx="2">
                  <c:v>100972.17125175631</c:v>
                </c:pt>
                <c:pt idx="3">
                  <c:v>0</c:v>
                </c:pt>
                <c:pt idx="4">
                  <c:v>0</c:v>
                </c:pt>
                <c:pt idx="5">
                  <c:v>0</c:v>
                </c:pt>
                <c:pt idx="6">
                  <c:v>0</c:v>
                </c:pt>
                <c:pt idx="7">
                  <c:v>479.06095935127098</c:v>
                </c:pt>
                <c:pt idx="8">
                  <c:v>6904.3414330134738</c:v>
                </c:pt>
                <c:pt idx="9">
                  <c:v>31885.407176808658</c:v>
                </c:pt>
              </c:numCache>
            </c:numRef>
          </c:val>
          <c:extLst>
            <c:ext xmlns:c16="http://schemas.microsoft.com/office/drawing/2014/chart" uri="{C3380CC4-5D6E-409C-BE32-E72D297353CC}">
              <c16:uniqueId val="{0000000A-53D3-4A3A-B73E-E019409520EF}"/>
            </c:ext>
          </c:extLst>
        </c:ser>
        <c:dLbls>
          <c:showLegendKey val="0"/>
          <c:showVal val="0"/>
          <c:showCatName val="0"/>
          <c:showSerName val="0"/>
          <c:showPercent val="0"/>
          <c:showBubbleSize val="0"/>
          <c:showLeaderLines val="1"/>
        </c:dLbls>
        <c:firstSliceAng val="0"/>
      </c:pieChart>
      <c:spPr>
        <a:noFill/>
        <a:ln w="25400">
          <a:noFill/>
        </a:ln>
      </c:spPr>
    </c:plotArea>
    <c:legend>
      <c:legendPos val="r"/>
      <c:layout>
        <c:manualLayout>
          <c:xMode val="edge"/>
          <c:yMode val="edge"/>
          <c:x val="0.53273365781061355"/>
          <c:y val="0.159015653467656"/>
          <c:w val="0.46231900014426841"/>
          <c:h val="0.5712785661600146"/>
        </c:manualLayout>
      </c:layout>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Historical demand</a:t>
            </a:r>
          </a:p>
        </c:rich>
      </c:tx>
      <c:overlay val="0"/>
      <c:spPr>
        <a:noFill/>
        <a:ln w="25400">
          <a:noFill/>
        </a:ln>
      </c:spPr>
    </c:title>
    <c:autoTitleDeleted val="0"/>
    <c:plotArea>
      <c:layout/>
      <c:barChart>
        <c:barDir val="col"/>
        <c:grouping val="stacked"/>
        <c:varyColors val="0"/>
        <c:ser>
          <c:idx val="0"/>
          <c:order val="0"/>
          <c:tx>
            <c:strRef>
              <c:f>'5. Historical demand'!$C$40:$C$41</c:f>
              <c:strCache>
                <c:ptCount val="2"/>
                <c:pt idx="0">
                  <c:v>Contracted firm capacity-transportation</c:v>
                </c:pt>
                <c:pt idx="1">
                  <c:v>TJ/day</c:v>
                </c:pt>
              </c:strCache>
            </c:strRef>
          </c:tx>
          <c:spPr>
            <a:solidFill>
              <a:schemeClr val="accent6">
                <a:lumMod val="60000"/>
                <a:lumOff val="40000"/>
              </a:schemeClr>
            </a:solidFill>
            <a:ln w="28575" cap="rnd">
              <a:solidFill>
                <a:schemeClr val="accent6">
                  <a:lumMod val="60000"/>
                  <a:lumOff val="40000"/>
                </a:schemeClr>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demand'!$C$43:$C$408</c:f>
              <c:numCache>
                <c:formatCode>_(* #,##0_);_(* \(#,##0\);_(* "-"_);_(@_)</c:formatCode>
                <c:ptCount val="366"/>
                <c:pt idx="0">
                  <c:v>600</c:v>
                </c:pt>
                <c:pt idx="1">
                  <c:v>600</c:v>
                </c:pt>
                <c:pt idx="2">
                  <c:v>600</c:v>
                </c:pt>
                <c:pt idx="3">
                  <c:v>600</c:v>
                </c:pt>
                <c:pt idx="4">
                  <c:v>600</c:v>
                </c:pt>
                <c:pt idx="5">
                  <c:v>600</c:v>
                </c:pt>
                <c:pt idx="6">
                  <c:v>600</c:v>
                </c:pt>
                <c:pt idx="7">
                  <c:v>600</c:v>
                </c:pt>
                <c:pt idx="8">
                  <c:v>600</c:v>
                </c:pt>
                <c:pt idx="9">
                  <c:v>600</c:v>
                </c:pt>
                <c:pt idx="10">
                  <c:v>600</c:v>
                </c:pt>
                <c:pt idx="11">
                  <c:v>600</c:v>
                </c:pt>
                <c:pt idx="12">
                  <c:v>600</c:v>
                </c:pt>
                <c:pt idx="13">
                  <c:v>600</c:v>
                </c:pt>
                <c:pt idx="14">
                  <c:v>600</c:v>
                </c:pt>
                <c:pt idx="15">
                  <c:v>600</c:v>
                </c:pt>
                <c:pt idx="16">
                  <c:v>600</c:v>
                </c:pt>
                <c:pt idx="17">
                  <c:v>600</c:v>
                </c:pt>
                <c:pt idx="18">
                  <c:v>600</c:v>
                </c:pt>
                <c:pt idx="19">
                  <c:v>600</c:v>
                </c:pt>
                <c:pt idx="20">
                  <c:v>600</c:v>
                </c:pt>
                <c:pt idx="21">
                  <c:v>600</c:v>
                </c:pt>
                <c:pt idx="22">
                  <c:v>600</c:v>
                </c:pt>
                <c:pt idx="23">
                  <c:v>600</c:v>
                </c:pt>
                <c:pt idx="24">
                  <c:v>600</c:v>
                </c:pt>
                <c:pt idx="25">
                  <c:v>600</c:v>
                </c:pt>
                <c:pt idx="26">
                  <c:v>600</c:v>
                </c:pt>
                <c:pt idx="27">
                  <c:v>600</c:v>
                </c:pt>
                <c:pt idx="28">
                  <c:v>600</c:v>
                </c:pt>
                <c:pt idx="29">
                  <c:v>600</c:v>
                </c:pt>
                <c:pt idx="30">
                  <c:v>600</c:v>
                </c:pt>
                <c:pt idx="31">
                  <c:v>600</c:v>
                </c:pt>
                <c:pt idx="32">
                  <c:v>600</c:v>
                </c:pt>
                <c:pt idx="33">
                  <c:v>600</c:v>
                </c:pt>
                <c:pt idx="34">
                  <c:v>600</c:v>
                </c:pt>
                <c:pt idx="35">
                  <c:v>600</c:v>
                </c:pt>
                <c:pt idx="36">
                  <c:v>600</c:v>
                </c:pt>
                <c:pt idx="37">
                  <c:v>600</c:v>
                </c:pt>
                <c:pt idx="38">
                  <c:v>600</c:v>
                </c:pt>
                <c:pt idx="39">
                  <c:v>600</c:v>
                </c:pt>
                <c:pt idx="40">
                  <c:v>600</c:v>
                </c:pt>
                <c:pt idx="41">
                  <c:v>600</c:v>
                </c:pt>
                <c:pt idx="42">
                  <c:v>600</c:v>
                </c:pt>
                <c:pt idx="43">
                  <c:v>600</c:v>
                </c:pt>
                <c:pt idx="44">
                  <c:v>600</c:v>
                </c:pt>
                <c:pt idx="45">
                  <c:v>600</c:v>
                </c:pt>
                <c:pt idx="46">
                  <c:v>600</c:v>
                </c:pt>
                <c:pt idx="47">
                  <c:v>600</c:v>
                </c:pt>
                <c:pt idx="48">
                  <c:v>600</c:v>
                </c:pt>
                <c:pt idx="49">
                  <c:v>600</c:v>
                </c:pt>
                <c:pt idx="50">
                  <c:v>600</c:v>
                </c:pt>
                <c:pt idx="51">
                  <c:v>600</c:v>
                </c:pt>
                <c:pt idx="52">
                  <c:v>600</c:v>
                </c:pt>
                <c:pt idx="53">
                  <c:v>600</c:v>
                </c:pt>
                <c:pt idx="54">
                  <c:v>600</c:v>
                </c:pt>
                <c:pt idx="55">
                  <c:v>600</c:v>
                </c:pt>
                <c:pt idx="56">
                  <c:v>600</c:v>
                </c:pt>
                <c:pt idx="57">
                  <c:v>600</c:v>
                </c:pt>
                <c:pt idx="58">
                  <c:v>600</c:v>
                </c:pt>
                <c:pt idx="59">
                  <c:v>600</c:v>
                </c:pt>
                <c:pt idx="60">
                  <c:v>600</c:v>
                </c:pt>
                <c:pt idx="61">
                  <c:v>600</c:v>
                </c:pt>
                <c:pt idx="62">
                  <c:v>600</c:v>
                </c:pt>
                <c:pt idx="63">
                  <c:v>600</c:v>
                </c:pt>
                <c:pt idx="64">
                  <c:v>600</c:v>
                </c:pt>
                <c:pt idx="65">
                  <c:v>600</c:v>
                </c:pt>
                <c:pt idx="66">
                  <c:v>600</c:v>
                </c:pt>
                <c:pt idx="67">
                  <c:v>600</c:v>
                </c:pt>
                <c:pt idx="68">
                  <c:v>600</c:v>
                </c:pt>
                <c:pt idx="69">
                  <c:v>600</c:v>
                </c:pt>
                <c:pt idx="70">
                  <c:v>600</c:v>
                </c:pt>
                <c:pt idx="71">
                  <c:v>600</c:v>
                </c:pt>
                <c:pt idx="72">
                  <c:v>600</c:v>
                </c:pt>
                <c:pt idx="73">
                  <c:v>600</c:v>
                </c:pt>
                <c:pt idx="74">
                  <c:v>600</c:v>
                </c:pt>
                <c:pt idx="75">
                  <c:v>600</c:v>
                </c:pt>
                <c:pt idx="76">
                  <c:v>600</c:v>
                </c:pt>
                <c:pt idx="77">
                  <c:v>600</c:v>
                </c:pt>
                <c:pt idx="78">
                  <c:v>600</c:v>
                </c:pt>
                <c:pt idx="79">
                  <c:v>600</c:v>
                </c:pt>
                <c:pt idx="80">
                  <c:v>600</c:v>
                </c:pt>
                <c:pt idx="81">
                  <c:v>600</c:v>
                </c:pt>
                <c:pt idx="82">
                  <c:v>600</c:v>
                </c:pt>
                <c:pt idx="83">
                  <c:v>600</c:v>
                </c:pt>
                <c:pt idx="84">
                  <c:v>600</c:v>
                </c:pt>
                <c:pt idx="85">
                  <c:v>600</c:v>
                </c:pt>
                <c:pt idx="86">
                  <c:v>600</c:v>
                </c:pt>
                <c:pt idx="87">
                  <c:v>600</c:v>
                </c:pt>
                <c:pt idx="88">
                  <c:v>600</c:v>
                </c:pt>
                <c:pt idx="89">
                  <c:v>600</c:v>
                </c:pt>
                <c:pt idx="90">
                  <c:v>600</c:v>
                </c:pt>
                <c:pt idx="91">
                  <c:v>600</c:v>
                </c:pt>
                <c:pt idx="92">
                  <c:v>600</c:v>
                </c:pt>
                <c:pt idx="93">
                  <c:v>600</c:v>
                </c:pt>
                <c:pt idx="94">
                  <c:v>600</c:v>
                </c:pt>
                <c:pt idx="95">
                  <c:v>600</c:v>
                </c:pt>
                <c:pt idx="96">
                  <c:v>600</c:v>
                </c:pt>
                <c:pt idx="97">
                  <c:v>600</c:v>
                </c:pt>
                <c:pt idx="98">
                  <c:v>600</c:v>
                </c:pt>
                <c:pt idx="99">
                  <c:v>600</c:v>
                </c:pt>
                <c:pt idx="100">
                  <c:v>600</c:v>
                </c:pt>
                <c:pt idx="101">
                  <c:v>600</c:v>
                </c:pt>
                <c:pt idx="102">
                  <c:v>600</c:v>
                </c:pt>
                <c:pt idx="103">
                  <c:v>600</c:v>
                </c:pt>
                <c:pt idx="104">
                  <c:v>600</c:v>
                </c:pt>
                <c:pt idx="105">
                  <c:v>600</c:v>
                </c:pt>
                <c:pt idx="106">
                  <c:v>600</c:v>
                </c:pt>
                <c:pt idx="107">
                  <c:v>600</c:v>
                </c:pt>
                <c:pt idx="108">
                  <c:v>600</c:v>
                </c:pt>
                <c:pt idx="109">
                  <c:v>600</c:v>
                </c:pt>
                <c:pt idx="110">
                  <c:v>600</c:v>
                </c:pt>
                <c:pt idx="111">
                  <c:v>600</c:v>
                </c:pt>
                <c:pt idx="112">
                  <c:v>600</c:v>
                </c:pt>
                <c:pt idx="113">
                  <c:v>600</c:v>
                </c:pt>
                <c:pt idx="114">
                  <c:v>600</c:v>
                </c:pt>
                <c:pt idx="115">
                  <c:v>600</c:v>
                </c:pt>
                <c:pt idx="116">
                  <c:v>600</c:v>
                </c:pt>
                <c:pt idx="117">
                  <c:v>600</c:v>
                </c:pt>
                <c:pt idx="118">
                  <c:v>600</c:v>
                </c:pt>
                <c:pt idx="119">
                  <c:v>600</c:v>
                </c:pt>
                <c:pt idx="120">
                  <c:v>600</c:v>
                </c:pt>
                <c:pt idx="121">
                  <c:v>600</c:v>
                </c:pt>
                <c:pt idx="122">
                  <c:v>600</c:v>
                </c:pt>
                <c:pt idx="123">
                  <c:v>600</c:v>
                </c:pt>
                <c:pt idx="124">
                  <c:v>600</c:v>
                </c:pt>
                <c:pt idx="125">
                  <c:v>600</c:v>
                </c:pt>
                <c:pt idx="126">
                  <c:v>600</c:v>
                </c:pt>
                <c:pt idx="127">
                  <c:v>600</c:v>
                </c:pt>
                <c:pt idx="128">
                  <c:v>600</c:v>
                </c:pt>
                <c:pt idx="129">
                  <c:v>600</c:v>
                </c:pt>
                <c:pt idx="130">
                  <c:v>600</c:v>
                </c:pt>
                <c:pt idx="131">
                  <c:v>600</c:v>
                </c:pt>
                <c:pt idx="132">
                  <c:v>600</c:v>
                </c:pt>
                <c:pt idx="133">
                  <c:v>600</c:v>
                </c:pt>
                <c:pt idx="134">
                  <c:v>600</c:v>
                </c:pt>
                <c:pt idx="135">
                  <c:v>600</c:v>
                </c:pt>
                <c:pt idx="136">
                  <c:v>600</c:v>
                </c:pt>
                <c:pt idx="137">
                  <c:v>600</c:v>
                </c:pt>
                <c:pt idx="138">
                  <c:v>600</c:v>
                </c:pt>
                <c:pt idx="139">
                  <c:v>600</c:v>
                </c:pt>
                <c:pt idx="140">
                  <c:v>600</c:v>
                </c:pt>
                <c:pt idx="141">
                  <c:v>600</c:v>
                </c:pt>
                <c:pt idx="142">
                  <c:v>600</c:v>
                </c:pt>
                <c:pt idx="143">
                  <c:v>600</c:v>
                </c:pt>
                <c:pt idx="144">
                  <c:v>600</c:v>
                </c:pt>
                <c:pt idx="145">
                  <c:v>600</c:v>
                </c:pt>
                <c:pt idx="146">
                  <c:v>600</c:v>
                </c:pt>
                <c:pt idx="147">
                  <c:v>600</c:v>
                </c:pt>
                <c:pt idx="148">
                  <c:v>600</c:v>
                </c:pt>
                <c:pt idx="149">
                  <c:v>600</c:v>
                </c:pt>
                <c:pt idx="150">
                  <c:v>600</c:v>
                </c:pt>
                <c:pt idx="151">
                  <c:v>600</c:v>
                </c:pt>
                <c:pt idx="152">
                  <c:v>600</c:v>
                </c:pt>
                <c:pt idx="153">
                  <c:v>600</c:v>
                </c:pt>
                <c:pt idx="154">
                  <c:v>600</c:v>
                </c:pt>
                <c:pt idx="155">
                  <c:v>600</c:v>
                </c:pt>
                <c:pt idx="156">
                  <c:v>600</c:v>
                </c:pt>
                <c:pt idx="157">
                  <c:v>600</c:v>
                </c:pt>
                <c:pt idx="158">
                  <c:v>600</c:v>
                </c:pt>
                <c:pt idx="159">
                  <c:v>600</c:v>
                </c:pt>
                <c:pt idx="160">
                  <c:v>600</c:v>
                </c:pt>
                <c:pt idx="161">
                  <c:v>600</c:v>
                </c:pt>
                <c:pt idx="162">
                  <c:v>600</c:v>
                </c:pt>
                <c:pt idx="163">
                  <c:v>600</c:v>
                </c:pt>
                <c:pt idx="164">
                  <c:v>600</c:v>
                </c:pt>
                <c:pt idx="165">
                  <c:v>600</c:v>
                </c:pt>
                <c:pt idx="166">
                  <c:v>600</c:v>
                </c:pt>
                <c:pt idx="167">
                  <c:v>600</c:v>
                </c:pt>
                <c:pt idx="168">
                  <c:v>600</c:v>
                </c:pt>
                <c:pt idx="169">
                  <c:v>600</c:v>
                </c:pt>
                <c:pt idx="170">
                  <c:v>600</c:v>
                </c:pt>
                <c:pt idx="171">
                  <c:v>600</c:v>
                </c:pt>
                <c:pt idx="172">
                  <c:v>600</c:v>
                </c:pt>
                <c:pt idx="173">
                  <c:v>600</c:v>
                </c:pt>
                <c:pt idx="174">
                  <c:v>600</c:v>
                </c:pt>
                <c:pt idx="175">
                  <c:v>600</c:v>
                </c:pt>
                <c:pt idx="176">
                  <c:v>600</c:v>
                </c:pt>
                <c:pt idx="177">
                  <c:v>600</c:v>
                </c:pt>
                <c:pt idx="178">
                  <c:v>600</c:v>
                </c:pt>
                <c:pt idx="179">
                  <c:v>600</c:v>
                </c:pt>
                <c:pt idx="180">
                  <c:v>600</c:v>
                </c:pt>
                <c:pt idx="181">
                  <c:v>600</c:v>
                </c:pt>
                <c:pt idx="182">
                  <c:v>600</c:v>
                </c:pt>
                <c:pt idx="183">
                  <c:v>600</c:v>
                </c:pt>
                <c:pt idx="184">
                  <c:v>600</c:v>
                </c:pt>
                <c:pt idx="185">
                  <c:v>600</c:v>
                </c:pt>
                <c:pt idx="186">
                  <c:v>600</c:v>
                </c:pt>
                <c:pt idx="187">
                  <c:v>600</c:v>
                </c:pt>
                <c:pt idx="188">
                  <c:v>600</c:v>
                </c:pt>
                <c:pt idx="189">
                  <c:v>600</c:v>
                </c:pt>
                <c:pt idx="190">
                  <c:v>600</c:v>
                </c:pt>
                <c:pt idx="191">
                  <c:v>600</c:v>
                </c:pt>
                <c:pt idx="192">
                  <c:v>600</c:v>
                </c:pt>
                <c:pt idx="193">
                  <c:v>600</c:v>
                </c:pt>
                <c:pt idx="194">
                  <c:v>600</c:v>
                </c:pt>
                <c:pt idx="195">
                  <c:v>600</c:v>
                </c:pt>
                <c:pt idx="196">
                  <c:v>600</c:v>
                </c:pt>
                <c:pt idx="197">
                  <c:v>600</c:v>
                </c:pt>
                <c:pt idx="198">
                  <c:v>600</c:v>
                </c:pt>
                <c:pt idx="199">
                  <c:v>600</c:v>
                </c:pt>
                <c:pt idx="200">
                  <c:v>600</c:v>
                </c:pt>
                <c:pt idx="201">
                  <c:v>600</c:v>
                </c:pt>
                <c:pt idx="202">
                  <c:v>600</c:v>
                </c:pt>
                <c:pt idx="203">
                  <c:v>600</c:v>
                </c:pt>
                <c:pt idx="204">
                  <c:v>600</c:v>
                </c:pt>
                <c:pt idx="205">
                  <c:v>600</c:v>
                </c:pt>
                <c:pt idx="206">
                  <c:v>600</c:v>
                </c:pt>
                <c:pt idx="207">
                  <c:v>600</c:v>
                </c:pt>
                <c:pt idx="208">
                  <c:v>600</c:v>
                </c:pt>
                <c:pt idx="209">
                  <c:v>600</c:v>
                </c:pt>
                <c:pt idx="210">
                  <c:v>600</c:v>
                </c:pt>
                <c:pt idx="211">
                  <c:v>600</c:v>
                </c:pt>
                <c:pt idx="212">
                  <c:v>600</c:v>
                </c:pt>
                <c:pt idx="213">
                  <c:v>600</c:v>
                </c:pt>
                <c:pt idx="214">
                  <c:v>600</c:v>
                </c:pt>
                <c:pt idx="215">
                  <c:v>600</c:v>
                </c:pt>
                <c:pt idx="216">
                  <c:v>600</c:v>
                </c:pt>
                <c:pt idx="217">
                  <c:v>600</c:v>
                </c:pt>
                <c:pt idx="218">
                  <c:v>600</c:v>
                </c:pt>
                <c:pt idx="219">
                  <c:v>600</c:v>
                </c:pt>
                <c:pt idx="220">
                  <c:v>600</c:v>
                </c:pt>
                <c:pt idx="221">
                  <c:v>600</c:v>
                </c:pt>
                <c:pt idx="222">
                  <c:v>600</c:v>
                </c:pt>
                <c:pt idx="223">
                  <c:v>600</c:v>
                </c:pt>
                <c:pt idx="224">
                  <c:v>600</c:v>
                </c:pt>
                <c:pt idx="225">
                  <c:v>600</c:v>
                </c:pt>
                <c:pt idx="226">
                  <c:v>600</c:v>
                </c:pt>
                <c:pt idx="227">
                  <c:v>600</c:v>
                </c:pt>
                <c:pt idx="228">
                  <c:v>600</c:v>
                </c:pt>
                <c:pt idx="229">
                  <c:v>600</c:v>
                </c:pt>
                <c:pt idx="230">
                  <c:v>600</c:v>
                </c:pt>
                <c:pt idx="231">
                  <c:v>600</c:v>
                </c:pt>
                <c:pt idx="232">
                  <c:v>600</c:v>
                </c:pt>
                <c:pt idx="233">
                  <c:v>600</c:v>
                </c:pt>
                <c:pt idx="234">
                  <c:v>600</c:v>
                </c:pt>
                <c:pt idx="235">
                  <c:v>600</c:v>
                </c:pt>
                <c:pt idx="236">
                  <c:v>600</c:v>
                </c:pt>
                <c:pt idx="237">
                  <c:v>600</c:v>
                </c:pt>
                <c:pt idx="238">
                  <c:v>600</c:v>
                </c:pt>
                <c:pt idx="239">
                  <c:v>600</c:v>
                </c:pt>
                <c:pt idx="240">
                  <c:v>600</c:v>
                </c:pt>
                <c:pt idx="241">
                  <c:v>600</c:v>
                </c:pt>
                <c:pt idx="242">
                  <c:v>600</c:v>
                </c:pt>
                <c:pt idx="243">
                  <c:v>600</c:v>
                </c:pt>
                <c:pt idx="244">
                  <c:v>600</c:v>
                </c:pt>
                <c:pt idx="245">
                  <c:v>600</c:v>
                </c:pt>
                <c:pt idx="246">
                  <c:v>600</c:v>
                </c:pt>
                <c:pt idx="247">
                  <c:v>600</c:v>
                </c:pt>
                <c:pt idx="248">
                  <c:v>600</c:v>
                </c:pt>
                <c:pt idx="249">
                  <c:v>600</c:v>
                </c:pt>
                <c:pt idx="250">
                  <c:v>600</c:v>
                </c:pt>
                <c:pt idx="251">
                  <c:v>600</c:v>
                </c:pt>
                <c:pt idx="252">
                  <c:v>600</c:v>
                </c:pt>
                <c:pt idx="253">
                  <c:v>600</c:v>
                </c:pt>
                <c:pt idx="254">
                  <c:v>600</c:v>
                </c:pt>
                <c:pt idx="255">
                  <c:v>600</c:v>
                </c:pt>
                <c:pt idx="256">
                  <c:v>600</c:v>
                </c:pt>
                <c:pt idx="257">
                  <c:v>600</c:v>
                </c:pt>
                <c:pt idx="258">
                  <c:v>600</c:v>
                </c:pt>
                <c:pt idx="259">
                  <c:v>600</c:v>
                </c:pt>
                <c:pt idx="260">
                  <c:v>600</c:v>
                </c:pt>
                <c:pt idx="261">
                  <c:v>600</c:v>
                </c:pt>
                <c:pt idx="262">
                  <c:v>600</c:v>
                </c:pt>
                <c:pt idx="263">
                  <c:v>600</c:v>
                </c:pt>
                <c:pt idx="264">
                  <c:v>600</c:v>
                </c:pt>
                <c:pt idx="265">
                  <c:v>600</c:v>
                </c:pt>
                <c:pt idx="266">
                  <c:v>600</c:v>
                </c:pt>
                <c:pt idx="267">
                  <c:v>600</c:v>
                </c:pt>
                <c:pt idx="268">
                  <c:v>600</c:v>
                </c:pt>
                <c:pt idx="269">
                  <c:v>600</c:v>
                </c:pt>
                <c:pt idx="270">
                  <c:v>600</c:v>
                </c:pt>
                <c:pt idx="271">
                  <c:v>600</c:v>
                </c:pt>
                <c:pt idx="272">
                  <c:v>600</c:v>
                </c:pt>
                <c:pt idx="273">
                  <c:v>600</c:v>
                </c:pt>
                <c:pt idx="274">
                  <c:v>600</c:v>
                </c:pt>
                <c:pt idx="275">
                  <c:v>600</c:v>
                </c:pt>
                <c:pt idx="276">
                  <c:v>600</c:v>
                </c:pt>
                <c:pt idx="277">
                  <c:v>600</c:v>
                </c:pt>
                <c:pt idx="278">
                  <c:v>600</c:v>
                </c:pt>
                <c:pt idx="279">
                  <c:v>600</c:v>
                </c:pt>
                <c:pt idx="280">
                  <c:v>600</c:v>
                </c:pt>
                <c:pt idx="281">
                  <c:v>600</c:v>
                </c:pt>
                <c:pt idx="282">
                  <c:v>600</c:v>
                </c:pt>
                <c:pt idx="283">
                  <c:v>600</c:v>
                </c:pt>
                <c:pt idx="284">
                  <c:v>600</c:v>
                </c:pt>
                <c:pt idx="285">
                  <c:v>600</c:v>
                </c:pt>
                <c:pt idx="286">
                  <c:v>600</c:v>
                </c:pt>
                <c:pt idx="287">
                  <c:v>600</c:v>
                </c:pt>
                <c:pt idx="288">
                  <c:v>600</c:v>
                </c:pt>
                <c:pt idx="289">
                  <c:v>600</c:v>
                </c:pt>
                <c:pt idx="290">
                  <c:v>600</c:v>
                </c:pt>
                <c:pt idx="291">
                  <c:v>600</c:v>
                </c:pt>
                <c:pt idx="292">
                  <c:v>600</c:v>
                </c:pt>
                <c:pt idx="293">
                  <c:v>600</c:v>
                </c:pt>
                <c:pt idx="294">
                  <c:v>600</c:v>
                </c:pt>
                <c:pt idx="295">
                  <c:v>600</c:v>
                </c:pt>
                <c:pt idx="296">
                  <c:v>600</c:v>
                </c:pt>
                <c:pt idx="297">
                  <c:v>600</c:v>
                </c:pt>
                <c:pt idx="298">
                  <c:v>600</c:v>
                </c:pt>
                <c:pt idx="299">
                  <c:v>600</c:v>
                </c:pt>
                <c:pt idx="300">
                  <c:v>600</c:v>
                </c:pt>
                <c:pt idx="301">
                  <c:v>600</c:v>
                </c:pt>
                <c:pt idx="302">
                  <c:v>600</c:v>
                </c:pt>
                <c:pt idx="303">
                  <c:v>600</c:v>
                </c:pt>
                <c:pt idx="304">
                  <c:v>660</c:v>
                </c:pt>
                <c:pt idx="305">
                  <c:v>660</c:v>
                </c:pt>
                <c:pt idx="306">
                  <c:v>660</c:v>
                </c:pt>
                <c:pt idx="307">
                  <c:v>660</c:v>
                </c:pt>
                <c:pt idx="308">
                  <c:v>660</c:v>
                </c:pt>
                <c:pt idx="309">
                  <c:v>660</c:v>
                </c:pt>
                <c:pt idx="310">
                  <c:v>660</c:v>
                </c:pt>
                <c:pt idx="311">
                  <c:v>660</c:v>
                </c:pt>
                <c:pt idx="312">
                  <c:v>660</c:v>
                </c:pt>
                <c:pt idx="313">
                  <c:v>660</c:v>
                </c:pt>
                <c:pt idx="314">
                  <c:v>660</c:v>
                </c:pt>
                <c:pt idx="315">
                  <c:v>660</c:v>
                </c:pt>
                <c:pt idx="316">
                  <c:v>660</c:v>
                </c:pt>
                <c:pt idx="317">
                  <c:v>660</c:v>
                </c:pt>
                <c:pt idx="318">
                  <c:v>660</c:v>
                </c:pt>
                <c:pt idx="319">
                  <c:v>660</c:v>
                </c:pt>
                <c:pt idx="320">
                  <c:v>660</c:v>
                </c:pt>
                <c:pt idx="321">
                  <c:v>660</c:v>
                </c:pt>
                <c:pt idx="322">
                  <c:v>660</c:v>
                </c:pt>
                <c:pt idx="323">
                  <c:v>660</c:v>
                </c:pt>
                <c:pt idx="324">
                  <c:v>660</c:v>
                </c:pt>
                <c:pt idx="325">
                  <c:v>660</c:v>
                </c:pt>
                <c:pt idx="326">
                  <c:v>660</c:v>
                </c:pt>
                <c:pt idx="327">
                  <c:v>660</c:v>
                </c:pt>
                <c:pt idx="328">
                  <c:v>660</c:v>
                </c:pt>
                <c:pt idx="329">
                  <c:v>660</c:v>
                </c:pt>
                <c:pt idx="330">
                  <c:v>660</c:v>
                </c:pt>
                <c:pt idx="331">
                  <c:v>660</c:v>
                </c:pt>
                <c:pt idx="332">
                  <c:v>660</c:v>
                </c:pt>
                <c:pt idx="333">
                  <c:v>660</c:v>
                </c:pt>
                <c:pt idx="334">
                  <c:v>660</c:v>
                </c:pt>
                <c:pt idx="335">
                  <c:v>660</c:v>
                </c:pt>
                <c:pt idx="336">
                  <c:v>660</c:v>
                </c:pt>
                <c:pt idx="337">
                  <c:v>660</c:v>
                </c:pt>
                <c:pt idx="338">
                  <c:v>660</c:v>
                </c:pt>
                <c:pt idx="339">
                  <c:v>660</c:v>
                </c:pt>
                <c:pt idx="340">
                  <c:v>660</c:v>
                </c:pt>
                <c:pt idx="341">
                  <c:v>660</c:v>
                </c:pt>
                <c:pt idx="342">
                  <c:v>660</c:v>
                </c:pt>
                <c:pt idx="343">
                  <c:v>660</c:v>
                </c:pt>
                <c:pt idx="344">
                  <c:v>660</c:v>
                </c:pt>
                <c:pt idx="345">
                  <c:v>660</c:v>
                </c:pt>
                <c:pt idx="346">
                  <c:v>660</c:v>
                </c:pt>
                <c:pt idx="347">
                  <c:v>660</c:v>
                </c:pt>
                <c:pt idx="348">
                  <c:v>660</c:v>
                </c:pt>
                <c:pt idx="349">
                  <c:v>660</c:v>
                </c:pt>
                <c:pt idx="350">
                  <c:v>660</c:v>
                </c:pt>
                <c:pt idx="351">
                  <c:v>660</c:v>
                </c:pt>
                <c:pt idx="352">
                  <c:v>660</c:v>
                </c:pt>
                <c:pt idx="353">
                  <c:v>660</c:v>
                </c:pt>
                <c:pt idx="354">
                  <c:v>660</c:v>
                </c:pt>
                <c:pt idx="355">
                  <c:v>660</c:v>
                </c:pt>
                <c:pt idx="356">
                  <c:v>660</c:v>
                </c:pt>
                <c:pt idx="357">
                  <c:v>660</c:v>
                </c:pt>
                <c:pt idx="358">
                  <c:v>660</c:v>
                </c:pt>
                <c:pt idx="359">
                  <c:v>660</c:v>
                </c:pt>
                <c:pt idx="360">
                  <c:v>660</c:v>
                </c:pt>
                <c:pt idx="361">
                  <c:v>660</c:v>
                </c:pt>
                <c:pt idx="362">
                  <c:v>660</c:v>
                </c:pt>
                <c:pt idx="363">
                  <c:v>660</c:v>
                </c:pt>
                <c:pt idx="364">
                  <c:v>660</c:v>
                </c:pt>
              </c:numCache>
            </c:numRef>
          </c:val>
          <c:extLst>
            <c:ext xmlns:c16="http://schemas.microsoft.com/office/drawing/2014/chart" uri="{C3380CC4-5D6E-409C-BE32-E72D297353CC}">
              <c16:uniqueId val="{00000000-8F4B-44B0-A045-1AD0C7423376}"/>
            </c:ext>
          </c:extLst>
        </c:ser>
        <c:ser>
          <c:idx val="1"/>
          <c:order val="2"/>
          <c:tx>
            <c:strRef>
              <c:f>'5. Historical demand'!$D$40:$D$41</c:f>
              <c:strCache>
                <c:ptCount val="2"/>
                <c:pt idx="0">
                  <c:v>Contracted firm capacity-storage</c:v>
                </c:pt>
                <c:pt idx="1">
                  <c:v>TJ/day</c:v>
                </c:pt>
              </c:strCache>
            </c:strRef>
          </c:tx>
          <c:spPr>
            <a:solidFill>
              <a:srgbClr val="FFECC9"/>
            </a:solidFill>
            <a:ln w="28575" cap="rnd">
              <a:solidFill>
                <a:srgbClr val="FFECC9"/>
              </a:solidFill>
              <a:round/>
            </a:ln>
            <a:effectLst/>
          </c:spPr>
          <c:invertIfNegative val="0"/>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demand'!$D$43:$D$408</c:f>
              <c:numCache>
                <c:formatCode>_(* #,##0_);_(* \(#,##0\);_(* "-"_);_(@_)</c:formatCode>
                <c:ptCount val="366"/>
              </c:numCache>
            </c:numRef>
          </c:val>
          <c:extLst>
            <c:ext xmlns:c16="http://schemas.microsoft.com/office/drawing/2014/chart" uri="{C3380CC4-5D6E-409C-BE32-E72D297353CC}">
              <c16:uniqueId val="{00000001-8F4B-44B0-A045-1AD0C7423376}"/>
            </c:ext>
          </c:extLst>
        </c:ser>
        <c:dLbls>
          <c:showLegendKey val="0"/>
          <c:showVal val="0"/>
          <c:showCatName val="0"/>
          <c:showSerName val="0"/>
          <c:showPercent val="0"/>
          <c:showBubbleSize val="0"/>
        </c:dLbls>
        <c:gapWidth val="150"/>
        <c:overlap val="100"/>
        <c:axId val="2086375584"/>
        <c:axId val="1"/>
      </c:barChart>
      <c:lineChart>
        <c:grouping val="standard"/>
        <c:varyColors val="0"/>
        <c:ser>
          <c:idx val="2"/>
          <c:order val="1"/>
          <c:tx>
            <c:strRef>
              <c:f>'5. Historical demand'!$E$40:$E$41</c:f>
              <c:strCache>
                <c:ptCount val="2"/>
                <c:pt idx="0">
                  <c:v>Utilised capacity</c:v>
                </c:pt>
                <c:pt idx="1">
                  <c:v>TJ/day</c:v>
                </c:pt>
              </c:strCache>
            </c:strRef>
          </c:tx>
          <c:spPr>
            <a:ln>
              <a:solidFill>
                <a:srgbClr val="2B7AAF"/>
              </a:solidFill>
            </a:ln>
          </c:spPr>
          <c:marker>
            <c:symbol val="none"/>
          </c:marker>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demand'!$E$43:$E$408</c:f>
              <c:numCache>
                <c:formatCode>_(* #,##0_);_(* \(#,##0\);_(* "-"_);_(@_)</c:formatCode>
                <c:ptCount val="366"/>
                <c:pt idx="0">
                  <c:v>205.92</c:v>
                </c:pt>
                <c:pt idx="1">
                  <c:v>186.43100000000001</c:v>
                </c:pt>
                <c:pt idx="2">
                  <c:v>190.73599999999999</c:v>
                </c:pt>
                <c:pt idx="3">
                  <c:v>175.93600000000001</c:v>
                </c:pt>
                <c:pt idx="4">
                  <c:v>156.27699999999999</c:v>
                </c:pt>
                <c:pt idx="5">
                  <c:v>187.447</c:v>
                </c:pt>
                <c:pt idx="6">
                  <c:v>179.45099999999999</c:v>
                </c:pt>
                <c:pt idx="7">
                  <c:v>182.46100000000001</c:v>
                </c:pt>
                <c:pt idx="8">
                  <c:v>132.464</c:v>
                </c:pt>
                <c:pt idx="9">
                  <c:v>151.46700000000001</c:v>
                </c:pt>
                <c:pt idx="10">
                  <c:v>128.67400000000001</c:v>
                </c:pt>
                <c:pt idx="11">
                  <c:v>198.977</c:v>
                </c:pt>
                <c:pt idx="12">
                  <c:v>197.68</c:v>
                </c:pt>
                <c:pt idx="13">
                  <c:v>192.67099999999999</c:v>
                </c:pt>
                <c:pt idx="14">
                  <c:v>216.99600000000001</c:v>
                </c:pt>
                <c:pt idx="15">
                  <c:v>217.20400000000001</c:v>
                </c:pt>
                <c:pt idx="16">
                  <c:v>211.18600000000001</c:v>
                </c:pt>
                <c:pt idx="17">
                  <c:v>184.19900000000001</c:v>
                </c:pt>
                <c:pt idx="18">
                  <c:v>155.691</c:v>
                </c:pt>
                <c:pt idx="19">
                  <c:v>142.714</c:v>
                </c:pt>
                <c:pt idx="20">
                  <c:v>139.511</c:v>
                </c:pt>
                <c:pt idx="21">
                  <c:v>170.71</c:v>
                </c:pt>
                <c:pt idx="22">
                  <c:v>215.71</c:v>
                </c:pt>
                <c:pt idx="23">
                  <c:v>219.709</c:v>
                </c:pt>
                <c:pt idx="24">
                  <c:v>210.505</c:v>
                </c:pt>
                <c:pt idx="25">
                  <c:v>143.32400000000001</c:v>
                </c:pt>
                <c:pt idx="26">
                  <c:v>136.80799999999999</c:v>
                </c:pt>
                <c:pt idx="27">
                  <c:v>216.30199999999999</c:v>
                </c:pt>
                <c:pt idx="28">
                  <c:v>222.50200000000001</c:v>
                </c:pt>
                <c:pt idx="29">
                  <c:v>232.00299999999999</c:v>
                </c:pt>
                <c:pt idx="30">
                  <c:v>252.86199999999999</c:v>
                </c:pt>
                <c:pt idx="31">
                  <c:v>195.93700000000001</c:v>
                </c:pt>
                <c:pt idx="32">
                  <c:v>174.744</c:v>
                </c:pt>
                <c:pt idx="33">
                  <c:v>137.44900000000001</c:v>
                </c:pt>
                <c:pt idx="34">
                  <c:v>146.45099999999999</c:v>
                </c:pt>
                <c:pt idx="35">
                  <c:v>186.45599999999999</c:v>
                </c:pt>
                <c:pt idx="36">
                  <c:v>169.25</c:v>
                </c:pt>
                <c:pt idx="37">
                  <c:v>139.65100000000001</c:v>
                </c:pt>
                <c:pt idx="38">
                  <c:v>74.754000000000005</c:v>
                </c:pt>
                <c:pt idx="39">
                  <c:v>32.151000000000003</c:v>
                </c:pt>
                <c:pt idx="40">
                  <c:v>78.655000000000001</c:v>
                </c:pt>
                <c:pt idx="41">
                  <c:v>55.155000000000001</c:v>
                </c:pt>
                <c:pt idx="42">
                  <c:v>0.65200000000000002</c:v>
                </c:pt>
                <c:pt idx="43">
                  <c:v>0.68700000000000006</c:v>
                </c:pt>
                <c:pt idx="44">
                  <c:v>125.611</c:v>
                </c:pt>
                <c:pt idx="45">
                  <c:v>95.117000000000004</c:v>
                </c:pt>
                <c:pt idx="46">
                  <c:v>96.156999999999996</c:v>
                </c:pt>
                <c:pt idx="47">
                  <c:v>69.165000000000006</c:v>
                </c:pt>
                <c:pt idx="48">
                  <c:v>198.911</c:v>
                </c:pt>
                <c:pt idx="49">
                  <c:v>209.12</c:v>
                </c:pt>
                <c:pt idx="50">
                  <c:v>196.66800000000001</c:v>
                </c:pt>
                <c:pt idx="51">
                  <c:v>36.723999999999997</c:v>
                </c:pt>
                <c:pt idx="52">
                  <c:v>60.652999999999999</c:v>
                </c:pt>
                <c:pt idx="53">
                  <c:v>47.667999999999999</c:v>
                </c:pt>
                <c:pt idx="54">
                  <c:v>21.463000000000001</c:v>
                </c:pt>
                <c:pt idx="55">
                  <c:v>44.454999999999998</c:v>
                </c:pt>
                <c:pt idx="56">
                  <c:v>94.119</c:v>
                </c:pt>
                <c:pt idx="57">
                  <c:v>78.141000000000005</c:v>
                </c:pt>
                <c:pt idx="58">
                  <c:v>60.173000000000002</c:v>
                </c:pt>
                <c:pt idx="59">
                  <c:v>68.793999999999997</c:v>
                </c:pt>
                <c:pt idx="60">
                  <c:v>84.7</c:v>
                </c:pt>
                <c:pt idx="61">
                  <c:v>145.83500000000001</c:v>
                </c:pt>
                <c:pt idx="62">
                  <c:v>110.093</c:v>
                </c:pt>
                <c:pt idx="63">
                  <c:v>38.164000000000001</c:v>
                </c:pt>
                <c:pt idx="64">
                  <c:v>25.783000000000001</c:v>
                </c:pt>
                <c:pt idx="65">
                  <c:v>95.076999999999998</c:v>
                </c:pt>
                <c:pt idx="66">
                  <c:v>87.247</c:v>
                </c:pt>
                <c:pt idx="67">
                  <c:v>59.067999999999998</c:v>
                </c:pt>
                <c:pt idx="68">
                  <c:v>60.072000000000003</c:v>
                </c:pt>
                <c:pt idx="69">
                  <c:v>25.073</c:v>
                </c:pt>
                <c:pt idx="70">
                  <c:v>30.077000000000002</c:v>
                </c:pt>
                <c:pt idx="71">
                  <c:v>111.074</c:v>
                </c:pt>
                <c:pt idx="72">
                  <c:v>128.08000000000001</c:v>
                </c:pt>
                <c:pt idx="73">
                  <c:v>121.072</c:v>
                </c:pt>
                <c:pt idx="74">
                  <c:v>114.068</c:v>
                </c:pt>
                <c:pt idx="75">
                  <c:v>111.065</c:v>
                </c:pt>
                <c:pt idx="76">
                  <c:v>111.059</c:v>
                </c:pt>
                <c:pt idx="77">
                  <c:v>95.001999999999995</c:v>
                </c:pt>
                <c:pt idx="78">
                  <c:v>100.001</c:v>
                </c:pt>
                <c:pt idx="79">
                  <c:v>100.001</c:v>
                </c:pt>
                <c:pt idx="80">
                  <c:v>109.071</c:v>
                </c:pt>
                <c:pt idx="81">
                  <c:v>107.791</c:v>
                </c:pt>
                <c:pt idx="82">
                  <c:v>106.786</c:v>
                </c:pt>
                <c:pt idx="83">
                  <c:v>106.77500000000001</c:v>
                </c:pt>
                <c:pt idx="84">
                  <c:v>46.774000000000001</c:v>
                </c:pt>
                <c:pt idx="85">
                  <c:v>52.765000000000001</c:v>
                </c:pt>
                <c:pt idx="86">
                  <c:v>42.759</c:v>
                </c:pt>
                <c:pt idx="87">
                  <c:v>37.752000000000002</c:v>
                </c:pt>
                <c:pt idx="88">
                  <c:v>27.745999999999999</c:v>
                </c:pt>
                <c:pt idx="89">
                  <c:v>42.738999999999997</c:v>
                </c:pt>
                <c:pt idx="90">
                  <c:v>21.681000000000001</c:v>
                </c:pt>
                <c:pt idx="91">
                  <c:v>27.728999999999999</c:v>
                </c:pt>
                <c:pt idx="92">
                  <c:v>67.602999999999994</c:v>
                </c:pt>
                <c:pt idx="93">
                  <c:v>78.596999999999994</c:v>
                </c:pt>
                <c:pt idx="94">
                  <c:v>71.087999999999994</c:v>
                </c:pt>
                <c:pt idx="95">
                  <c:v>77.590999999999994</c:v>
                </c:pt>
                <c:pt idx="96">
                  <c:v>77.484999999999999</c:v>
                </c:pt>
                <c:pt idx="97">
                  <c:v>76.576999999999998</c:v>
                </c:pt>
                <c:pt idx="98">
                  <c:v>76.58</c:v>
                </c:pt>
                <c:pt idx="99">
                  <c:v>86.581999999999994</c:v>
                </c:pt>
                <c:pt idx="100">
                  <c:v>87.081000000000003</c:v>
                </c:pt>
                <c:pt idx="101">
                  <c:v>0.107</c:v>
                </c:pt>
                <c:pt idx="102">
                  <c:v>0</c:v>
                </c:pt>
                <c:pt idx="103">
                  <c:v>0</c:v>
                </c:pt>
                <c:pt idx="104">
                  <c:v>5.0000000000000001E-3</c:v>
                </c:pt>
                <c:pt idx="105">
                  <c:v>0</c:v>
                </c:pt>
                <c:pt idx="106">
                  <c:v>0</c:v>
                </c:pt>
                <c:pt idx="107">
                  <c:v>99.59</c:v>
                </c:pt>
                <c:pt idx="108">
                  <c:v>82.831999999999994</c:v>
                </c:pt>
                <c:pt idx="109">
                  <c:v>89.436000000000007</c:v>
                </c:pt>
                <c:pt idx="110">
                  <c:v>61.570999999999998</c:v>
                </c:pt>
                <c:pt idx="111">
                  <c:v>66.602000000000004</c:v>
                </c:pt>
                <c:pt idx="112">
                  <c:v>61.552999999999997</c:v>
                </c:pt>
                <c:pt idx="113">
                  <c:v>11.547000000000001</c:v>
                </c:pt>
                <c:pt idx="114">
                  <c:v>9.7729999999999997</c:v>
                </c:pt>
                <c:pt idx="115">
                  <c:v>58.527999999999999</c:v>
                </c:pt>
                <c:pt idx="116">
                  <c:v>51.526000000000003</c:v>
                </c:pt>
                <c:pt idx="117">
                  <c:v>126.31699999999999</c:v>
                </c:pt>
                <c:pt idx="118">
                  <c:v>126.31</c:v>
                </c:pt>
                <c:pt idx="119">
                  <c:v>151.298</c:v>
                </c:pt>
                <c:pt idx="120">
                  <c:v>150.495</c:v>
                </c:pt>
                <c:pt idx="121">
                  <c:v>144.291</c:v>
                </c:pt>
                <c:pt idx="122">
                  <c:v>149.68100000000001</c:v>
                </c:pt>
                <c:pt idx="123">
                  <c:v>127.297</c:v>
                </c:pt>
                <c:pt idx="124">
                  <c:v>122.407</c:v>
                </c:pt>
                <c:pt idx="125">
                  <c:v>116.41200000000001</c:v>
                </c:pt>
                <c:pt idx="126">
                  <c:v>119.318</c:v>
                </c:pt>
                <c:pt idx="127">
                  <c:v>101.425</c:v>
                </c:pt>
                <c:pt idx="128">
                  <c:v>104.429</c:v>
                </c:pt>
                <c:pt idx="129">
                  <c:v>105.432</c:v>
                </c:pt>
                <c:pt idx="130">
                  <c:v>112.43899999999999</c:v>
                </c:pt>
                <c:pt idx="131">
                  <c:v>110.444</c:v>
                </c:pt>
                <c:pt idx="132">
                  <c:v>111.44799999999999</c:v>
                </c:pt>
                <c:pt idx="133">
                  <c:v>61.456000000000003</c:v>
                </c:pt>
                <c:pt idx="134">
                  <c:v>81.460999999999999</c:v>
                </c:pt>
                <c:pt idx="135">
                  <c:v>124.46599999999999</c:v>
                </c:pt>
                <c:pt idx="136">
                  <c:v>97.037999999999997</c:v>
                </c:pt>
                <c:pt idx="137">
                  <c:v>114.27200000000001</c:v>
                </c:pt>
                <c:pt idx="138">
                  <c:v>90.06</c:v>
                </c:pt>
                <c:pt idx="139">
                  <c:v>90.417000000000002</c:v>
                </c:pt>
                <c:pt idx="140">
                  <c:v>111.042</c:v>
                </c:pt>
                <c:pt idx="141">
                  <c:v>104.968</c:v>
                </c:pt>
                <c:pt idx="142">
                  <c:v>98.363</c:v>
                </c:pt>
                <c:pt idx="143">
                  <c:v>104.651</c:v>
                </c:pt>
                <c:pt idx="144">
                  <c:v>108.776</c:v>
                </c:pt>
                <c:pt idx="145">
                  <c:v>104.21599999999999</c:v>
                </c:pt>
                <c:pt idx="146">
                  <c:v>96.177999999999997</c:v>
                </c:pt>
                <c:pt idx="147">
                  <c:v>88.238</c:v>
                </c:pt>
                <c:pt idx="148">
                  <c:v>96.238</c:v>
                </c:pt>
                <c:pt idx="149">
                  <c:v>88.241</c:v>
                </c:pt>
                <c:pt idx="150">
                  <c:v>24.988</c:v>
                </c:pt>
                <c:pt idx="151">
                  <c:v>0.05</c:v>
                </c:pt>
                <c:pt idx="152">
                  <c:v>0</c:v>
                </c:pt>
                <c:pt idx="153">
                  <c:v>13.938000000000001</c:v>
                </c:pt>
                <c:pt idx="154">
                  <c:v>110.874</c:v>
                </c:pt>
                <c:pt idx="155">
                  <c:v>110.88200000000001</c:v>
                </c:pt>
                <c:pt idx="156">
                  <c:v>110.887</c:v>
                </c:pt>
                <c:pt idx="157">
                  <c:v>108.193</c:v>
                </c:pt>
                <c:pt idx="158">
                  <c:v>105.901</c:v>
                </c:pt>
                <c:pt idx="159">
                  <c:v>105.896</c:v>
                </c:pt>
                <c:pt idx="160">
                  <c:v>101.232</c:v>
                </c:pt>
                <c:pt idx="161">
                  <c:v>114.241</c:v>
                </c:pt>
                <c:pt idx="162">
                  <c:v>116.236</c:v>
                </c:pt>
                <c:pt idx="163">
                  <c:v>125.224</c:v>
                </c:pt>
                <c:pt idx="164">
                  <c:v>127.71899999999999</c:v>
                </c:pt>
                <c:pt idx="165">
                  <c:v>124.714</c:v>
                </c:pt>
                <c:pt idx="166">
                  <c:v>119.211</c:v>
                </c:pt>
                <c:pt idx="167">
                  <c:v>122.20699999999999</c:v>
                </c:pt>
                <c:pt idx="168">
                  <c:v>132.19499999999999</c:v>
                </c:pt>
                <c:pt idx="169">
                  <c:v>131.19</c:v>
                </c:pt>
                <c:pt idx="170">
                  <c:v>132.184</c:v>
                </c:pt>
                <c:pt idx="171">
                  <c:v>126.98099999999999</c:v>
                </c:pt>
                <c:pt idx="172">
                  <c:v>113.398</c:v>
                </c:pt>
                <c:pt idx="173">
                  <c:v>125.973</c:v>
                </c:pt>
                <c:pt idx="174">
                  <c:v>119.371</c:v>
                </c:pt>
                <c:pt idx="175">
                  <c:v>121.965</c:v>
                </c:pt>
                <c:pt idx="176">
                  <c:v>68.912000000000006</c:v>
                </c:pt>
                <c:pt idx="177">
                  <c:v>116.887</c:v>
                </c:pt>
                <c:pt idx="178">
                  <c:v>113.602</c:v>
                </c:pt>
                <c:pt idx="179">
                  <c:v>111.696</c:v>
                </c:pt>
                <c:pt idx="180">
                  <c:v>111.63800000000001</c:v>
                </c:pt>
                <c:pt idx="181">
                  <c:v>111.634</c:v>
                </c:pt>
                <c:pt idx="182">
                  <c:v>112.627</c:v>
                </c:pt>
                <c:pt idx="183">
                  <c:v>108.949</c:v>
                </c:pt>
                <c:pt idx="184">
                  <c:v>96.195999999999998</c:v>
                </c:pt>
                <c:pt idx="185">
                  <c:v>86.036000000000001</c:v>
                </c:pt>
                <c:pt idx="186">
                  <c:v>83.38</c:v>
                </c:pt>
                <c:pt idx="187">
                  <c:v>87.427000000000007</c:v>
                </c:pt>
                <c:pt idx="188">
                  <c:v>87.826999999999998</c:v>
                </c:pt>
                <c:pt idx="189">
                  <c:v>92.459000000000003</c:v>
                </c:pt>
                <c:pt idx="190">
                  <c:v>93.694000000000003</c:v>
                </c:pt>
                <c:pt idx="191">
                  <c:v>93.504999999999995</c:v>
                </c:pt>
                <c:pt idx="192">
                  <c:v>73.914000000000001</c:v>
                </c:pt>
                <c:pt idx="193">
                  <c:v>74.463999999999999</c:v>
                </c:pt>
                <c:pt idx="194">
                  <c:v>94.445999999999998</c:v>
                </c:pt>
                <c:pt idx="195">
                  <c:v>93.54</c:v>
                </c:pt>
                <c:pt idx="196">
                  <c:v>106.28100000000001</c:v>
                </c:pt>
                <c:pt idx="197">
                  <c:v>108.078</c:v>
                </c:pt>
                <c:pt idx="198">
                  <c:v>104.977</c:v>
                </c:pt>
                <c:pt idx="199">
                  <c:v>104.029</c:v>
                </c:pt>
                <c:pt idx="200">
                  <c:v>103.97199999999999</c:v>
                </c:pt>
                <c:pt idx="201">
                  <c:v>102.676</c:v>
                </c:pt>
                <c:pt idx="202">
                  <c:v>97.971000000000004</c:v>
                </c:pt>
                <c:pt idx="203">
                  <c:v>95.674999999999997</c:v>
                </c:pt>
                <c:pt idx="204">
                  <c:v>95.465999999999994</c:v>
                </c:pt>
                <c:pt idx="205">
                  <c:v>95.412000000000006</c:v>
                </c:pt>
                <c:pt idx="206">
                  <c:v>94.617999999999995</c:v>
                </c:pt>
                <c:pt idx="207">
                  <c:v>90.805999999999997</c:v>
                </c:pt>
                <c:pt idx="208">
                  <c:v>92.911000000000001</c:v>
                </c:pt>
                <c:pt idx="209">
                  <c:v>81.926000000000002</c:v>
                </c:pt>
                <c:pt idx="210">
                  <c:v>95.801000000000002</c:v>
                </c:pt>
                <c:pt idx="211">
                  <c:v>101.29900000000001</c:v>
                </c:pt>
                <c:pt idx="212">
                  <c:v>99.43</c:v>
                </c:pt>
                <c:pt idx="213">
                  <c:v>99.43</c:v>
                </c:pt>
                <c:pt idx="214">
                  <c:v>101.322</c:v>
                </c:pt>
                <c:pt idx="215">
                  <c:v>101.322</c:v>
                </c:pt>
                <c:pt idx="216">
                  <c:v>101.322</c:v>
                </c:pt>
                <c:pt idx="217">
                  <c:v>94.819000000000003</c:v>
                </c:pt>
                <c:pt idx="218">
                  <c:v>100.65900000000001</c:v>
                </c:pt>
                <c:pt idx="219">
                  <c:v>104.355</c:v>
                </c:pt>
                <c:pt idx="220">
                  <c:v>50.521999999999998</c:v>
                </c:pt>
                <c:pt idx="221">
                  <c:v>81.447999999999993</c:v>
                </c:pt>
                <c:pt idx="222">
                  <c:v>74.046999999999997</c:v>
                </c:pt>
                <c:pt idx="223">
                  <c:v>74.049000000000007</c:v>
                </c:pt>
                <c:pt idx="224">
                  <c:v>72.641999999999996</c:v>
                </c:pt>
                <c:pt idx="225">
                  <c:v>74.631</c:v>
                </c:pt>
                <c:pt idx="226">
                  <c:v>77.644000000000005</c:v>
                </c:pt>
                <c:pt idx="227">
                  <c:v>102.434</c:v>
                </c:pt>
                <c:pt idx="228">
                  <c:v>77.340999999999994</c:v>
                </c:pt>
                <c:pt idx="229">
                  <c:v>70.849000000000004</c:v>
                </c:pt>
                <c:pt idx="230">
                  <c:v>67.852999999999994</c:v>
                </c:pt>
                <c:pt idx="231">
                  <c:v>38.18</c:v>
                </c:pt>
                <c:pt idx="232">
                  <c:v>49.174999999999997</c:v>
                </c:pt>
                <c:pt idx="233">
                  <c:v>51.366</c:v>
                </c:pt>
                <c:pt idx="234">
                  <c:v>61.674999999999997</c:v>
                </c:pt>
                <c:pt idx="235">
                  <c:v>79.197000000000003</c:v>
                </c:pt>
                <c:pt idx="236">
                  <c:v>56.76</c:v>
                </c:pt>
                <c:pt idx="237">
                  <c:v>59.682000000000002</c:v>
                </c:pt>
                <c:pt idx="238">
                  <c:v>77.701999999999998</c:v>
                </c:pt>
                <c:pt idx="239">
                  <c:v>116.66500000000001</c:v>
                </c:pt>
                <c:pt idx="240">
                  <c:v>208.87</c:v>
                </c:pt>
                <c:pt idx="241">
                  <c:v>115.006</c:v>
                </c:pt>
                <c:pt idx="242">
                  <c:v>4.6390000000000002</c:v>
                </c:pt>
                <c:pt idx="243">
                  <c:v>0</c:v>
                </c:pt>
                <c:pt idx="244">
                  <c:v>1.3919999999999999</c:v>
                </c:pt>
                <c:pt idx="245">
                  <c:v>0</c:v>
                </c:pt>
                <c:pt idx="246">
                  <c:v>87.165000000000006</c:v>
                </c:pt>
                <c:pt idx="247">
                  <c:v>89.52</c:v>
                </c:pt>
                <c:pt idx="248">
                  <c:v>89.635999999999996</c:v>
                </c:pt>
                <c:pt idx="249">
                  <c:v>90.664000000000001</c:v>
                </c:pt>
                <c:pt idx="250">
                  <c:v>95.728999999999999</c:v>
                </c:pt>
                <c:pt idx="251">
                  <c:v>59.84</c:v>
                </c:pt>
                <c:pt idx="252">
                  <c:v>47.036000000000001</c:v>
                </c:pt>
                <c:pt idx="253">
                  <c:v>39.237000000000002</c:v>
                </c:pt>
                <c:pt idx="254">
                  <c:v>57.555</c:v>
                </c:pt>
                <c:pt idx="255">
                  <c:v>97.57</c:v>
                </c:pt>
                <c:pt idx="256">
                  <c:v>101.622</c:v>
                </c:pt>
                <c:pt idx="257">
                  <c:v>98.611999999999995</c:v>
                </c:pt>
                <c:pt idx="258">
                  <c:v>99.643000000000001</c:v>
                </c:pt>
                <c:pt idx="259">
                  <c:v>104.17100000000001</c:v>
                </c:pt>
                <c:pt idx="260">
                  <c:v>102.18899999999999</c:v>
                </c:pt>
                <c:pt idx="261">
                  <c:v>100.655</c:v>
                </c:pt>
                <c:pt idx="262">
                  <c:v>107.16800000000001</c:v>
                </c:pt>
                <c:pt idx="263">
                  <c:v>101.074</c:v>
                </c:pt>
                <c:pt idx="264">
                  <c:v>79.206000000000003</c:v>
                </c:pt>
                <c:pt idx="265">
                  <c:v>83.963999999999999</c:v>
                </c:pt>
                <c:pt idx="266">
                  <c:v>91.753</c:v>
                </c:pt>
                <c:pt idx="267">
                  <c:v>86.194999999999993</c:v>
                </c:pt>
                <c:pt idx="268">
                  <c:v>79.688999999999993</c:v>
                </c:pt>
                <c:pt idx="269">
                  <c:v>84.313999999999993</c:v>
                </c:pt>
                <c:pt idx="270">
                  <c:v>0.1</c:v>
                </c:pt>
                <c:pt idx="271">
                  <c:v>135.75800000000001</c:v>
                </c:pt>
                <c:pt idx="272">
                  <c:v>106.77500000000001</c:v>
                </c:pt>
                <c:pt idx="273">
                  <c:v>96.733000000000004</c:v>
                </c:pt>
                <c:pt idx="274">
                  <c:v>72.001999999999995</c:v>
                </c:pt>
                <c:pt idx="275">
                  <c:v>51.985999999999997</c:v>
                </c:pt>
                <c:pt idx="276">
                  <c:v>131.87</c:v>
                </c:pt>
                <c:pt idx="277">
                  <c:v>103.839</c:v>
                </c:pt>
                <c:pt idx="278">
                  <c:v>100.404</c:v>
                </c:pt>
                <c:pt idx="279">
                  <c:v>119.94199999999999</c:v>
                </c:pt>
                <c:pt idx="280">
                  <c:v>48.283000000000001</c:v>
                </c:pt>
                <c:pt idx="281">
                  <c:v>92.396000000000001</c:v>
                </c:pt>
                <c:pt idx="282">
                  <c:v>123.373</c:v>
                </c:pt>
                <c:pt idx="283">
                  <c:v>117.46599999999999</c:v>
                </c:pt>
                <c:pt idx="284">
                  <c:v>89.915999999999997</c:v>
                </c:pt>
                <c:pt idx="285">
                  <c:v>105.85299999999999</c:v>
                </c:pt>
                <c:pt idx="286">
                  <c:v>106.708</c:v>
                </c:pt>
                <c:pt idx="287">
                  <c:v>94.471000000000004</c:v>
                </c:pt>
                <c:pt idx="288">
                  <c:v>71.183999999999997</c:v>
                </c:pt>
                <c:pt idx="289">
                  <c:v>79.492999999999995</c:v>
                </c:pt>
                <c:pt idx="290">
                  <c:v>80.305000000000007</c:v>
                </c:pt>
                <c:pt idx="291">
                  <c:v>79.432000000000002</c:v>
                </c:pt>
                <c:pt idx="292">
                  <c:v>77.027000000000001</c:v>
                </c:pt>
                <c:pt idx="293">
                  <c:v>62.542999999999999</c:v>
                </c:pt>
                <c:pt idx="294">
                  <c:v>75.843999999999994</c:v>
                </c:pt>
                <c:pt idx="295">
                  <c:v>35.045000000000002</c:v>
                </c:pt>
                <c:pt idx="296">
                  <c:v>56.598999999999997</c:v>
                </c:pt>
                <c:pt idx="297">
                  <c:v>69.492999999999995</c:v>
                </c:pt>
                <c:pt idx="298">
                  <c:v>66.980999999999995</c:v>
                </c:pt>
                <c:pt idx="299">
                  <c:v>69.025000000000006</c:v>
                </c:pt>
                <c:pt idx="300">
                  <c:v>99.004000000000005</c:v>
                </c:pt>
                <c:pt idx="301">
                  <c:v>80.682000000000002</c:v>
                </c:pt>
                <c:pt idx="302">
                  <c:v>85.138999999999996</c:v>
                </c:pt>
                <c:pt idx="303">
                  <c:v>80.704999999999998</c:v>
                </c:pt>
                <c:pt idx="304">
                  <c:v>46.737000000000002</c:v>
                </c:pt>
                <c:pt idx="305">
                  <c:v>55.658000000000001</c:v>
                </c:pt>
                <c:pt idx="306">
                  <c:v>44.668999999999997</c:v>
                </c:pt>
                <c:pt idx="307">
                  <c:v>102.328</c:v>
                </c:pt>
                <c:pt idx="308">
                  <c:v>111.437</c:v>
                </c:pt>
                <c:pt idx="309">
                  <c:v>99.635999999999996</c:v>
                </c:pt>
                <c:pt idx="310">
                  <c:v>68.435000000000002</c:v>
                </c:pt>
                <c:pt idx="311">
                  <c:v>93.716999999999999</c:v>
                </c:pt>
                <c:pt idx="312">
                  <c:v>70.305999999999997</c:v>
                </c:pt>
                <c:pt idx="313">
                  <c:v>28.724</c:v>
                </c:pt>
                <c:pt idx="314">
                  <c:v>7.0830000000000002</c:v>
                </c:pt>
                <c:pt idx="315">
                  <c:v>92.905000000000001</c:v>
                </c:pt>
                <c:pt idx="316">
                  <c:v>126.539</c:v>
                </c:pt>
                <c:pt idx="317">
                  <c:v>121.67400000000001</c:v>
                </c:pt>
                <c:pt idx="318">
                  <c:v>127.666</c:v>
                </c:pt>
                <c:pt idx="319">
                  <c:v>117.848</c:v>
                </c:pt>
                <c:pt idx="320">
                  <c:v>134.28899999999999</c:v>
                </c:pt>
                <c:pt idx="321">
                  <c:v>152.02000000000001</c:v>
                </c:pt>
                <c:pt idx="322">
                  <c:v>124.813</c:v>
                </c:pt>
                <c:pt idx="323">
                  <c:v>93.173000000000002</c:v>
                </c:pt>
                <c:pt idx="324">
                  <c:v>157.274</c:v>
                </c:pt>
                <c:pt idx="325">
                  <c:v>122.08</c:v>
                </c:pt>
                <c:pt idx="326">
                  <c:v>168.87100000000001</c:v>
                </c:pt>
                <c:pt idx="327">
                  <c:v>111.376</c:v>
                </c:pt>
                <c:pt idx="328">
                  <c:v>117.04600000000001</c:v>
                </c:pt>
                <c:pt idx="329">
                  <c:v>108.063</c:v>
                </c:pt>
                <c:pt idx="330">
                  <c:v>89.581000000000003</c:v>
                </c:pt>
                <c:pt idx="331">
                  <c:v>72.694000000000003</c:v>
                </c:pt>
                <c:pt idx="332">
                  <c:v>90.453999999999994</c:v>
                </c:pt>
                <c:pt idx="333">
                  <c:v>53.947000000000003</c:v>
                </c:pt>
                <c:pt idx="334">
                  <c:v>101.008</c:v>
                </c:pt>
                <c:pt idx="335">
                  <c:v>132.31800000000001</c:v>
                </c:pt>
                <c:pt idx="336">
                  <c:v>130.91399999999999</c:v>
                </c:pt>
                <c:pt idx="337">
                  <c:v>132.91300000000001</c:v>
                </c:pt>
                <c:pt idx="338">
                  <c:v>148.28100000000001</c:v>
                </c:pt>
                <c:pt idx="339">
                  <c:v>151.274</c:v>
                </c:pt>
                <c:pt idx="340">
                  <c:v>50.988999999999997</c:v>
                </c:pt>
                <c:pt idx="341">
                  <c:v>81.793000000000006</c:v>
                </c:pt>
                <c:pt idx="342">
                  <c:v>64.641000000000005</c:v>
                </c:pt>
                <c:pt idx="343">
                  <c:v>53.051000000000002</c:v>
                </c:pt>
                <c:pt idx="344">
                  <c:v>98.331000000000003</c:v>
                </c:pt>
                <c:pt idx="345">
                  <c:v>141.28700000000001</c:v>
                </c:pt>
                <c:pt idx="346">
                  <c:v>221.65299999999999</c:v>
                </c:pt>
                <c:pt idx="347">
                  <c:v>244.23099999999999</c:v>
                </c:pt>
                <c:pt idx="348">
                  <c:v>155.874</c:v>
                </c:pt>
                <c:pt idx="349">
                  <c:v>162.28200000000001</c:v>
                </c:pt>
                <c:pt idx="350">
                  <c:v>134.51300000000001</c:v>
                </c:pt>
                <c:pt idx="351">
                  <c:v>179.46299999999999</c:v>
                </c:pt>
                <c:pt idx="352">
                  <c:v>241.244</c:v>
                </c:pt>
                <c:pt idx="353">
                  <c:v>217.392</c:v>
                </c:pt>
                <c:pt idx="354">
                  <c:v>198.661</c:v>
                </c:pt>
                <c:pt idx="355">
                  <c:v>141.286</c:v>
                </c:pt>
                <c:pt idx="356">
                  <c:v>146.67099999999999</c:v>
                </c:pt>
                <c:pt idx="357">
                  <c:v>151.98699999999999</c:v>
                </c:pt>
                <c:pt idx="358">
                  <c:v>181.78200000000001</c:v>
                </c:pt>
                <c:pt idx="359">
                  <c:v>186.56100000000001</c:v>
                </c:pt>
                <c:pt idx="360">
                  <c:v>57.028000000000006</c:v>
                </c:pt>
                <c:pt idx="361">
                  <c:v>140.07300000000001</c:v>
                </c:pt>
                <c:pt idx="362">
                  <c:v>107.69199999999999</c:v>
                </c:pt>
                <c:pt idx="363">
                  <c:v>142.82499999999999</c:v>
                </c:pt>
                <c:pt idx="364">
                  <c:v>174.61799999999999</c:v>
                </c:pt>
              </c:numCache>
            </c:numRef>
          </c:val>
          <c:smooth val="0"/>
          <c:extLst>
            <c:ext xmlns:c16="http://schemas.microsoft.com/office/drawing/2014/chart" uri="{C3380CC4-5D6E-409C-BE32-E72D297353CC}">
              <c16:uniqueId val="{00000002-8F4B-44B0-A045-1AD0C7423376}"/>
            </c:ext>
          </c:extLst>
        </c:ser>
        <c:ser>
          <c:idx val="3"/>
          <c:order val="3"/>
          <c:tx>
            <c:v>Nameplate capacity (TJ/day)</c:v>
          </c:tx>
          <c:spPr>
            <a:ln w="76200">
              <a:solidFill>
                <a:schemeClr val="accent6">
                  <a:lumMod val="50000"/>
                </a:schemeClr>
              </a:solidFill>
            </a:ln>
          </c:spPr>
          <c:marker>
            <c:symbol val="none"/>
          </c:marker>
          <c:dPt>
            <c:idx val="365"/>
            <c:bubble3D val="0"/>
            <c:spPr>
              <a:ln w="76200">
                <a:noFill/>
              </a:ln>
            </c:spPr>
            <c:extLst>
              <c:ext xmlns:c16="http://schemas.microsoft.com/office/drawing/2014/chart" uri="{C3380CC4-5D6E-409C-BE32-E72D297353CC}">
                <c16:uniqueId val="{00000004-8F4B-44B0-A045-1AD0C7423376}"/>
              </c:ext>
            </c:extLst>
          </c:dPt>
          <c:cat>
            <c:strRef>
              <c:f>'5. Historical demand'!$B$43:$B$408</c:f>
              <c:strCache>
                <c:ptCount val="365"/>
                <c:pt idx="0">
                  <c:v>1/07/2024</c:v>
                </c:pt>
                <c:pt idx="1">
                  <c:v>2/07/2024</c:v>
                </c:pt>
                <c:pt idx="2">
                  <c:v>3/07/2024</c:v>
                </c:pt>
                <c:pt idx="3">
                  <c:v>4/07/2024</c:v>
                </c:pt>
                <c:pt idx="4">
                  <c:v>5/07/2024</c:v>
                </c:pt>
                <c:pt idx="5">
                  <c:v>6/07/2024</c:v>
                </c:pt>
                <c:pt idx="6">
                  <c:v>7/07/2024</c:v>
                </c:pt>
                <c:pt idx="7">
                  <c:v>8/07/2024</c:v>
                </c:pt>
                <c:pt idx="8">
                  <c:v>9/07/2024</c:v>
                </c:pt>
                <c:pt idx="9">
                  <c:v>10/07/2024</c:v>
                </c:pt>
                <c:pt idx="10">
                  <c:v>11/07/2024</c:v>
                </c:pt>
                <c:pt idx="11">
                  <c:v>12/07/2024</c:v>
                </c:pt>
                <c:pt idx="12">
                  <c:v>13/07/2024</c:v>
                </c:pt>
                <c:pt idx="13">
                  <c:v>14/07/2024</c:v>
                </c:pt>
                <c:pt idx="14">
                  <c:v>15/07/2024</c:v>
                </c:pt>
                <c:pt idx="15">
                  <c:v>16/07/2024</c:v>
                </c:pt>
                <c:pt idx="16">
                  <c:v>17/07/2024</c:v>
                </c:pt>
                <c:pt idx="17">
                  <c:v>18/07/2024</c:v>
                </c:pt>
                <c:pt idx="18">
                  <c:v>19/07/2024</c:v>
                </c:pt>
                <c:pt idx="19">
                  <c:v>20/07/2024</c:v>
                </c:pt>
                <c:pt idx="20">
                  <c:v>21/07/2024</c:v>
                </c:pt>
                <c:pt idx="21">
                  <c:v>22/07/2024</c:v>
                </c:pt>
                <c:pt idx="22">
                  <c:v>23/07/2024</c:v>
                </c:pt>
                <c:pt idx="23">
                  <c:v>24/07/2024</c:v>
                </c:pt>
                <c:pt idx="24">
                  <c:v>25/07/2024</c:v>
                </c:pt>
                <c:pt idx="25">
                  <c:v>26/07/2024</c:v>
                </c:pt>
                <c:pt idx="26">
                  <c:v>27/07/2024</c:v>
                </c:pt>
                <c:pt idx="27">
                  <c:v>28/07/2024</c:v>
                </c:pt>
                <c:pt idx="28">
                  <c:v>29/07/2024</c:v>
                </c:pt>
                <c:pt idx="29">
                  <c:v>30/07/2024</c:v>
                </c:pt>
                <c:pt idx="30">
                  <c:v>31/07/2024</c:v>
                </c:pt>
                <c:pt idx="31">
                  <c:v>1/08/2024</c:v>
                </c:pt>
                <c:pt idx="32">
                  <c:v>2/08/2024</c:v>
                </c:pt>
                <c:pt idx="33">
                  <c:v>3/08/2024</c:v>
                </c:pt>
                <c:pt idx="34">
                  <c:v>4/08/2024</c:v>
                </c:pt>
                <c:pt idx="35">
                  <c:v>5/08/2024</c:v>
                </c:pt>
                <c:pt idx="36">
                  <c:v>6/08/2024</c:v>
                </c:pt>
                <c:pt idx="37">
                  <c:v>7/08/2024</c:v>
                </c:pt>
                <c:pt idx="38">
                  <c:v>8/08/2024</c:v>
                </c:pt>
                <c:pt idx="39">
                  <c:v>9/08/2024</c:v>
                </c:pt>
                <c:pt idx="40">
                  <c:v>10/08/2024</c:v>
                </c:pt>
                <c:pt idx="41">
                  <c:v>11/08/2024</c:v>
                </c:pt>
                <c:pt idx="42">
                  <c:v>12/08/2024</c:v>
                </c:pt>
                <c:pt idx="43">
                  <c:v>13/08/2024</c:v>
                </c:pt>
                <c:pt idx="44">
                  <c:v>14/08/2024</c:v>
                </c:pt>
                <c:pt idx="45">
                  <c:v>15/08/2024</c:v>
                </c:pt>
                <c:pt idx="46">
                  <c:v>16/08/2024</c:v>
                </c:pt>
                <c:pt idx="47">
                  <c:v>17/08/2024</c:v>
                </c:pt>
                <c:pt idx="48">
                  <c:v>18/08/2024</c:v>
                </c:pt>
                <c:pt idx="49">
                  <c:v>19/08/2024</c:v>
                </c:pt>
                <c:pt idx="50">
                  <c:v>20/08/2024</c:v>
                </c:pt>
                <c:pt idx="51">
                  <c:v>21/08/2024</c:v>
                </c:pt>
                <c:pt idx="52">
                  <c:v>22/08/2024</c:v>
                </c:pt>
                <c:pt idx="53">
                  <c:v>23/08/2024</c:v>
                </c:pt>
                <c:pt idx="54">
                  <c:v>24/08/2024</c:v>
                </c:pt>
                <c:pt idx="55">
                  <c:v>25/08/2024</c:v>
                </c:pt>
                <c:pt idx="56">
                  <c:v>26/08/2024</c:v>
                </c:pt>
                <c:pt idx="57">
                  <c:v>27/08/2024</c:v>
                </c:pt>
                <c:pt idx="58">
                  <c:v>28/08/2024</c:v>
                </c:pt>
                <c:pt idx="59">
                  <c:v>29/08/2024</c:v>
                </c:pt>
                <c:pt idx="60">
                  <c:v>30/08/2024</c:v>
                </c:pt>
                <c:pt idx="61">
                  <c:v>31/08/2024</c:v>
                </c:pt>
                <c:pt idx="62">
                  <c:v>1/09/2024</c:v>
                </c:pt>
                <c:pt idx="63">
                  <c:v>2/09/2024</c:v>
                </c:pt>
                <c:pt idx="64">
                  <c:v>3/09/2024</c:v>
                </c:pt>
                <c:pt idx="65">
                  <c:v>4/09/2024</c:v>
                </c:pt>
                <c:pt idx="66">
                  <c:v>5/09/2024</c:v>
                </c:pt>
                <c:pt idx="67">
                  <c:v>6/09/2024</c:v>
                </c:pt>
                <c:pt idx="68">
                  <c:v>7/09/2024</c:v>
                </c:pt>
                <c:pt idx="69">
                  <c:v>8/09/2024</c:v>
                </c:pt>
                <c:pt idx="70">
                  <c:v>9/09/2024</c:v>
                </c:pt>
                <c:pt idx="71">
                  <c:v>10/09/2024</c:v>
                </c:pt>
                <c:pt idx="72">
                  <c:v>11/09/2024</c:v>
                </c:pt>
                <c:pt idx="73">
                  <c:v>12/09/2024</c:v>
                </c:pt>
                <c:pt idx="74">
                  <c:v>13/09/2024</c:v>
                </c:pt>
                <c:pt idx="75">
                  <c:v>14/09/2024</c:v>
                </c:pt>
                <c:pt idx="76">
                  <c:v>15/09/2024</c:v>
                </c:pt>
                <c:pt idx="77">
                  <c:v>16/09/2024</c:v>
                </c:pt>
                <c:pt idx="78">
                  <c:v>17/09/2024</c:v>
                </c:pt>
                <c:pt idx="79">
                  <c:v>18/09/2024</c:v>
                </c:pt>
                <c:pt idx="80">
                  <c:v>19/09/2024</c:v>
                </c:pt>
                <c:pt idx="81">
                  <c:v>20/09/2024</c:v>
                </c:pt>
                <c:pt idx="82">
                  <c:v>21/09/2024</c:v>
                </c:pt>
                <c:pt idx="83">
                  <c:v>22/09/2024</c:v>
                </c:pt>
                <c:pt idx="84">
                  <c:v>23/09/2024</c:v>
                </c:pt>
                <c:pt idx="85">
                  <c:v>24/09/2024</c:v>
                </c:pt>
                <c:pt idx="86">
                  <c:v>25/09/2024</c:v>
                </c:pt>
                <c:pt idx="87">
                  <c:v>26/09/2024</c:v>
                </c:pt>
                <c:pt idx="88">
                  <c:v>27/09/2024</c:v>
                </c:pt>
                <c:pt idx="89">
                  <c:v>28/09/2024</c:v>
                </c:pt>
                <c:pt idx="90">
                  <c:v>29/09/2024</c:v>
                </c:pt>
                <c:pt idx="91">
                  <c:v>30/09/2024</c:v>
                </c:pt>
                <c:pt idx="92">
                  <c:v>1/10/2024</c:v>
                </c:pt>
                <c:pt idx="93">
                  <c:v>2/10/2024</c:v>
                </c:pt>
                <c:pt idx="94">
                  <c:v>3/10/2024</c:v>
                </c:pt>
                <c:pt idx="95">
                  <c:v>4/10/2024</c:v>
                </c:pt>
                <c:pt idx="96">
                  <c:v>5/10/2024</c:v>
                </c:pt>
                <c:pt idx="97">
                  <c:v>6/10/2024</c:v>
                </c:pt>
                <c:pt idx="98">
                  <c:v>7/10/2024</c:v>
                </c:pt>
                <c:pt idx="99">
                  <c:v>8/10/2024</c:v>
                </c:pt>
                <c:pt idx="100">
                  <c:v>9/10/2024</c:v>
                </c:pt>
                <c:pt idx="101">
                  <c:v>10/10/2024</c:v>
                </c:pt>
                <c:pt idx="102">
                  <c:v>11/10/2024</c:v>
                </c:pt>
                <c:pt idx="103">
                  <c:v>12/10/2024</c:v>
                </c:pt>
                <c:pt idx="104">
                  <c:v>13/10/2024</c:v>
                </c:pt>
                <c:pt idx="105">
                  <c:v>14/10/2024</c:v>
                </c:pt>
                <c:pt idx="106">
                  <c:v>15/10/2024</c:v>
                </c:pt>
                <c:pt idx="107">
                  <c:v>16/10/2024</c:v>
                </c:pt>
                <c:pt idx="108">
                  <c:v>17/10/2024</c:v>
                </c:pt>
                <c:pt idx="109">
                  <c:v>18/10/2024</c:v>
                </c:pt>
                <c:pt idx="110">
                  <c:v>19/10/2024</c:v>
                </c:pt>
                <c:pt idx="111">
                  <c:v>20/10/2024</c:v>
                </c:pt>
                <c:pt idx="112">
                  <c:v>21/10/2024</c:v>
                </c:pt>
                <c:pt idx="113">
                  <c:v>22/10/2024</c:v>
                </c:pt>
                <c:pt idx="114">
                  <c:v>23/10/2024</c:v>
                </c:pt>
                <c:pt idx="115">
                  <c:v>24/10/2024</c:v>
                </c:pt>
                <c:pt idx="116">
                  <c:v>25/10/2024</c:v>
                </c:pt>
                <c:pt idx="117">
                  <c:v>26/10/2024</c:v>
                </c:pt>
                <c:pt idx="118">
                  <c:v>27/10/2024</c:v>
                </c:pt>
                <c:pt idx="119">
                  <c:v>28/10/2024</c:v>
                </c:pt>
                <c:pt idx="120">
                  <c:v>29/10/2024</c:v>
                </c:pt>
                <c:pt idx="121">
                  <c:v>30/10/2024</c:v>
                </c:pt>
                <c:pt idx="122">
                  <c:v>31/10/2024</c:v>
                </c:pt>
                <c:pt idx="123">
                  <c:v>1/11/2024</c:v>
                </c:pt>
                <c:pt idx="124">
                  <c:v>2/11/2024</c:v>
                </c:pt>
                <c:pt idx="125">
                  <c:v>3/11/2024</c:v>
                </c:pt>
                <c:pt idx="126">
                  <c:v>4/11/2024</c:v>
                </c:pt>
                <c:pt idx="127">
                  <c:v>5/11/2024</c:v>
                </c:pt>
                <c:pt idx="128">
                  <c:v>6/11/2024</c:v>
                </c:pt>
                <c:pt idx="129">
                  <c:v>7/11/2024</c:v>
                </c:pt>
                <c:pt idx="130">
                  <c:v>8/11/2024</c:v>
                </c:pt>
                <c:pt idx="131">
                  <c:v>9/11/2024</c:v>
                </c:pt>
                <c:pt idx="132">
                  <c:v>10/11/2024</c:v>
                </c:pt>
                <c:pt idx="133">
                  <c:v>11/11/2024</c:v>
                </c:pt>
                <c:pt idx="134">
                  <c:v>12/11/2024</c:v>
                </c:pt>
                <c:pt idx="135">
                  <c:v>13/11/2024</c:v>
                </c:pt>
                <c:pt idx="136">
                  <c:v>14/11/2024</c:v>
                </c:pt>
                <c:pt idx="137">
                  <c:v>15/11/2024</c:v>
                </c:pt>
                <c:pt idx="138">
                  <c:v>16/11/2024</c:v>
                </c:pt>
                <c:pt idx="139">
                  <c:v>17/11/2024</c:v>
                </c:pt>
                <c:pt idx="140">
                  <c:v>18/11/2024</c:v>
                </c:pt>
                <c:pt idx="141">
                  <c:v>19/11/2024</c:v>
                </c:pt>
                <c:pt idx="142">
                  <c:v>20/11/2024</c:v>
                </c:pt>
                <c:pt idx="143">
                  <c:v>21/11/2024</c:v>
                </c:pt>
                <c:pt idx="144">
                  <c:v>22/11/2024</c:v>
                </c:pt>
                <c:pt idx="145">
                  <c:v>23/11/2024</c:v>
                </c:pt>
                <c:pt idx="146">
                  <c:v>24/11/2024</c:v>
                </c:pt>
                <c:pt idx="147">
                  <c:v>25/11/2024</c:v>
                </c:pt>
                <c:pt idx="148">
                  <c:v>26/11/2024</c:v>
                </c:pt>
                <c:pt idx="149">
                  <c:v>27/11/2024</c:v>
                </c:pt>
                <c:pt idx="150">
                  <c:v>28/11/2024</c:v>
                </c:pt>
                <c:pt idx="151">
                  <c:v>29/11/2024</c:v>
                </c:pt>
                <c:pt idx="152">
                  <c:v>30/11/2024</c:v>
                </c:pt>
                <c:pt idx="153">
                  <c:v>1/12/2024</c:v>
                </c:pt>
                <c:pt idx="154">
                  <c:v>2/12/2024</c:v>
                </c:pt>
                <c:pt idx="155">
                  <c:v>3/12/2024</c:v>
                </c:pt>
                <c:pt idx="156">
                  <c:v>4/12/2024</c:v>
                </c:pt>
                <c:pt idx="157">
                  <c:v>5/12/2024</c:v>
                </c:pt>
                <c:pt idx="158">
                  <c:v>6/12/2024</c:v>
                </c:pt>
                <c:pt idx="159">
                  <c:v>7/12/2024</c:v>
                </c:pt>
                <c:pt idx="160">
                  <c:v>8/12/2024</c:v>
                </c:pt>
                <c:pt idx="161">
                  <c:v>9/12/2024</c:v>
                </c:pt>
                <c:pt idx="162">
                  <c:v>10/12/2024</c:v>
                </c:pt>
                <c:pt idx="163">
                  <c:v>11/12/2024</c:v>
                </c:pt>
                <c:pt idx="164">
                  <c:v>12/12/2024</c:v>
                </c:pt>
                <c:pt idx="165">
                  <c:v>13/12/2024</c:v>
                </c:pt>
                <c:pt idx="166">
                  <c:v>14/12/2024</c:v>
                </c:pt>
                <c:pt idx="167">
                  <c:v>15/12/2024</c:v>
                </c:pt>
                <c:pt idx="168">
                  <c:v>16/12/2024</c:v>
                </c:pt>
                <c:pt idx="169">
                  <c:v>17/12/2024</c:v>
                </c:pt>
                <c:pt idx="170">
                  <c:v>18/12/2024</c:v>
                </c:pt>
                <c:pt idx="171">
                  <c:v>19/12/2024</c:v>
                </c:pt>
                <c:pt idx="172">
                  <c:v>20/12/2024</c:v>
                </c:pt>
                <c:pt idx="173">
                  <c:v>21/12/2024</c:v>
                </c:pt>
                <c:pt idx="174">
                  <c:v>22/12/2024</c:v>
                </c:pt>
                <c:pt idx="175">
                  <c:v>23/12/2024</c:v>
                </c:pt>
                <c:pt idx="176">
                  <c:v>24/12/2024</c:v>
                </c:pt>
                <c:pt idx="177">
                  <c:v>25/12/2024</c:v>
                </c:pt>
                <c:pt idx="178">
                  <c:v>26/12/2024</c:v>
                </c:pt>
                <c:pt idx="179">
                  <c:v>27/12/2024</c:v>
                </c:pt>
                <c:pt idx="180">
                  <c:v>28/12/2024</c:v>
                </c:pt>
                <c:pt idx="181">
                  <c:v>29/12/2024</c:v>
                </c:pt>
                <c:pt idx="182">
                  <c:v>30/12/2024</c:v>
                </c:pt>
                <c:pt idx="183">
                  <c:v>31/12/2024</c:v>
                </c:pt>
                <c:pt idx="184">
                  <c:v>1/01/2025</c:v>
                </c:pt>
                <c:pt idx="185">
                  <c:v>2/01/2025</c:v>
                </c:pt>
                <c:pt idx="186">
                  <c:v>3/01/2025</c:v>
                </c:pt>
                <c:pt idx="187">
                  <c:v>4/01/2025</c:v>
                </c:pt>
                <c:pt idx="188">
                  <c:v>5/01/2025</c:v>
                </c:pt>
                <c:pt idx="189">
                  <c:v>6/01/2025</c:v>
                </c:pt>
                <c:pt idx="190">
                  <c:v>7/01/2025</c:v>
                </c:pt>
                <c:pt idx="191">
                  <c:v>8/01/2025</c:v>
                </c:pt>
                <c:pt idx="192">
                  <c:v>9/01/2025</c:v>
                </c:pt>
                <c:pt idx="193">
                  <c:v>10/01/2025</c:v>
                </c:pt>
                <c:pt idx="194">
                  <c:v>11/01/2025</c:v>
                </c:pt>
                <c:pt idx="195">
                  <c:v>12/01/2025</c:v>
                </c:pt>
                <c:pt idx="196">
                  <c:v>13/01/2025</c:v>
                </c:pt>
                <c:pt idx="197">
                  <c:v>14/01/2025</c:v>
                </c:pt>
                <c:pt idx="198">
                  <c:v>15/01/2025</c:v>
                </c:pt>
                <c:pt idx="199">
                  <c:v>16/01/2025</c:v>
                </c:pt>
                <c:pt idx="200">
                  <c:v>17/01/2025</c:v>
                </c:pt>
                <c:pt idx="201">
                  <c:v>18/01/2025</c:v>
                </c:pt>
                <c:pt idx="202">
                  <c:v>19/01/2025</c:v>
                </c:pt>
                <c:pt idx="203">
                  <c:v>20/01/2025</c:v>
                </c:pt>
                <c:pt idx="204">
                  <c:v>21/01/2025</c:v>
                </c:pt>
                <c:pt idx="205">
                  <c:v>22/01/2025</c:v>
                </c:pt>
                <c:pt idx="206">
                  <c:v>23/01/2025</c:v>
                </c:pt>
                <c:pt idx="207">
                  <c:v>24/01/2025</c:v>
                </c:pt>
                <c:pt idx="208">
                  <c:v>25/01/2025</c:v>
                </c:pt>
                <c:pt idx="209">
                  <c:v>26/01/2025</c:v>
                </c:pt>
                <c:pt idx="210">
                  <c:v>27/01/2025</c:v>
                </c:pt>
                <c:pt idx="211">
                  <c:v>28/01/2025</c:v>
                </c:pt>
                <c:pt idx="212">
                  <c:v>29/01/2025</c:v>
                </c:pt>
                <c:pt idx="213">
                  <c:v>30/01/2025</c:v>
                </c:pt>
                <c:pt idx="214">
                  <c:v>31/01/2025</c:v>
                </c:pt>
                <c:pt idx="215">
                  <c:v>1/02/2025</c:v>
                </c:pt>
                <c:pt idx="216">
                  <c:v>2/02/2025</c:v>
                </c:pt>
                <c:pt idx="217">
                  <c:v>3/02/2025</c:v>
                </c:pt>
                <c:pt idx="218">
                  <c:v>4/02/2025</c:v>
                </c:pt>
                <c:pt idx="219">
                  <c:v>5/02/2025</c:v>
                </c:pt>
                <c:pt idx="220">
                  <c:v>6/02/2025</c:v>
                </c:pt>
                <c:pt idx="221">
                  <c:v>7/02/2025</c:v>
                </c:pt>
                <c:pt idx="222">
                  <c:v>8/02/2025</c:v>
                </c:pt>
                <c:pt idx="223">
                  <c:v>9/02/2025</c:v>
                </c:pt>
                <c:pt idx="224">
                  <c:v>10/02/2025</c:v>
                </c:pt>
                <c:pt idx="225">
                  <c:v>11/02/2025</c:v>
                </c:pt>
                <c:pt idx="226">
                  <c:v>12/02/2025</c:v>
                </c:pt>
                <c:pt idx="227">
                  <c:v>13/02/2025</c:v>
                </c:pt>
                <c:pt idx="228">
                  <c:v>14/02/2025</c:v>
                </c:pt>
                <c:pt idx="229">
                  <c:v>15/02/2025</c:v>
                </c:pt>
                <c:pt idx="230">
                  <c:v>16/02/2025</c:v>
                </c:pt>
                <c:pt idx="231">
                  <c:v>17/02/2025</c:v>
                </c:pt>
                <c:pt idx="232">
                  <c:v>18/02/2025</c:v>
                </c:pt>
                <c:pt idx="233">
                  <c:v>19/02/2025</c:v>
                </c:pt>
                <c:pt idx="234">
                  <c:v>20/02/2025</c:v>
                </c:pt>
                <c:pt idx="235">
                  <c:v>21/02/2025</c:v>
                </c:pt>
                <c:pt idx="236">
                  <c:v>22/02/2025</c:v>
                </c:pt>
                <c:pt idx="237">
                  <c:v>23/02/2025</c:v>
                </c:pt>
                <c:pt idx="238">
                  <c:v>24/02/2025</c:v>
                </c:pt>
                <c:pt idx="239">
                  <c:v>25/02/2025</c:v>
                </c:pt>
                <c:pt idx="240">
                  <c:v>26/02/2025</c:v>
                </c:pt>
                <c:pt idx="241">
                  <c:v>27/02/2025</c:v>
                </c:pt>
                <c:pt idx="242">
                  <c:v>28/02/2025</c:v>
                </c:pt>
                <c:pt idx="243">
                  <c:v>1/03/2025</c:v>
                </c:pt>
                <c:pt idx="244">
                  <c:v>2/03/2025</c:v>
                </c:pt>
                <c:pt idx="245">
                  <c:v>3/03/2025</c:v>
                </c:pt>
                <c:pt idx="246">
                  <c:v>4/03/2025</c:v>
                </c:pt>
                <c:pt idx="247">
                  <c:v>5/03/2025</c:v>
                </c:pt>
                <c:pt idx="248">
                  <c:v>6/03/2025</c:v>
                </c:pt>
                <c:pt idx="249">
                  <c:v>7/03/2025</c:v>
                </c:pt>
                <c:pt idx="250">
                  <c:v>8/03/2025</c:v>
                </c:pt>
                <c:pt idx="251">
                  <c:v>9/03/2025</c:v>
                </c:pt>
                <c:pt idx="252">
                  <c:v>10/03/2025</c:v>
                </c:pt>
                <c:pt idx="253">
                  <c:v>11/03/2025</c:v>
                </c:pt>
                <c:pt idx="254">
                  <c:v>12/03/2025</c:v>
                </c:pt>
                <c:pt idx="255">
                  <c:v>13/03/2025</c:v>
                </c:pt>
                <c:pt idx="256">
                  <c:v>14/03/2025</c:v>
                </c:pt>
                <c:pt idx="257">
                  <c:v>15/03/2025</c:v>
                </c:pt>
                <c:pt idx="258">
                  <c:v>16/03/2025</c:v>
                </c:pt>
                <c:pt idx="259">
                  <c:v>17/03/2025</c:v>
                </c:pt>
                <c:pt idx="260">
                  <c:v>18/03/2025</c:v>
                </c:pt>
                <c:pt idx="261">
                  <c:v>19/03/2025</c:v>
                </c:pt>
                <c:pt idx="262">
                  <c:v>20/03/2025</c:v>
                </c:pt>
                <c:pt idx="263">
                  <c:v>21/03/2025</c:v>
                </c:pt>
                <c:pt idx="264">
                  <c:v>22/03/2025</c:v>
                </c:pt>
                <c:pt idx="265">
                  <c:v>23/03/2025</c:v>
                </c:pt>
                <c:pt idx="266">
                  <c:v>24/03/2025</c:v>
                </c:pt>
                <c:pt idx="267">
                  <c:v>25/03/2025</c:v>
                </c:pt>
                <c:pt idx="268">
                  <c:v>26/03/2025</c:v>
                </c:pt>
                <c:pt idx="269">
                  <c:v>27/03/2025</c:v>
                </c:pt>
                <c:pt idx="270">
                  <c:v>28/03/2025</c:v>
                </c:pt>
                <c:pt idx="271">
                  <c:v>29/03/2025</c:v>
                </c:pt>
                <c:pt idx="272">
                  <c:v>30/03/2025</c:v>
                </c:pt>
                <c:pt idx="273">
                  <c:v>31/03/2025</c:v>
                </c:pt>
                <c:pt idx="274">
                  <c:v>1/04/2025</c:v>
                </c:pt>
                <c:pt idx="275">
                  <c:v>2/04/2025</c:v>
                </c:pt>
                <c:pt idx="276">
                  <c:v>3/04/2025</c:v>
                </c:pt>
                <c:pt idx="277">
                  <c:v>4/04/2025</c:v>
                </c:pt>
                <c:pt idx="278">
                  <c:v>5/04/2025</c:v>
                </c:pt>
                <c:pt idx="279">
                  <c:v>6/04/2025</c:v>
                </c:pt>
                <c:pt idx="280">
                  <c:v>7/04/2025</c:v>
                </c:pt>
                <c:pt idx="281">
                  <c:v>8/04/2025</c:v>
                </c:pt>
                <c:pt idx="282">
                  <c:v>9/04/2025</c:v>
                </c:pt>
                <c:pt idx="283">
                  <c:v>10/04/2025</c:v>
                </c:pt>
                <c:pt idx="284">
                  <c:v>11/04/2025</c:v>
                </c:pt>
                <c:pt idx="285">
                  <c:v>12/04/2025</c:v>
                </c:pt>
                <c:pt idx="286">
                  <c:v>13/04/2025</c:v>
                </c:pt>
                <c:pt idx="287">
                  <c:v>14/04/2025</c:v>
                </c:pt>
                <c:pt idx="288">
                  <c:v>15/04/2025</c:v>
                </c:pt>
                <c:pt idx="289">
                  <c:v>16/04/2025</c:v>
                </c:pt>
                <c:pt idx="290">
                  <c:v>17/04/2025</c:v>
                </c:pt>
                <c:pt idx="291">
                  <c:v>18/04/2025</c:v>
                </c:pt>
                <c:pt idx="292">
                  <c:v>19/04/2025</c:v>
                </c:pt>
                <c:pt idx="293">
                  <c:v>20/04/2025</c:v>
                </c:pt>
                <c:pt idx="294">
                  <c:v>21/04/2025</c:v>
                </c:pt>
                <c:pt idx="295">
                  <c:v>22/04/2025</c:v>
                </c:pt>
                <c:pt idx="296">
                  <c:v>23/04/2025</c:v>
                </c:pt>
                <c:pt idx="297">
                  <c:v>24/04/2025</c:v>
                </c:pt>
                <c:pt idx="298">
                  <c:v>25/04/2025</c:v>
                </c:pt>
                <c:pt idx="299">
                  <c:v>26/04/2025</c:v>
                </c:pt>
                <c:pt idx="300">
                  <c:v>27/04/2025</c:v>
                </c:pt>
                <c:pt idx="301">
                  <c:v>28/04/2025</c:v>
                </c:pt>
                <c:pt idx="302">
                  <c:v>29/04/2025</c:v>
                </c:pt>
                <c:pt idx="303">
                  <c:v>30/04/2025</c:v>
                </c:pt>
                <c:pt idx="304">
                  <c:v>1/05/2025</c:v>
                </c:pt>
                <c:pt idx="305">
                  <c:v>2/05/2025</c:v>
                </c:pt>
                <c:pt idx="306">
                  <c:v>3/05/2025</c:v>
                </c:pt>
                <c:pt idx="307">
                  <c:v>4/05/2025</c:v>
                </c:pt>
                <c:pt idx="308">
                  <c:v>5/05/2025</c:v>
                </c:pt>
                <c:pt idx="309">
                  <c:v>6/05/2025</c:v>
                </c:pt>
                <c:pt idx="310">
                  <c:v>7/05/2025</c:v>
                </c:pt>
                <c:pt idx="311">
                  <c:v>8/05/2025</c:v>
                </c:pt>
                <c:pt idx="312">
                  <c:v>9/05/2025</c:v>
                </c:pt>
                <c:pt idx="313">
                  <c:v>10/05/2025</c:v>
                </c:pt>
                <c:pt idx="314">
                  <c:v>11/05/2025</c:v>
                </c:pt>
                <c:pt idx="315">
                  <c:v>12/05/2025</c:v>
                </c:pt>
                <c:pt idx="316">
                  <c:v>13/05/2025</c:v>
                </c:pt>
                <c:pt idx="317">
                  <c:v>14/05/2025</c:v>
                </c:pt>
                <c:pt idx="318">
                  <c:v>15/05/2025</c:v>
                </c:pt>
                <c:pt idx="319">
                  <c:v>16/05/2025</c:v>
                </c:pt>
                <c:pt idx="320">
                  <c:v>17/05/2025</c:v>
                </c:pt>
                <c:pt idx="321">
                  <c:v>18/05/2025</c:v>
                </c:pt>
                <c:pt idx="322">
                  <c:v>19/05/2025</c:v>
                </c:pt>
                <c:pt idx="323">
                  <c:v>20/05/2025</c:v>
                </c:pt>
                <c:pt idx="324">
                  <c:v>21/05/2025</c:v>
                </c:pt>
                <c:pt idx="325">
                  <c:v>22/05/2025</c:v>
                </c:pt>
                <c:pt idx="326">
                  <c:v>23/05/2025</c:v>
                </c:pt>
                <c:pt idx="327">
                  <c:v>24/05/2025</c:v>
                </c:pt>
                <c:pt idx="328">
                  <c:v>25/05/2025</c:v>
                </c:pt>
                <c:pt idx="329">
                  <c:v>26/05/2025</c:v>
                </c:pt>
                <c:pt idx="330">
                  <c:v>27/05/2025</c:v>
                </c:pt>
                <c:pt idx="331">
                  <c:v>28/05/2025</c:v>
                </c:pt>
                <c:pt idx="332">
                  <c:v>29/05/2025</c:v>
                </c:pt>
                <c:pt idx="333">
                  <c:v>30/05/2025</c:v>
                </c:pt>
                <c:pt idx="334">
                  <c:v>31/05/2025</c:v>
                </c:pt>
                <c:pt idx="335">
                  <c:v>1/06/2025</c:v>
                </c:pt>
                <c:pt idx="336">
                  <c:v>2/06/2025</c:v>
                </c:pt>
                <c:pt idx="337">
                  <c:v>3/06/2025</c:v>
                </c:pt>
                <c:pt idx="338">
                  <c:v>4/06/2025</c:v>
                </c:pt>
                <c:pt idx="339">
                  <c:v>5/06/2025</c:v>
                </c:pt>
                <c:pt idx="340">
                  <c:v>6/06/2025</c:v>
                </c:pt>
                <c:pt idx="341">
                  <c:v>7/06/2025</c:v>
                </c:pt>
                <c:pt idx="342">
                  <c:v>8/06/2025</c:v>
                </c:pt>
                <c:pt idx="343">
                  <c:v>9/06/2025</c:v>
                </c:pt>
                <c:pt idx="344">
                  <c:v>10/06/2025</c:v>
                </c:pt>
                <c:pt idx="345">
                  <c:v>11/06/2025</c:v>
                </c:pt>
                <c:pt idx="346">
                  <c:v>12/06/2025</c:v>
                </c:pt>
                <c:pt idx="347">
                  <c:v>13/06/2025</c:v>
                </c:pt>
                <c:pt idx="348">
                  <c:v>14/06/2025</c:v>
                </c:pt>
                <c:pt idx="349">
                  <c:v>15/06/2025</c:v>
                </c:pt>
                <c:pt idx="350">
                  <c:v>16/06/2025</c:v>
                </c:pt>
                <c:pt idx="351">
                  <c:v>17/06/2025</c:v>
                </c:pt>
                <c:pt idx="352">
                  <c:v>18/06/2025</c:v>
                </c:pt>
                <c:pt idx="353">
                  <c:v>19/06/2025</c:v>
                </c:pt>
                <c:pt idx="354">
                  <c:v>20/06/2025</c:v>
                </c:pt>
                <c:pt idx="355">
                  <c:v>21/06/2025</c:v>
                </c:pt>
                <c:pt idx="356">
                  <c:v>22/06/2025</c:v>
                </c:pt>
                <c:pt idx="357">
                  <c:v>23/06/2025</c:v>
                </c:pt>
                <c:pt idx="358">
                  <c:v>24/06/2025</c:v>
                </c:pt>
                <c:pt idx="359">
                  <c:v>25/06/2025</c:v>
                </c:pt>
                <c:pt idx="360">
                  <c:v>26/06/2025</c:v>
                </c:pt>
                <c:pt idx="361">
                  <c:v>27/06/2025</c:v>
                </c:pt>
                <c:pt idx="362">
                  <c:v>28/06/2025</c:v>
                </c:pt>
                <c:pt idx="363">
                  <c:v>29/06/2025</c:v>
                </c:pt>
                <c:pt idx="364">
                  <c:v>30/06/2025</c:v>
                </c:pt>
              </c:strCache>
            </c:strRef>
          </c:cat>
          <c:val>
            <c:numRef>
              <c:f>'5. Historical demand'!$F$43:$F$408</c:f>
              <c:numCache>
                <c:formatCode>_(* #,##0_);_(* \(#,##0\);_(* "-"_);_(@_)</c:formatCode>
                <c:ptCount val="366"/>
                <c:pt idx="0">
                  <c:v>820</c:v>
                </c:pt>
                <c:pt idx="1">
                  <c:v>820</c:v>
                </c:pt>
                <c:pt idx="2">
                  <c:v>820</c:v>
                </c:pt>
                <c:pt idx="3">
                  <c:v>820</c:v>
                </c:pt>
                <c:pt idx="4">
                  <c:v>820</c:v>
                </c:pt>
                <c:pt idx="5">
                  <c:v>820</c:v>
                </c:pt>
                <c:pt idx="6">
                  <c:v>820</c:v>
                </c:pt>
                <c:pt idx="7">
                  <c:v>820</c:v>
                </c:pt>
                <c:pt idx="8">
                  <c:v>820</c:v>
                </c:pt>
                <c:pt idx="9">
                  <c:v>820</c:v>
                </c:pt>
                <c:pt idx="10">
                  <c:v>820</c:v>
                </c:pt>
                <c:pt idx="11">
                  <c:v>820</c:v>
                </c:pt>
                <c:pt idx="12">
                  <c:v>820</c:v>
                </c:pt>
                <c:pt idx="13">
                  <c:v>820</c:v>
                </c:pt>
                <c:pt idx="14">
                  <c:v>820</c:v>
                </c:pt>
                <c:pt idx="15">
                  <c:v>820</c:v>
                </c:pt>
                <c:pt idx="16">
                  <c:v>820</c:v>
                </c:pt>
                <c:pt idx="17">
                  <c:v>820</c:v>
                </c:pt>
                <c:pt idx="18">
                  <c:v>820</c:v>
                </c:pt>
                <c:pt idx="19">
                  <c:v>820</c:v>
                </c:pt>
                <c:pt idx="20">
                  <c:v>820</c:v>
                </c:pt>
                <c:pt idx="21">
                  <c:v>820</c:v>
                </c:pt>
                <c:pt idx="22">
                  <c:v>820</c:v>
                </c:pt>
                <c:pt idx="23">
                  <c:v>820</c:v>
                </c:pt>
                <c:pt idx="24">
                  <c:v>820</c:v>
                </c:pt>
                <c:pt idx="25">
                  <c:v>820</c:v>
                </c:pt>
                <c:pt idx="26">
                  <c:v>820</c:v>
                </c:pt>
                <c:pt idx="27">
                  <c:v>820</c:v>
                </c:pt>
                <c:pt idx="28">
                  <c:v>820</c:v>
                </c:pt>
                <c:pt idx="29">
                  <c:v>820</c:v>
                </c:pt>
                <c:pt idx="30">
                  <c:v>820</c:v>
                </c:pt>
                <c:pt idx="31">
                  <c:v>820</c:v>
                </c:pt>
                <c:pt idx="32">
                  <c:v>820</c:v>
                </c:pt>
                <c:pt idx="33">
                  <c:v>820</c:v>
                </c:pt>
                <c:pt idx="34">
                  <c:v>820</c:v>
                </c:pt>
                <c:pt idx="35">
                  <c:v>820</c:v>
                </c:pt>
                <c:pt idx="36">
                  <c:v>820</c:v>
                </c:pt>
                <c:pt idx="37">
                  <c:v>820</c:v>
                </c:pt>
                <c:pt idx="38">
                  <c:v>820</c:v>
                </c:pt>
                <c:pt idx="39">
                  <c:v>820</c:v>
                </c:pt>
                <c:pt idx="40">
                  <c:v>820</c:v>
                </c:pt>
                <c:pt idx="41">
                  <c:v>820</c:v>
                </c:pt>
                <c:pt idx="42">
                  <c:v>820</c:v>
                </c:pt>
                <c:pt idx="43">
                  <c:v>820</c:v>
                </c:pt>
                <c:pt idx="44">
                  <c:v>820</c:v>
                </c:pt>
                <c:pt idx="45">
                  <c:v>820</c:v>
                </c:pt>
                <c:pt idx="46">
                  <c:v>820</c:v>
                </c:pt>
                <c:pt idx="47">
                  <c:v>820</c:v>
                </c:pt>
                <c:pt idx="48">
                  <c:v>820</c:v>
                </c:pt>
                <c:pt idx="49">
                  <c:v>820</c:v>
                </c:pt>
                <c:pt idx="50">
                  <c:v>820</c:v>
                </c:pt>
                <c:pt idx="51">
                  <c:v>820</c:v>
                </c:pt>
                <c:pt idx="52">
                  <c:v>820</c:v>
                </c:pt>
                <c:pt idx="53">
                  <c:v>820</c:v>
                </c:pt>
                <c:pt idx="54">
                  <c:v>820</c:v>
                </c:pt>
                <c:pt idx="55">
                  <c:v>820</c:v>
                </c:pt>
                <c:pt idx="56">
                  <c:v>820</c:v>
                </c:pt>
                <c:pt idx="57">
                  <c:v>820</c:v>
                </c:pt>
                <c:pt idx="58">
                  <c:v>820</c:v>
                </c:pt>
                <c:pt idx="59">
                  <c:v>820</c:v>
                </c:pt>
                <c:pt idx="60">
                  <c:v>820</c:v>
                </c:pt>
                <c:pt idx="61">
                  <c:v>820</c:v>
                </c:pt>
                <c:pt idx="62">
                  <c:v>820</c:v>
                </c:pt>
                <c:pt idx="63">
                  <c:v>820</c:v>
                </c:pt>
                <c:pt idx="64">
                  <c:v>820</c:v>
                </c:pt>
                <c:pt idx="65">
                  <c:v>820</c:v>
                </c:pt>
                <c:pt idx="66">
                  <c:v>820</c:v>
                </c:pt>
                <c:pt idx="67">
                  <c:v>820</c:v>
                </c:pt>
                <c:pt idx="68">
                  <c:v>820</c:v>
                </c:pt>
                <c:pt idx="69">
                  <c:v>820</c:v>
                </c:pt>
                <c:pt idx="70">
                  <c:v>820</c:v>
                </c:pt>
                <c:pt idx="71">
                  <c:v>820</c:v>
                </c:pt>
                <c:pt idx="72">
                  <c:v>820</c:v>
                </c:pt>
                <c:pt idx="73">
                  <c:v>820</c:v>
                </c:pt>
                <c:pt idx="74">
                  <c:v>820</c:v>
                </c:pt>
                <c:pt idx="75">
                  <c:v>820</c:v>
                </c:pt>
                <c:pt idx="76">
                  <c:v>820</c:v>
                </c:pt>
                <c:pt idx="77">
                  <c:v>820</c:v>
                </c:pt>
                <c:pt idx="78">
                  <c:v>820</c:v>
                </c:pt>
                <c:pt idx="79">
                  <c:v>820</c:v>
                </c:pt>
                <c:pt idx="80">
                  <c:v>820</c:v>
                </c:pt>
                <c:pt idx="81">
                  <c:v>820</c:v>
                </c:pt>
                <c:pt idx="82">
                  <c:v>820</c:v>
                </c:pt>
                <c:pt idx="83">
                  <c:v>820</c:v>
                </c:pt>
                <c:pt idx="84">
                  <c:v>820</c:v>
                </c:pt>
                <c:pt idx="85">
                  <c:v>820</c:v>
                </c:pt>
                <c:pt idx="86">
                  <c:v>820</c:v>
                </c:pt>
                <c:pt idx="87">
                  <c:v>820</c:v>
                </c:pt>
                <c:pt idx="88">
                  <c:v>820</c:v>
                </c:pt>
                <c:pt idx="89">
                  <c:v>820</c:v>
                </c:pt>
                <c:pt idx="90">
                  <c:v>820</c:v>
                </c:pt>
                <c:pt idx="91">
                  <c:v>820</c:v>
                </c:pt>
                <c:pt idx="92">
                  <c:v>820</c:v>
                </c:pt>
                <c:pt idx="93">
                  <c:v>820</c:v>
                </c:pt>
                <c:pt idx="94">
                  <c:v>820</c:v>
                </c:pt>
                <c:pt idx="95">
                  <c:v>820</c:v>
                </c:pt>
                <c:pt idx="96">
                  <c:v>820</c:v>
                </c:pt>
                <c:pt idx="97">
                  <c:v>820</c:v>
                </c:pt>
                <c:pt idx="98">
                  <c:v>820</c:v>
                </c:pt>
                <c:pt idx="99">
                  <c:v>820</c:v>
                </c:pt>
                <c:pt idx="100">
                  <c:v>820</c:v>
                </c:pt>
                <c:pt idx="101">
                  <c:v>820</c:v>
                </c:pt>
                <c:pt idx="102">
                  <c:v>820</c:v>
                </c:pt>
                <c:pt idx="103">
                  <c:v>820</c:v>
                </c:pt>
                <c:pt idx="104">
                  <c:v>820</c:v>
                </c:pt>
                <c:pt idx="105">
                  <c:v>820</c:v>
                </c:pt>
                <c:pt idx="106">
                  <c:v>820</c:v>
                </c:pt>
                <c:pt idx="107">
                  <c:v>820</c:v>
                </c:pt>
                <c:pt idx="108">
                  <c:v>820</c:v>
                </c:pt>
                <c:pt idx="109">
                  <c:v>820</c:v>
                </c:pt>
                <c:pt idx="110">
                  <c:v>820</c:v>
                </c:pt>
                <c:pt idx="111">
                  <c:v>820</c:v>
                </c:pt>
                <c:pt idx="112">
                  <c:v>820</c:v>
                </c:pt>
                <c:pt idx="113">
                  <c:v>820</c:v>
                </c:pt>
                <c:pt idx="114">
                  <c:v>820</c:v>
                </c:pt>
                <c:pt idx="115">
                  <c:v>820</c:v>
                </c:pt>
                <c:pt idx="116">
                  <c:v>820</c:v>
                </c:pt>
                <c:pt idx="117">
                  <c:v>820</c:v>
                </c:pt>
                <c:pt idx="118">
                  <c:v>820</c:v>
                </c:pt>
                <c:pt idx="119">
                  <c:v>820</c:v>
                </c:pt>
                <c:pt idx="120">
                  <c:v>820</c:v>
                </c:pt>
                <c:pt idx="121">
                  <c:v>820</c:v>
                </c:pt>
                <c:pt idx="122">
                  <c:v>820</c:v>
                </c:pt>
                <c:pt idx="123">
                  <c:v>820</c:v>
                </c:pt>
                <c:pt idx="124">
                  <c:v>820</c:v>
                </c:pt>
                <c:pt idx="125">
                  <c:v>820</c:v>
                </c:pt>
                <c:pt idx="126">
                  <c:v>820</c:v>
                </c:pt>
                <c:pt idx="127">
                  <c:v>820</c:v>
                </c:pt>
                <c:pt idx="128">
                  <c:v>820</c:v>
                </c:pt>
                <c:pt idx="129">
                  <c:v>820</c:v>
                </c:pt>
                <c:pt idx="130">
                  <c:v>820</c:v>
                </c:pt>
                <c:pt idx="131">
                  <c:v>820</c:v>
                </c:pt>
                <c:pt idx="132">
                  <c:v>820</c:v>
                </c:pt>
                <c:pt idx="133">
                  <c:v>820</c:v>
                </c:pt>
                <c:pt idx="134">
                  <c:v>820</c:v>
                </c:pt>
                <c:pt idx="135">
                  <c:v>820</c:v>
                </c:pt>
                <c:pt idx="136">
                  <c:v>820</c:v>
                </c:pt>
                <c:pt idx="137">
                  <c:v>820</c:v>
                </c:pt>
                <c:pt idx="138">
                  <c:v>820</c:v>
                </c:pt>
                <c:pt idx="139">
                  <c:v>820</c:v>
                </c:pt>
                <c:pt idx="140">
                  <c:v>820</c:v>
                </c:pt>
                <c:pt idx="141">
                  <c:v>820</c:v>
                </c:pt>
                <c:pt idx="142">
                  <c:v>820</c:v>
                </c:pt>
                <c:pt idx="143">
                  <c:v>820</c:v>
                </c:pt>
                <c:pt idx="144">
                  <c:v>820</c:v>
                </c:pt>
                <c:pt idx="145">
                  <c:v>820</c:v>
                </c:pt>
                <c:pt idx="146">
                  <c:v>820</c:v>
                </c:pt>
                <c:pt idx="147">
                  <c:v>820</c:v>
                </c:pt>
                <c:pt idx="148">
                  <c:v>820</c:v>
                </c:pt>
                <c:pt idx="149">
                  <c:v>820</c:v>
                </c:pt>
                <c:pt idx="150">
                  <c:v>820</c:v>
                </c:pt>
                <c:pt idx="151">
                  <c:v>820</c:v>
                </c:pt>
                <c:pt idx="152">
                  <c:v>820</c:v>
                </c:pt>
                <c:pt idx="153">
                  <c:v>820</c:v>
                </c:pt>
                <c:pt idx="154">
                  <c:v>820</c:v>
                </c:pt>
                <c:pt idx="155">
                  <c:v>820</c:v>
                </c:pt>
                <c:pt idx="156">
                  <c:v>820</c:v>
                </c:pt>
                <c:pt idx="157">
                  <c:v>820</c:v>
                </c:pt>
                <c:pt idx="158">
                  <c:v>820</c:v>
                </c:pt>
                <c:pt idx="159">
                  <c:v>820</c:v>
                </c:pt>
                <c:pt idx="160">
                  <c:v>820</c:v>
                </c:pt>
                <c:pt idx="161">
                  <c:v>820</c:v>
                </c:pt>
                <c:pt idx="162">
                  <c:v>820</c:v>
                </c:pt>
                <c:pt idx="163">
                  <c:v>820</c:v>
                </c:pt>
                <c:pt idx="164">
                  <c:v>820</c:v>
                </c:pt>
                <c:pt idx="165">
                  <c:v>820</c:v>
                </c:pt>
                <c:pt idx="166">
                  <c:v>820</c:v>
                </c:pt>
                <c:pt idx="167">
                  <c:v>820</c:v>
                </c:pt>
                <c:pt idx="168">
                  <c:v>820</c:v>
                </c:pt>
                <c:pt idx="169">
                  <c:v>820</c:v>
                </c:pt>
                <c:pt idx="170">
                  <c:v>820</c:v>
                </c:pt>
                <c:pt idx="171">
                  <c:v>820</c:v>
                </c:pt>
                <c:pt idx="172">
                  <c:v>820</c:v>
                </c:pt>
                <c:pt idx="173">
                  <c:v>820</c:v>
                </c:pt>
                <c:pt idx="174">
                  <c:v>820</c:v>
                </c:pt>
                <c:pt idx="175">
                  <c:v>820</c:v>
                </c:pt>
                <c:pt idx="176">
                  <c:v>820</c:v>
                </c:pt>
                <c:pt idx="177">
                  <c:v>820</c:v>
                </c:pt>
                <c:pt idx="178">
                  <c:v>820</c:v>
                </c:pt>
                <c:pt idx="179">
                  <c:v>820</c:v>
                </c:pt>
                <c:pt idx="180">
                  <c:v>820</c:v>
                </c:pt>
                <c:pt idx="181">
                  <c:v>820</c:v>
                </c:pt>
                <c:pt idx="182">
                  <c:v>820</c:v>
                </c:pt>
                <c:pt idx="183">
                  <c:v>820</c:v>
                </c:pt>
                <c:pt idx="184">
                  <c:v>820</c:v>
                </c:pt>
                <c:pt idx="185">
                  <c:v>820</c:v>
                </c:pt>
                <c:pt idx="186">
                  <c:v>820</c:v>
                </c:pt>
                <c:pt idx="187">
                  <c:v>820</c:v>
                </c:pt>
                <c:pt idx="188">
                  <c:v>820</c:v>
                </c:pt>
                <c:pt idx="189">
                  <c:v>820</c:v>
                </c:pt>
                <c:pt idx="190">
                  <c:v>820</c:v>
                </c:pt>
                <c:pt idx="191">
                  <c:v>820</c:v>
                </c:pt>
                <c:pt idx="192">
                  <c:v>820</c:v>
                </c:pt>
                <c:pt idx="193">
                  <c:v>820</c:v>
                </c:pt>
                <c:pt idx="194">
                  <c:v>820</c:v>
                </c:pt>
                <c:pt idx="195">
                  <c:v>820</c:v>
                </c:pt>
                <c:pt idx="196">
                  <c:v>820</c:v>
                </c:pt>
                <c:pt idx="197">
                  <c:v>820</c:v>
                </c:pt>
                <c:pt idx="198">
                  <c:v>820</c:v>
                </c:pt>
                <c:pt idx="199">
                  <c:v>820</c:v>
                </c:pt>
                <c:pt idx="200">
                  <c:v>820</c:v>
                </c:pt>
                <c:pt idx="201">
                  <c:v>820</c:v>
                </c:pt>
                <c:pt idx="202">
                  <c:v>820</c:v>
                </c:pt>
                <c:pt idx="203">
                  <c:v>820</c:v>
                </c:pt>
                <c:pt idx="204">
                  <c:v>820</c:v>
                </c:pt>
                <c:pt idx="205">
                  <c:v>820</c:v>
                </c:pt>
                <c:pt idx="206">
                  <c:v>820</c:v>
                </c:pt>
                <c:pt idx="207">
                  <c:v>820</c:v>
                </c:pt>
                <c:pt idx="208">
                  <c:v>820</c:v>
                </c:pt>
                <c:pt idx="209">
                  <c:v>820</c:v>
                </c:pt>
                <c:pt idx="210">
                  <c:v>820</c:v>
                </c:pt>
                <c:pt idx="211">
                  <c:v>820</c:v>
                </c:pt>
                <c:pt idx="212">
                  <c:v>820</c:v>
                </c:pt>
                <c:pt idx="213">
                  <c:v>820</c:v>
                </c:pt>
                <c:pt idx="214">
                  <c:v>820</c:v>
                </c:pt>
                <c:pt idx="215">
                  <c:v>820</c:v>
                </c:pt>
                <c:pt idx="216">
                  <c:v>820</c:v>
                </c:pt>
                <c:pt idx="217">
                  <c:v>820</c:v>
                </c:pt>
                <c:pt idx="218">
                  <c:v>820</c:v>
                </c:pt>
                <c:pt idx="219">
                  <c:v>820</c:v>
                </c:pt>
                <c:pt idx="220">
                  <c:v>820</c:v>
                </c:pt>
                <c:pt idx="221">
                  <c:v>820</c:v>
                </c:pt>
                <c:pt idx="222">
                  <c:v>820</c:v>
                </c:pt>
                <c:pt idx="223">
                  <c:v>820</c:v>
                </c:pt>
                <c:pt idx="224">
                  <c:v>820</c:v>
                </c:pt>
                <c:pt idx="225">
                  <c:v>820</c:v>
                </c:pt>
                <c:pt idx="226">
                  <c:v>820</c:v>
                </c:pt>
                <c:pt idx="227">
                  <c:v>820</c:v>
                </c:pt>
                <c:pt idx="228">
                  <c:v>820</c:v>
                </c:pt>
                <c:pt idx="229">
                  <c:v>820</c:v>
                </c:pt>
                <c:pt idx="230">
                  <c:v>820</c:v>
                </c:pt>
                <c:pt idx="231">
                  <c:v>820</c:v>
                </c:pt>
                <c:pt idx="232">
                  <c:v>820</c:v>
                </c:pt>
                <c:pt idx="233">
                  <c:v>820</c:v>
                </c:pt>
                <c:pt idx="234">
                  <c:v>820</c:v>
                </c:pt>
                <c:pt idx="235">
                  <c:v>820</c:v>
                </c:pt>
                <c:pt idx="236">
                  <c:v>820</c:v>
                </c:pt>
                <c:pt idx="237">
                  <c:v>820</c:v>
                </c:pt>
                <c:pt idx="238">
                  <c:v>820</c:v>
                </c:pt>
                <c:pt idx="239">
                  <c:v>820</c:v>
                </c:pt>
                <c:pt idx="240">
                  <c:v>820</c:v>
                </c:pt>
                <c:pt idx="241">
                  <c:v>820</c:v>
                </c:pt>
                <c:pt idx="242">
                  <c:v>820</c:v>
                </c:pt>
                <c:pt idx="243">
                  <c:v>820</c:v>
                </c:pt>
                <c:pt idx="244">
                  <c:v>820</c:v>
                </c:pt>
                <c:pt idx="245">
                  <c:v>820</c:v>
                </c:pt>
                <c:pt idx="246">
                  <c:v>820</c:v>
                </c:pt>
                <c:pt idx="247">
                  <c:v>820</c:v>
                </c:pt>
                <c:pt idx="248">
                  <c:v>820</c:v>
                </c:pt>
                <c:pt idx="249">
                  <c:v>820</c:v>
                </c:pt>
                <c:pt idx="250">
                  <c:v>820</c:v>
                </c:pt>
                <c:pt idx="251">
                  <c:v>820</c:v>
                </c:pt>
                <c:pt idx="252">
                  <c:v>820</c:v>
                </c:pt>
                <c:pt idx="253">
                  <c:v>820</c:v>
                </c:pt>
                <c:pt idx="254">
                  <c:v>820</c:v>
                </c:pt>
                <c:pt idx="255">
                  <c:v>820</c:v>
                </c:pt>
                <c:pt idx="256">
                  <c:v>820</c:v>
                </c:pt>
                <c:pt idx="257">
                  <c:v>820</c:v>
                </c:pt>
                <c:pt idx="258">
                  <c:v>820</c:v>
                </c:pt>
                <c:pt idx="259">
                  <c:v>820</c:v>
                </c:pt>
                <c:pt idx="260">
                  <c:v>820</c:v>
                </c:pt>
                <c:pt idx="261">
                  <c:v>820</c:v>
                </c:pt>
                <c:pt idx="262">
                  <c:v>820</c:v>
                </c:pt>
                <c:pt idx="263">
                  <c:v>820</c:v>
                </c:pt>
                <c:pt idx="264">
                  <c:v>820</c:v>
                </c:pt>
                <c:pt idx="265">
                  <c:v>820</c:v>
                </c:pt>
                <c:pt idx="266">
                  <c:v>820</c:v>
                </c:pt>
                <c:pt idx="267">
                  <c:v>820</c:v>
                </c:pt>
                <c:pt idx="268">
                  <c:v>820</c:v>
                </c:pt>
                <c:pt idx="269">
                  <c:v>820</c:v>
                </c:pt>
                <c:pt idx="270">
                  <c:v>820</c:v>
                </c:pt>
                <c:pt idx="271">
                  <c:v>820</c:v>
                </c:pt>
                <c:pt idx="272">
                  <c:v>820</c:v>
                </c:pt>
                <c:pt idx="273">
                  <c:v>820</c:v>
                </c:pt>
                <c:pt idx="274">
                  <c:v>820</c:v>
                </c:pt>
                <c:pt idx="275">
                  <c:v>820</c:v>
                </c:pt>
                <c:pt idx="276">
                  <c:v>820</c:v>
                </c:pt>
                <c:pt idx="277">
                  <c:v>820</c:v>
                </c:pt>
                <c:pt idx="278">
                  <c:v>820</c:v>
                </c:pt>
                <c:pt idx="279">
                  <c:v>820</c:v>
                </c:pt>
                <c:pt idx="280">
                  <c:v>820</c:v>
                </c:pt>
                <c:pt idx="281">
                  <c:v>820</c:v>
                </c:pt>
                <c:pt idx="282">
                  <c:v>820</c:v>
                </c:pt>
                <c:pt idx="283">
                  <c:v>820</c:v>
                </c:pt>
                <c:pt idx="284">
                  <c:v>820</c:v>
                </c:pt>
                <c:pt idx="285">
                  <c:v>820</c:v>
                </c:pt>
                <c:pt idx="286">
                  <c:v>820</c:v>
                </c:pt>
                <c:pt idx="287">
                  <c:v>820</c:v>
                </c:pt>
                <c:pt idx="288">
                  <c:v>820</c:v>
                </c:pt>
                <c:pt idx="289">
                  <c:v>820</c:v>
                </c:pt>
                <c:pt idx="290">
                  <c:v>820</c:v>
                </c:pt>
                <c:pt idx="291">
                  <c:v>820</c:v>
                </c:pt>
                <c:pt idx="292">
                  <c:v>820</c:v>
                </c:pt>
                <c:pt idx="293">
                  <c:v>820</c:v>
                </c:pt>
                <c:pt idx="294">
                  <c:v>820</c:v>
                </c:pt>
                <c:pt idx="295">
                  <c:v>820</c:v>
                </c:pt>
                <c:pt idx="296">
                  <c:v>820</c:v>
                </c:pt>
                <c:pt idx="297">
                  <c:v>820</c:v>
                </c:pt>
                <c:pt idx="298">
                  <c:v>820</c:v>
                </c:pt>
                <c:pt idx="299">
                  <c:v>820</c:v>
                </c:pt>
                <c:pt idx="300">
                  <c:v>820</c:v>
                </c:pt>
                <c:pt idx="301">
                  <c:v>820</c:v>
                </c:pt>
                <c:pt idx="302">
                  <c:v>820</c:v>
                </c:pt>
                <c:pt idx="303">
                  <c:v>820</c:v>
                </c:pt>
                <c:pt idx="304">
                  <c:v>820</c:v>
                </c:pt>
                <c:pt idx="305">
                  <c:v>820</c:v>
                </c:pt>
                <c:pt idx="306">
                  <c:v>820</c:v>
                </c:pt>
                <c:pt idx="307">
                  <c:v>820</c:v>
                </c:pt>
                <c:pt idx="308">
                  <c:v>820</c:v>
                </c:pt>
                <c:pt idx="309">
                  <c:v>820</c:v>
                </c:pt>
                <c:pt idx="310">
                  <c:v>820</c:v>
                </c:pt>
                <c:pt idx="311">
                  <c:v>820</c:v>
                </c:pt>
                <c:pt idx="312">
                  <c:v>820</c:v>
                </c:pt>
                <c:pt idx="313">
                  <c:v>820</c:v>
                </c:pt>
                <c:pt idx="314">
                  <c:v>820</c:v>
                </c:pt>
                <c:pt idx="315">
                  <c:v>820</c:v>
                </c:pt>
                <c:pt idx="316">
                  <c:v>820</c:v>
                </c:pt>
                <c:pt idx="317">
                  <c:v>820</c:v>
                </c:pt>
                <c:pt idx="318">
                  <c:v>820</c:v>
                </c:pt>
                <c:pt idx="319">
                  <c:v>820</c:v>
                </c:pt>
                <c:pt idx="320">
                  <c:v>820</c:v>
                </c:pt>
                <c:pt idx="321">
                  <c:v>820</c:v>
                </c:pt>
                <c:pt idx="322">
                  <c:v>820</c:v>
                </c:pt>
                <c:pt idx="323">
                  <c:v>820</c:v>
                </c:pt>
                <c:pt idx="324">
                  <c:v>820</c:v>
                </c:pt>
                <c:pt idx="325">
                  <c:v>820</c:v>
                </c:pt>
                <c:pt idx="326">
                  <c:v>820</c:v>
                </c:pt>
                <c:pt idx="327">
                  <c:v>820</c:v>
                </c:pt>
                <c:pt idx="328">
                  <c:v>820</c:v>
                </c:pt>
                <c:pt idx="329">
                  <c:v>820</c:v>
                </c:pt>
                <c:pt idx="330">
                  <c:v>820</c:v>
                </c:pt>
                <c:pt idx="331">
                  <c:v>820</c:v>
                </c:pt>
                <c:pt idx="332">
                  <c:v>820</c:v>
                </c:pt>
                <c:pt idx="333">
                  <c:v>820</c:v>
                </c:pt>
                <c:pt idx="334">
                  <c:v>820</c:v>
                </c:pt>
                <c:pt idx="335">
                  <c:v>820</c:v>
                </c:pt>
                <c:pt idx="336">
                  <c:v>820</c:v>
                </c:pt>
                <c:pt idx="337">
                  <c:v>820</c:v>
                </c:pt>
                <c:pt idx="338">
                  <c:v>820</c:v>
                </c:pt>
                <c:pt idx="339">
                  <c:v>820</c:v>
                </c:pt>
                <c:pt idx="340">
                  <c:v>820</c:v>
                </c:pt>
                <c:pt idx="341">
                  <c:v>820</c:v>
                </c:pt>
                <c:pt idx="342">
                  <c:v>820</c:v>
                </c:pt>
                <c:pt idx="343">
                  <c:v>820</c:v>
                </c:pt>
                <c:pt idx="344">
                  <c:v>820</c:v>
                </c:pt>
                <c:pt idx="345">
                  <c:v>820</c:v>
                </c:pt>
                <c:pt idx="346">
                  <c:v>820</c:v>
                </c:pt>
                <c:pt idx="347">
                  <c:v>820</c:v>
                </c:pt>
                <c:pt idx="348">
                  <c:v>820</c:v>
                </c:pt>
                <c:pt idx="349">
                  <c:v>820</c:v>
                </c:pt>
                <c:pt idx="350">
                  <c:v>820</c:v>
                </c:pt>
                <c:pt idx="351">
                  <c:v>820</c:v>
                </c:pt>
                <c:pt idx="352">
                  <c:v>820</c:v>
                </c:pt>
                <c:pt idx="353">
                  <c:v>820</c:v>
                </c:pt>
                <c:pt idx="354">
                  <c:v>820</c:v>
                </c:pt>
                <c:pt idx="355">
                  <c:v>820</c:v>
                </c:pt>
                <c:pt idx="356">
                  <c:v>820</c:v>
                </c:pt>
                <c:pt idx="357">
                  <c:v>820</c:v>
                </c:pt>
                <c:pt idx="358">
                  <c:v>820</c:v>
                </c:pt>
                <c:pt idx="359">
                  <c:v>820</c:v>
                </c:pt>
                <c:pt idx="360">
                  <c:v>820</c:v>
                </c:pt>
                <c:pt idx="361">
                  <c:v>820</c:v>
                </c:pt>
                <c:pt idx="362">
                  <c:v>820</c:v>
                </c:pt>
                <c:pt idx="363">
                  <c:v>820</c:v>
                </c:pt>
                <c:pt idx="364">
                  <c:v>820</c:v>
                </c:pt>
              </c:numCache>
            </c:numRef>
          </c:val>
          <c:smooth val="0"/>
          <c:extLst>
            <c:ext xmlns:c16="http://schemas.microsoft.com/office/drawing/2014/chart" uri="{C3380CC4-5D6E-409C-BE32-E72D297353CC}">
              <c16:uniqueId val="{00000005-8F4B-44B0-A045-1AD0C7423376}"/>
            </c:ext>
          </c:extLst>
        </c:ser>
        <c:dLbls>
          <c:showLegendKey val="0"/>
          <c:showVal val="0"/>
          <c:showCatName val="0"/>
          <c:showSerName val="0"/>
          <c:showPercent val="0"/>
          <c:showBubbleSize val="0"/>
        </c:dLbls>
        <c:marker val="1"/>
        <c:smooth val="0"/>
        <c:axId val="2086375584"/>
        <c:axId val="1"/>
      </c:lineChart>
      <c:dateAx>
        <c:axId val="2086375584"/>
        <c:scaling>
          <c:orientation val="minMax"/>
        </c:scaling>
        <c:delete val="0"/>
        <c:axPos val="b"/>
        <c:numFmt formatCode="d/mm/yyyy" sourceLinked="0"/>
        <c:majorTickMark val="out"/>
        <c:minorTickMark val="none"/>
        <c:tickLblPos val="nextTo"/>
        <c:spPr>
          <a:noFill/>
          <a:ln w="9525" cap="flat" cmpd="sng" algn="ctr">
            <a:solidFill>
              <a:schemeClr val="tx1">
                <a:lumMod val="15000"/>
                <a:lumOff val="85000"/>
              </a:schemeClr>
            </a:solidFill>
            <a:round/>
          </a:ln>
          <a:effectLst/>
        </c:spPr>
        <c:txPr>
          <a:bodyPr rot="-5400000" vert="horz"/>
          <a:lstStyle/>
          <a:p>
            <a:pPr>
              <a:defRPr sz="900" b="0" i="0" u="none" strike="noStrike" baseline="0">
                <a:solidFill>
                  <a:srgbClr val="333333"/>
                </a:solidFill>
                <a:latin typeface="Arial"/>
                <a:ea typeface="Arial"/>
                <a:cs typeface="Arial"/>
              </a:defRPr>
            </a:pPr>
            <a:endParaRPr lang="en-US"/>
          </a:p>
        </c:txPr>
        <c:crossAx val="1"/>
        <c:crosses val="autoZero"/>
        <c:auto val="1"/>
        <c:lblOffset val="100"/>
        <c:baseTimeUnit val="days"/>
        <c:majorUnit val="3"/>
        <c:minorUnit val="1"/>
      </c:dateAx>
      <c:valAx>
        <c:axId val="1"/>
        <c:scaling>
          <c:orientation val="minMax"/>
        </c:scaling>
        <c:delete val="0"/>
        <c:axPos val="l"/>
        <c:majorGridlines>
          <c:spPr>
            <a:ln w="9525" cap="flat" cmpd="sng" algn="ct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round/>
            </a:ln>
            <a:effectLst/>
          </c:spPr>
        </c:majorGridlines>
        <c:numFmt formatCode="_(* #,##0_);_(* \(#,##0\);_(* &quot;-&quot;_);_(@_)" sourceLinked="1"/>
        <c:majorTickMark val="none"/>
        <c:minorTickMark val="none"/>
        <c:tickLblPos val="nextTo"/>
        <c:spPr>
          <a:ln w="9525">
            <a:noFill/>
          </a:ln>
        </c:spPr>
        <c:txPr>
          <a:bodyPr rot="0" vert="horz"/>
          <a:lstStyle/>
          <a:p>
            <a:pPr>
              <a:defRPr sz="1200" b="0" i="0" u="none" strike="noStrike" baseline="0">
                <a:solidFill>
                  <a:srgbClr val="333333"/>
                </a:solidFill>
                <a:latin typeface="Calibri"/>
                <a:ea typeface="Calibri"/>
                <a:cs typeface="Calibri"/>
              </a:defRPr>
            </a:pPr>
            <a:endParaRPr lang="en-US"/>
          </a:p>
        </c:txPr>
        <c:crossAx val="2086375584"/>
        <c:crosses val="autoZero"/>
        <c:crossBetween val="between"/>
      </c:valAx>
      <c:spPr>
        <a:noFill/>
        <a:ln w="25400">
          <a:noFill/>
        </a:ln>
      </c:spPr>
    </c:plotArea>
    <c:legend>
      <c:legendPos val="b"/>
      <c:overlay val="0"/>
      <c:spPr>
        <a:noFill/>
        <a:ln w="25400">
          <a:noFill/>
        </a:ln>
      </c:spPr>
      <c:txPr>
        <a:bodyPr/>
        <a:lstStyle/>
        <a:p>
          <a:pPr>
            <a:defRPr sz="550"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2000" b="0" i="0" u="none" strike="noStrike" baseline="0">
                <a:solidFill>
                  <a:srgbClr val="333333"/>
                </a:solidFill>
                <a:latin typeface="Arial"/>
                <a:ea typeface="Arial"/>
                <a:cs typeface="Arial"/>
              </a:defRPr>
            </a:pPr>
            <a:r>
              <a:rPr lang="en-AU"/>
              <a:t>Pricing benchmarks</a:t>
            </a:r>
          </a:p>
        </c:rich>
      </c:tx>
      <c:overlay val="0"/>
      <c:spPr>
        <a:noFill/>
        <a:ln w="25400">
          <a:noFill/>
        </a:ln>
      </c:spPr>
    </c:title>
    <c:autoTitleDeleted val="0"/>
    <c:plotArea>
      <c:layout/>
      <c:barChart>
        <c:barDir val="col"/>
        <c:grouping val="stacked"/>
        <c:varyColors val="0"/>
        <c:ser>
          <c:idx val="0"/>
          <c:order val="0"/>
          <c:tx>
            <c:strRef>
              <c:f>'6. Pricing template'!$D$36</c:f>
              <c:strCache>
                <c:ptCount val="1"/>
                <c:pt idx="0">
                  <c:v>Fixed operating costs per unit</c:v>
                </c:pt>
              </c:strCache>
            </c:strRef>
          </c:tx>
          <c:spPr>
            <a:solidFill>
              <a:srgbClr val="2B7AAF"/>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FFFFFF"/>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template'!$D$37:$D$56</c:f>
              <c:numCache>
                <c:formatCode>_(* #,##0.0000_);_(* \(#,##0.0000\);_(* "-"_);_(@_)</c:formatCode>
                <c:ptCount val="20"/>
                <c:pt idx="0">
                  <c:v>4.2758943568901716E-3</c:v>
                </c:pt>
                <c:pt idx="1">
                  <c:v>9.2246618189243627E-3</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7C39-43C9-B875-EFA0705DDD49}"/>
            </c:ext>
          </c:extLst>
        </c:ser>
        <c:ser>
          <c:idx val="1"/>
          <c:order val="1"/>
          <c:tx>
            <c:strRef>
              <c:f>'6. Pricing template'!$E$36</c:f>
              <c:strCache>
                <c:ptCount val="1"/>
                <c:pt idx="0">
                  <c:v>Return of capital per unit</c:v>
                </c:pt>
              </c:strCache>
            </c:strRef>
          </c:tx>
          <c:spPr>
            <a:solidFill>
              <a:schemeClr val="accent6">
                <a:lumMod val="60000"/>
                <a:lumOff val="40000"/>
              </a:schemeClr>
            </a:solidFill>
            <a:ln>
              <a:noFill/>
            </a:ln>
            <a:effectLst/>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template'!$E$37:$E$56</c:f>
              <c:numCache>
                <c:formatCode>_(* #,##0.0000_);_(* \(#,##0.0000\);_(* "-"_);_(@_)</c:formatCode>
                <c:ptCount val="20"/>
                <c:pt idx="0">
                  <c:v>1.1303725203832138E-2</c:v>
                </c:pt>
                <c:pt idx="1">
                  <c:v>1.263778756978047E-2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1-7C39-43C9-B875-EFA0705DDD49}"/>
            </c:ext>
          </c:extLst>
        </c:ser>
        <c:ser>
          <c:idx val="2"/>
          <c:order val="2"/>
          <c:tx>
            <c:strRef>
              <c:f>'6. Pricing template'!$F$36</c:f>
              <c:strCache>
                <c:ptCount val="1"/>
                <c:pt idx="0">
                  <c:v>Return on capital &amp; Tax per unit</c:v>
                </c:pt>
              </c:strCache>
            </c:strRef>
          </c:tx>
          <c:spPr>
            <a:solidFill>
              <a:srgbClr val="FFECC9"/>
            </a:solidFill>
            <a:ln w="25400">
              <a:noFill/>
            </a:ln>
          </c:spPr>
          <c:invertIfNegative val="0"/>
          <c:dLbls>
            <c:numFmt formatCode="_-\$* #,##0.0000_-;\-\$* #,##0.0000_-;_-\$* &quot;-&quot;????_-;_-@_-" sourceLinked="0"/>
            <c:spPr>
              <a:noFill/>
              <a:ln w="25400">
                <a:noFill/>
              </a:ln>
            </c:spPr>
            <c:txPr>
              <a:bodyPr wrap="square" lIns="38100" tIns="19050" rIns="38100" bIns="19050" anchor="ctr">
                <a:spAutoFit/>
              </a:bodyPr>
              <a:lstStyle/>
              <a:p>
                <a:pPr>
                  <a:defRPr sz="1200" b="0" i="0" u="none" strike="noStrike" baseline="0">
                    <a:solidFill>
                      <a:srgbClr val="333333"/>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template'!$B$37:$C$56</c:f>
              <c:multiLvlStrCache>
                <c:ptCount val="20"/>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pt idx="18">
                    <c:v>Low</c:v>
                  </c:pt>
                  <c:pt idx="19">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pt idx="18">
                    <c:v>Other</c:v>
                  </c:pt>
                </c:lvl>
              </c:multiLvlStrCache>
            </c:multiLvlStrRef>
          </c:cat>
          <c:val>
            <c:numRef>
              <c:f>'6. Pricing template'!$F$37:$F$56</c:f>
              <c:numCache>
                <c:formatCode>_(* #,##0.0000_);_(* \(#,##0.0000\);_(* "-"_);_(@_)</c:formatCode>
                <c:ptCount val="20"/>
                <c:pt idx="0">
                  <c:v>2.0746584641639608E-2</c:v>
                </c:pt>
                <c:pt idx="1">
                  <c:v>2.2627082729850558E-2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2-7C39-43C9-B875-EFA0705DDD49}"/>
            </c:ext>
          </c:extLst>
        </c:ser>
        <c:dLbls>
          <c:showLegendKey val="0"/>
          <c:showVal val="0"/>
          <c:showCatName val="0"/>
          <c:showSerName val="0"/>
          <c:showPercent val="0"/>
          <c:showBubbleSize val="0"/>
        </c:dLbls>
        <c:gapWidth val="34"/>
        <c:overlap val="100"/>
        <c:axId val="2086384224"/>
        <c:axId val="1"/>
      </c:barChart>
      <c:lineChart>
        <c:grouping val="standard"/>
        <c:varyColors val="0"/>
        <c:ser>
          <c:idx val="3"/>
          <c:order val="3"/>
          <c:tx>
            <c:strRef>
              <c:f>'6. Pricing template'!$G$36</c:f>
              <c:strCache>
                <c:ptCount val="1"/>
                <c:pt idx="0">
                  <c:v>Total cost per unit</c:v>
                </c:pt>
              </c:strCache>
            </c:strRef>
          </c:tx>
          <c:spPr>
            <a:ln w="28575">
              <a:noFill/>
            </a:ln>
          </c:spPr>
          <c:marker>
            <c:symbol val="none"/>
          </c:marker>
          <c:dLbls>
            <c:numFmt formatCode="_-\$* #,##0.0000_-;\-\$* #,##0.0000_-;_-\$* &quot;-&quot;????_-;_-@_-" sourceLinked="0"/>
            <c:spPr>
              <a:noFill/>
              <a:ln w="25400">
                <a:noFill/>
              </a:ln>
            </c:spPr>
            <c:txPr>
              <a:bodyPr wrap="square" lIns="38100" tIns="19050" rIns="38100" bIns="19050" anchor="ctr">
                <a:spAutoFit/>
              </a:bodyPr>
              <a:lstStyle/>
              <a:p>
                <a:pPr>
                  <a:defRPr sz="1200" b="1" i="0" u="none" strike="noStrike" baseline="0">
                    <a:solidFill>
                      <a:srgbClr val="333333"/>
                    </a:solidFill>
                    <a:latin typeface="Calibri"/>
                    <a:ea typeface="Calibri"/>
                    <a:cs typeface="Calibri"/>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multiLvlStrRef>
              <c:f>'6. Pricing template'!$B$37:$C$54</c:f>
              <c:multiLvlStrCache>
                <c:ptCount val="18"/>
                <c:lvl>
                  <c:pt idx="0">
                    <c:v>Low</c:v>
                  </c:pt>
                  <c:pt idx="1">
                    <c:v>High</c:v>
                  </c:pt>
                  <c:pt idx="2">
                    <c:v>Low</c:v>
                  </c:pt>
                  <c:pt idx="3">
                    <c:v>High</c:v>
                  </c:pt>
                  <c:pt idx="4">
                    <c:v>Low</c:v>
                  </c:pt>
                  <c:pt idx="5">
                    <c:v>High</c:v>
                  </c:pt>
                  <c:pt idx="6">
                    <c:v>Low</c:v>
                  </c:pt>
                  <c:pt idx="7">
                    <c:v>High</c:v>
                  </c:pt>
                  <c:pt idx="8">
                    <c:v>Low</c:v>
                  </c:pt>
                  <c:pt idx="9">
                    <c:v>High</c:v>
                  </c:pt>
                  <c:pt idx="10">
                    <c:v>Low</c:v>
                  </c:pt>
                  <c:pt idx="11">
                    <c:v>High</c:v>
                  </c:pt>
                  <c:pt idx="12">
                    <c:v>Low</c:v>
                  </c:pt>
                  <c:pt idx="13">
                    <c:v>High</c:v>
                  </c:pt>
                  <c:pt idx="14">
                    <c:v>Low</c:v>
                  </c:pt>
                  <c:pt idx="15">
                    <c:v>High</c:v>
                  </c:pt>
                  <c:pt idx="16">
                    <c:v>Low</c:v>
                  </c:pt>
                  <c:pt idx="17">
                    <c:v>High</c:v>
                  </c:pt>
                </c:lvl>
                <c:lvl>
                  <c:pt idx="0">
                    <c:v>Firm forward haul transportation service</c:v>
                  </c:pt>
                  <c:pt idx="2">
                    <c:v>Backhaul service</c:v>
                  </c:pt>
                  <c:pt idx="4">
                    <c:v>Interruptible or as available transportation service</c:v>
                  </c:pt>
                  <c:pt idx="6">
                    <c:v>Firm stand-alone compression service</c:v>
                  </c:pt>
                  <c:pt idx="8">
                    <c:v>Interruptible or as available stand-alone compression service</c:v>
                  </c:pt>
                  <c:pt idx="10">
                    <c:v>Park service</c:v>
                  </c:pt>
                  <c:pt idx="12">
                    <c:v>Park and loan services</c:v>
                  </c:pt>
                  <c:pt idx="14">
                    <c:v>Capacity trading service</c:v>
                  </c:pt>
                  <c:pt idx="16">
                    <c:v>In pipe trading service</c:v>
                  </c:pt>
                </c:lvl>
              </c:multiLvlStrCache>
            </c:multiLvlStrRef>
          </c:cat>
          <c:val>
            <c:numRef>
              <c:f>'6. Pricing template'!$G$37:$G$56</c:f>
              <c:numCache>
                <c:formatCode>_(* #,##0.0000_);_(* \(#,##0.0000\);_(* "-"_);_(@_)</c:formatCode>
                <c:ptCount val="20"/>
                <c:pt idx="0">
                  <c:v>3.632620420236192E-2</c:v>
                </c:pt>
                <c:pt idx="1">
                  <c:v>4.4489532118555386E-2</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smooth val="0"/>
          <c:extLst>
            <c:ext xmlns:c16="http://schemas.microsoft.com/office/drawing/2014/chart" uri="{C3380CC4-5D6E-409C-BE32-E72D297353CC}">
              <c16:uniqueId val="{00000003-7C39-43C9-B875-EFA0705DDD49}"/>
            </c:ext>
          </c:extLst>
        </c:ser>
        <c:dLbls>
          <c:showLegendKey val="0"/>
          <c:showVal val="0"/>
          <c:showCatName val="0"/>
          <c:showSerName val="0"/>
          <c:showPercent val="0"/>
          <c:showBubbleSize val="0"/>
        </c:dLbls>
        <c:marker val="1"/>
        <c:smooth val="0"/>
        <c:axId val="2086384224"/>
        <c:axId val="1"/>
      </c:lineChart>
      <c:catAx>
        <c:axId val="20863842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vert="horz"/>
          <a:lstStyle/>
          <a:p>
            <a:pPr>
              <a:defRPr sz="1000" b="0" i="0" u="none" strike="noStrike" baseline="0">
                <a:solidFill>
                  <a:srgbClr val="333333"/>
                </a:solidFill>
                <a:latin typeface="Arial"/>
                <a:ea typeface="Arial"/>
                <a:cs typeface="Arial"/>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title>
          <c:tx>
            <c:rich>
              <a:bodyPr/>
              <a:lstStyle/>
              <a:p>
                <a:pPr>
                  <a:defRPr sz="1100" b="1" i="0" u="none" strike="noStrike" baseline="0">
                    <a:solidFill>
                      <a:srgbClr val="000000"/>
                    </a:solidFill>
                    <a:latin typeface="Calibri"/>
                    <a:ea typeface="Calibri"/>
                    <a:cs typeface="Calibri"/>
                  </a:defRPr>
                </a:pPr>
                <a:r>
                  <a:rPr lang="en-AU"/>
                  <a:t>Benchmark Prices ($)</a:t>
                </a:r>
              </a:p>
            </c:rich>
          </c:tx>
          <c:overlay val="0"/>
        </c:title>
        <c:numFmt formatCode="_(* #,##0.0000_);_(* \(#,##0.0000\);_(* &quot;-&quot;_);_(@_)" sourceLinked="1"/>
        <c:majorTickMark val="none"/>
        <c:minorTickMark val="none"/>
        <c:tickLblPos val="nextTo"/>
        <c:spPr>
          <a:ln w="9525">
            <a:noFill/>
          </a:ln>
        </c:spPr>
        <c:txPr>
          <a:bodyPr rot="0" vert="horz"/>
          <a:lstStyle/>
          <a:p>
            <a:pPr>
              <a:defRPr sz="1000" b="0" i="0" u="none" strike="noStrike" baseline="0">
                <a:solidFill>
                  <a:srgbClr val="333333"/>
                </a:solidFill>
                <a:latin typeface="Arial"/>
                <a:ea typeface="Arial"/>
                <a:cs typeface="Arial"/>
              </a:defRPr>
            </a:pPr>
            <a:endParaRPr lang="en-US"/>
          </a:p>
        </c:txPr>
        <c:crossAx val="2086384224"/>
        <c:crosses val="autoZero"/>
        <c:crossBetween val="between"/>
      </c:valAx>
      <c:spPr>
        <a:noFill/>
        <a:ln w="25400">
          <a:noFill/>
        </a:ln>
      </c:spPr>
    </c:plotArea>
    <c:legend>
      <c:legendPos val="b"/>
      <c:legendEntry>
        <c:idx val="3"/>
        <c:delete val="1"/>
      </c:legendEntry>
      <c:layout>
        <c:manualLayout>
          <c:xMode val="edge"/>
          <c:yMode val="edge"/>
          <c:x val="4.0041090959726132E-3"/>
          <c:y val="0.94491786329204785"/>
          <c:w val="0.27127962608277567"/>
          <c:h val="1.837119383408603E-2"/>
        </c:manualLayout>
      </c:layout>
      <c:overlay val="0"/>
      <c:spPr>
        <a:noFill/>
        <a:ln w="25400">
          <a:noFill/>
        </a:ln>
      </c:spPr>
      <c:txPr>
        <a:bodyPr/>
        <a:lstStyle/>
        <a:p>
          <a:pPr>
            <a:defRPr sz="505" b="0" i="0" u="none" strike="noStrike" baseline="0">
              <a:solidFill>
                <a:srgbClr val="333333"/>
              </a:solidFill>
              <a:latin typeface="Arial"/>
              <a:ea typeface="Arial"/>
              <a:cs typeface="Arial"/>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3.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Contents!A1"/></Relationships>
</file>

<file path=xl/drawings/_rels/drawing4.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ntents!A1"/><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9.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5.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3.png"/><Relationship Id="rId1" Type="http://schemas.openxmlformats.org/officeDocument/2006/relationships/hyperlink" Target="#Contents!A1"/></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18.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0.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2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Contents!A1"/></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373856</xdr:colOff>
      <xdr:row>0</xdr:row>
      <xdr:rowOff>651458</xdr:rowOff>
    </xdr:to>
    <xdr:pic>
      <xdr:nvPicPr>
        <xdr:cNvPr id="2" name="Picture 2">
          <a:extLst>
            <a:ext uri="{FF2B5EF4-FFF2-40B4-BE49-F238E27FC236}">
              <a16:creationId xmlns:a16="http://schemas.microsoft.com/office/drawing/2014/main" id="{EC3B7B8F-C74E-FEAE-D4B7-03475B5EEE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3107531" cy="6514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3175</xdr:rowOff>
    </xdr:to>
    <xdr:pic>
      <xdr:nvPicPr>
        <xdr:cNvPr id="4105329" name="Picture 1">
          <a:hlinkClick xmlns:r="http://schemas.openxmlformats.org/officeDocument/2006/relationships" r:id="rId1"/>
          <a:extLst>
            <a:ext uri="{FF2B5EF4-FFF2-40B4-BE49-F238E27FC236}">
              <a16:creationId xmlns:a16="http://schemas.microsoft.com/office/drawing/2014/main" id="{EE02E450-04BB-6D6F-3435-FBE21D8FE17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64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7</xdr:row>
      <xdr:rowOff>0</xdr:rowOff>
    </xdr:from>
    <xdr:to>
      <xdr:col>6</xdr:col>
      <xdr:colOff>4121150</xdr:colOff>
      <xdr:row>56</xdr:row>
      <xdr:rowOff>1949450</xdr:rowOff>
    </xdr:to>
    <xdr:graphicFrame macro="">
      <xdr:nvGraphicFramePr>
        <xdr:cNvPr id="4106692" name="Chart 7">
          <a:extLst>
            <a:ext uri="{FF2B5EF4-FFF2-40B4-BE49-F238E27FC236}">
              <a16:creationId xmlns:a16="http://schemas.microsoft.com/office/drawing/2014/main" id="{3A96443C-CF44-BDC8-D1E7-42AB2A06B8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4260850</xdr:colOff>
      <xdr:row>7</xdr:row>
      <xdr:rowOff>6350</xdr:rowOff>
    </xdr:from>
    <xdr:to>
      <xdr:col>9</xdr:col>
      <xdr:colOff>77203300</xdr:colOff>
      <xdr:row>56</xdr:row>
      <xdr:rowOff>1949450</xdr:rowOff>
    </xdr:to>
    <xdr:graphicFrame macro="">
      <xdr:nvGraphicFramePr>
        <xdr:cNvPr id="4106693" name="Chart 8">
          <a:extLst>
            <a:ext uri="{FF2B5EF4-FFF2-40B4-BE49-F238E27FC236}">
              <a16:creationId xmlns:a16="http://schemas.microsoft.com/office/drawing/2014/main" id="{A872DF65-2544-154B-AA08-223FB4C134D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234950</xdr:colOff>
      <xdr:row>59</xdr:row>
      <xdr:rowOff>781050</xdr:rowOff>
    </xdr:from>
    <xdr:to>
      <xdr:col>9</xdr:col>
      <xdr:colOff>5943600</xdr:colOff>
      <xdr:row>108</xdr:row>
      <xdr:rowOff>6350</xdr:rowOff>
    </xdr:to>
    <xdr:graphicFrame macro="">
      <xdr:nvGraphicFramePr>
        <xdr:cNvPr id="4106694" name="Chart 11">
          <a:extLst>
            <a:ext uri="{FF2B5EF4-FFF2-40B4-BE49-F238E27FC236}">
              <a16:creationId xmlns:a16="http://schemas.microsoft.com/office/drawing/2014/main" id="{4C2F214C-203D-4A35-30A1-E1AE4F4ADE6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0</xdr:col>
      <xdr:colOff>0</xdr:colOff>
      <xdr:row>0</xdr:row>
      <xdr:rowOff>0</xdr:rowOff>
    </xdr:from>
    <xdr:to>
      <xdr:col>0</xdr:col>
      <xdr:colOff>825500</xdr:colOff>
      <xdr:row>3</xdr:row>
      <xdr:rowOff>254000</xdr:rowOff>
    </xdr:to>
    <xdr:pic>
      <xdr:nvPicPr>
        <xdr:cNvPr id="4106695" name="Picture 1">
          <a:hlinkClick xmlns:r="http://schemas.openxmlformats.org/officeDocument/2006/relationships" r:id="rId4"/>
          <a:extLst>
            <a:ext uri="{FF2B5EF4-FFF2-40B4-BE49-F238E27FC236}">
              <a16:creationId xmlns:a16="http://schemas.microsoft.com/office/drawing/2014/main" id="{D78FC491-D407-86D8-A723-10D70248749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0" y="0"/>
          <a:ext cx="86995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21</xdr:row>
      <xdr:rowOff>0</xdr:rowOff>
    </xdr:from>
    <xdr:to>
      <xdr:col>6</xdr:col>
      <xdr:colOff>11639550</xdr:colOff>
      <xdr:row>91</xdr:row>
      <xdr:rowOff>1949450</xdr:rowOff>
    </xdr:to>
    <xdr:graphicFrame macro="">
      <xdr:nvGraphicFramePr>
        <xdr:cNvPr id="4110562" name="Chart 1">
          <a:extLst>
            <a:ext uri="{FF2B5EF4-FFF2-40B4-BE49-F238E27FC236}">
              <a16:creationId xmlns:a16="http://schemas.microsoft.com/office/drawing/2014/main" id="{64BB5687-571B-31CC-F0B8-DCAC83CCB8C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0</xdr:colOff>
      <xdr:row>0</xdr:row>
      <xdr:rowOff>0</xdr:rowOff>
    </xdr:from>
    <xdr:to>
      <xdr:col>1</xdr:col>
      <xdr:colOff>0</xdr:colOff>
      <xdr:row>4</xdr:row>
      <xdr:rowOff>3175</xdr:rowOff>
    </xdr:to>
    <xdr:pic>
      <xdr:nvPicPr>
        <xdr:cNvPr id="4110563" name="Picture 1">
          <a:hlinkClick xmlns:r="http://schemas.openxmlformats.org/officeDocument/2006/relationships" r:id="rId2"/>
          <a:extLst>
            <a:ext uri="{FF2B5EF4-FFF2-40B4-BE49-F238E27FC236}">
              <a16:creationId xmlns:a16="http://schemas.microsoft.com/office/drawing/2014/main" id="{D775C015-2000-A06A-125B-B384E80E5DC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064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113179" name="Group 1">
          <a:extLst>
            <a:ext uri="{FF2B5EF4-FFF2-40B4-BE49-F238E27FC236}">
              <a16:creationId xmlns:a16="http://schemas.microsoft.com/office/drawing/2014/main" id="{87E23A4C-3723-BA7F-9A22-5C93D674FE1A}"/>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049B2E05-6356-2D28-4B02-BA424E41330D}"/>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13185" name="Picture 3">
            <a:extLst>
              <a:ext uri="{FF2B5EF4-FFF2-40B4-BE49-F238E27FC236}">
                <a16:creationId xmlns:a16="http://schemas.microsoft.com/office/drawing/2014/main" id="{10C78350-0E30-C2A7-5FDA-F357136701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113180" name="Group 7">
          <a:extLst>
            <a:ext uri="{FF2B5EF4-FFF2-40B4-BE49-F238E27FC236}">
              <a16:creationId xmlns:a16="http://schemas.microsoft.com/office/drawing/2014/main" id="{B8672E18-5C97-2629-697D-A39EAF4BF938}"/>
            </a:ext>
          </a:extLst>
        </xdr:cNvPr>
        <xdr:cNvGrpSpPr>
          <a:grpSpLocks/>
        </xdr:cNvGrpSpPr>
      </xdr:nvGrpSpPr>
      <xdr:grpSpPr bwMode="auto">
        <a:xfrm>
          <a:off x="0" y="0"/>
          <a:ext cx="800100" cy="0"/>
          <a:chOff x="0" y="2"/>
          <a:chExt cx="77" cy="61"/>
        </a:xfrm>
      </xdr:grpSpPr>
      <xdr:sp macro="" textlink="">
        <xdr:nvSpPr>
          <xdr:cNvPr id="9" name="AutoShape 45">
            <a:hlinkClick xmlns:r="http://schemas.openxmlformats.org/officeDocument/2006/relationships" r:id="rId1"/>
            <a:extLst>
              <a:ext uri="{FF2B5EF4-FFF2-40B4-BE49-F238E27FC236}">
                <a16:creationId xmlns:a16="http://schemas.microsoft.com/office/drawing/2014/main" id="{6C4E4D43-79C0-26EA-7405-0F16ECB3E96C}"/>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13183" name="Picture 9">
            <a:extLst>
              <a:ext uri="{FF2B5EF4-FFF2-40B4-BE49-F238E27FC236}">
                <a16:creationId xmlns:a16="http://schemas.microsoft.com/office/drawing/2014/main" id="{F87013C9-A906-6CE5-6D7A-7EF78700B2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133350</xdr:colOff>
      <xdr:row>4</xdr:row>
      <xdr:rowOff>0</xdr:rowOff>
    </xdr:to>
    <xdr:pic>
      <xdr:nvPicPr>
        <xdr:cNvPr id="4113181" name="Picture 1">
          <a:hlinkClick xmlns:r="http://schemas.openxmlformats.org/officeDocument/2006/relationships" r:id="rId1"/>
          <a:extLst>
            <a:ext uri="{FF2B5EF4-FFF2-40B4-BE49-F238E27FC236}">
              <a16:creationId xmlns:a16="http://schemas.microsoft.com/office/drawing/2014/main" id="{15E1E4E9-62BB-317B-7850-96BC46F453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971550" cy="1054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4</xdr:row>
      <xdr:rowOff>6350</xdr:rowOff>
    </xdr:to>
    <xdr:pic>
      <xdr:nvPicPr>
        <xdr:cNvPr id="4113521" name="Picture 1">
          <a:hlinkClick xmlns:r="http://schemas.openxmlformats.org/officeDocument/2006/relationships" r:id="rId1"/>
          <a:extLst>
            <a:ext uri="{FF2B5EF4-FFF2-40B4-BE49-F238E27FC236}">
              <a16:creationId xmlns:a16="http://schemas.microsoft.com/office/drawing/2014/main" id="{EA698FD9-5FBC-41EC-994C-50ADA9F451B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996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4</xdr:row>
      <xdr:rowOff>6350</xdr:rowOff>
    </xdr:to>
    <xdr:pic>
      <xdr:nvPicPr>
        <xdr:cNvPr id="4114545" name="Picture 1">
          <a:hlinkClick xmlns:r="http://schemas.openxmlformats.org/officeDocument/2006/relationships" r:id="rId1"/>
          <a:extLst>
            <a:ext uri="{FF2B5EF4-FFF2-40B4-BE49-F238E27FC236}">
              <a16:creationId xmlns:a16="http://schemas.microsoft.com/office/drawing/2014/main" id="{E6D67803-6828-9D9A-4E86-C886C08362E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91440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6350</xdr:rowOff>
    </xdr:to>
    <xdr:pic>
      <xdr:nvPicPr>
        <xdr:cNvPr id="1738425" name="Picture 3">
          <a:hlinkClick xmlns:r="http://schemas.openxmlformats.org/officeDocument/2006/relationships" r:id="rId1"/>
          <a:extLst>
            <a:ext uri="{FF2B5EF4-FFF2-40B4-BE49-F238E27FC236}">
              <a16:creationId xmlns:a16="http://schemas.microsoft.com/office/drawing/2014/main" id="{5D96D215-1DB5-5440-DE1A-74E01E63EF2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115908" name="Group 1">
          <a:extLst>
            <a:ext uri="{FF2B5EF4-FFF2-40B4-BE49-F238E27FC236}">
              <a16:creationId xmlns:a16="http://schemas.microsoft.com/office/drawing/2014/main" id="{E279660B-5800-0475-33D5-223F845084C4}"/>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A279E76C-950B-F808-6941-784864D02410}"/>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15911" name="Picture 3">
            <a:extLst>
              <a:ext uri="{FF2B5EF4-FFF2-40B4-BE49-F238E27FC236}">
                <a16:creationId xmlns:a16="http://schemas.microsoft.com/office/drawing/2014/main" id="{62C3393C-9281-C663-1DA6-BBB8E8C73D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0</xdr:colOff>
      <xdr:row>4</xdr:row>
      <xdr:rowOff>3175</xdr:rowOff>
    </xdr:to>
    <xdr:pic>
      <xdr:nvPicPr>
        <xdr:cNvPr id="4115909" name="Picture 1">
          <a:hlinkClick xmlns:r="http://schemas.openxmlformats.org/officeDocument/2006/relationships" r:id="rId1"/>
          <a:extLst>
            <a:ext uri="{FF2B5EF4-FFF2-40B4-BE49-F238E27FC236}">
              <a16:creationId xmlns:a16="http://schemas.microsoft.com/office/drawing/2014/main" id="{2A3711E1-0C4F-F091-2D27-511D14B6281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382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6350</xdr:rowOff>
    </xdr:to>
    <xdr:pic>
      <xdr:nvPicPr>
        <xdr:cNvPr id="4116593" name="Picture 1">
          <a:hlinkClick xmlns:r="http://schemas.openxmlformats.org/officeDocument/2006/relationships" r:id="rId1"/>
          <a:extLst>
            <a:ext uri="{FF2B5EF4-FFF2-40B4-BE49-F238E27FC236}">
              <a16:creationId xmlns:a16="http://schemas.microsoft.com/office/drawing/2014/main" id="{978421B2-865E-AC45-58FA-2CABDC609D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0</xdr:rowOff>
    </xdr:to>
    <xdr:pic>
      <xdr:nvPicPr>
        <xdr:cNvPr id="4117617" name="Picture 1">
          <a:hlinkClick xmlns:r="http://schemas.openxmlformats.org/officeDocument/2006/relationships" r:id="rId1"/>
          <a:extLst>
            <a:ext uri="{FF2B5EF4-FFF2-40B4-BE49-F238E27FC236}">
              <a16:creationId xmlns:a16="http://schemas.microsoft.com/office/drawing/2014/main" id="{CBAB2FC7-569E-0D75-5D70-3DDBF373D8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010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44450</xdr:colOff>
      <xdr:row>4</xdr:row>
      <xdr:rowOff>0</xdr:rowOff>
    </xdr:to>
    <xdr:pic>
      <xdr:nvPicPr>
        <xdr:cNvPr id="1742523" name="Picture 1">
          <a:hlinkClick xmlns:r="http://schemas.openxmlformats.org/officeDocument/2006/relationships" r:id="rId1"/>
          <a:extLst>
            <a:ext uri="{FF2B5EF4-FFF2-40B4-BE49-F238E27FC236}">
              <a16:creationId xmlns:a16="http://schemas.microsoft.com/office/drawing/2014/main" id="{BC8AA29D-DFA6-D9FB-9572-08465764EB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8900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3175</xdr:colOff>
      <xdr:row>4</xdr:row>
      <xdr:rowOff>12700</xdr:rowOff>
    </xdr:to>
    <xdr:pic>
      <xdr:nvPicPr>
        <xdr:cNvPr id="1360603" name="Picture 1">
          <a:hlinkClick xmlns:r="http://schemas.openxmlformats.org/officeDocument/2006/relationships" r:id="rId1"/>
          <a:extLst>
            <a:ext uri="{FF2B5EF4-FFF2-40B4-BE49-F238E27FC236}">
              <a16:creationId xmlns:a16="http://schemas.microsoft.com/office/drawing/2014/main" id="{8EACBAA1-40D0-3E77-3480-CB175C46E0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382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247650</xdr:rowOff>
    </xdr:to>
    <xdr:pic>
      <xdr:nvPicPr>
        <xdr:cNvPr id="4118641" name="Picture 1">
          <a:hlinkClick xmlns:r="http://schemas.openxmlformats.org/officeDocument/2006/relationships" r:id="rId1"/>
          <a:extLst>
            <a:ext uri="{FF2B5EF4-FFF2-40B4-BE49-F238E27FC236}">
              <a16:creationId xmlns:a16="http://schemas.microsoft.com/office/drawing/2014/main" id="{773433E0-DFF0-5990-51DE-0AD575EA26D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0</xdr:row>
      <xdr:rowOff>0</xdr:rowOff>
    </xdr:to>
    <xdr:grpSp>
      <xdr:nvGrpSpPr>
        <xdr:cNvPr id="4120343" name="Group 1">
          <a:extLst>
            <a:ext uri="{FF2B5EF4-FFF2-40B4-BE49-F238E27FC236}">
              <a16:creationId xmlns:a16="http://schemas.microsoft.com/office/drawing/2014/main" id="{3D3CEC39-0E07-6F61-5A3E-42B4CC9494C1}"/>
            </a:ext>
          </a:extLst>
        </xdr:cNvPr>
        <xdr:cNvGrpSpPr>
          <a:grpSpLocks/>
        </xdr:cNvGrpSpPr>
      </xdr:nvGrpSpPr>
      <xdr:grpSpPr bwMode="auto">
        <a:xfrm>
          <a:off x="0" y="0"/>
          <a:ext cx="800100" cy="0"/>
          <a:chOff x="0" y="2"/>
          <a:chExt cx="77" cy="61"/>
        </a:xfrm>
      </xdr:grpSpPr>
      <xdr:sp macro="" textlink="">
        <xdr:nvSpPr>
          <xdr:cNvPr id="3" name="AutoShape 45">
            <a:hlinkClick xmlns:r="http://schemas.openxmlformats.org/officeDocument/2006/relationships" r:id="rId1"/>
            <a:extLst>
              <a:ext uri="{FF2B5EF4-FFF2-40B4-BE49-F238E27FC236}">
                <a16:creationId xmlns:a16="http://schemas.microsoft.com/office/drawing/2014/main" id="{40DE398D-F432-979F-84E7-F286CD4320E2}"/>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20349" name="Picture 3">
            <a:extLst>
              <a:ext uri="{FF2B5EF4-FFF2-40B4-BE49-F238E27FC236}">
                <a16:creationId xmlns:a16="http://schemas.microsoft.com/office/drawing/2014/main" id="{E67FE088-F39C-0334-3548-DE5062D7B1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0</xdr:col>
      <xdr:colOff>0</xdr:colOff>
      <xdr:row>0</xdr:row>
      <xdr:rowOff>0</xdr:rowOff>
    </xdr:from>
    <xdr:to>
      <xdr:col>1</xdr:col>
      <xdr:colOff>0</xdr:colOff>
      <xdr:row>0</xdr:row>
      <xdr:rowOff>0</xdr:rowOff>
    </xdr:to>
    <xdr:grpSp>
      <xdr:nvGrpSpPr>
        <xdr:cNvPr id="4120344" name="Group 7">
          <a:extLst>
            <a:ext uri="{FF2B5EF4-FFF2-40B4-BE49-F238E27FC236}">
              <a16:creationId xmlns:a16="http://schemas.microsoft.com/office/drawing/2014/main" id="{E36B7A5D-690E-8317-58EC-1066115BF134}"/>
            </a:ext>
          </a:extLst>
        </xdr:cNvPr>
        <xdr:cNvGrpSpPr>
          <a:grpSpLocks/>
        </xdr:cNvGrpSpPr>
      </xdr:nvGrpSpPr>
      <xdr:grpSpPr bwMode="auto">
        <a:xfrm>
          <a:off x="0" y="0"/>
          <a:ext cx="800100" cy="0"/>
          <a:chOff x="0" y="2"/>
          <a:chExt cx="77" cy="61"/>
        </a:xfrm>
      </xdr:grpSpPr>
      <xdr:sp macro="" textlink="">
        <xdr:nvSpPr>
          <xdr:cNvPr id="6" name="AutoShape 45">
            <a:hlinkClick xmlns:r="http://schemas.openxmlformats.org/officeDocument/2006/relationships" r:id="rId1"/>
            <a:extLst>
              <a:ext uri="{FF2B5EF4-FFF2-40B4-BE49-F238E27FC236}">
                <a16:creationId xmlns:a16="http://schemas.microsoft.com/office/drawing/2014/main" id="{F1DA2FC7-D727-2C00-679D-2789470D7A5C}"/>
              </a:ext>
            </a:extLst>
          </xdr:cNvPr>
          <xdr:cNvSpPr>
            <a:spLocks noChangeArrowheads="1"/>
          </xdr:cNvSpPr>
        </xdr:nvSpPr>
        <xdr:spPr bwMode="auto">
          <a:xfrm>
            <a:off x="-9445526663900" y="0"/>
            <a:ext cx="0" cy="0"/>
          </a:xfrm>
          <a:prstGeom prst="bevel">
            <a:avLst>
              <a:gd name="adj" fmla="val 12500"/>
            </a:avLst>
          </a:prstGeom>
          <a:solidFill>
            <a:srgbClr val="C0C0C0">
              <a:alpha val="89803"/>
            </a:srgbClr>
          </a:solidFill>
          <a:ln>
            <a:noFill/>
          </a:ln>
        </xdr:spPr>
        <xdr:txBody>
          <a:bodyPr vertOverflow="clip" wrap="square" lIns="27432" tIns="18288" rIns="27432" bIns="18288" anchor="ctr"/>
          <a:lstStyle/>
          <a:p>
            <a:pPr algn="ctr" rtl="0">
              <a:defRPr sz="1000"/>
            </a:pPr>
            <a:r>
              <a:rPr lang="en-AU" sz="700" b="1" i="0" u="none" strike="noStrike" baseline="0">
                <a:solidFill>
                  <a:srgbClr val="000080"/>
                </a:solidFill>
                <a:latin typeface="Arial"/>
                <a:cs typeface="Arial"/>
              </a:rPr>
              <a:t>Contents</a:t>
            </a:r>
          </a:p>
        </xdr:txBody>
      </xdr:sp>
      <xdr:pic>
        <xdr:nvPicPr>
          <xdr:cNvPr id="4120347" name="Picture 9">
            <a:extLst>
              <a:ext uri="{FF2B5EF4-FFF2-40B4-BE49-F238E27FC236}">
                <a16:creationId xmlns:a16="http://schemas.microsoft.com/office/drawing/2014/main" id="{0C4C6212-7BE9-0914-5EC6-BF77908C129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 y="2"/>
            <a:ext cx="74" cy="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editAs="oneCell">
    <xdr:from>
      <xdr:col>0</xdr:col>
      <xdr:colOff>0</xdr:colOff>
      <xdr:row>0</xdr:row>
      <xdr:rowOff>0</xdr:rowOff>
    </xdr:from>
    <xdr:to>
      <xdr:col>1</xdr:col>
      <xdr:colOff>6350</xdr:colOff>
      <xdr:row>3</xdr:row>
      <xdr:rowOff>254000</xdr:rowOff>
    </xdr:to>
    <xdr:pic>
      <xdr:nvPicPr>
        <xdr:cNvPr id="4120345" name="Picture 1">
          <a:hlinkClick xmlns:r="http://schemas.openxmlformats.org/officeDocument/2006/relationships" r:id="rId1"/>
          <a:extLst>
            <a:ext uri="{FF2B5EF4-FFF2-40B4-BE49-F238E27FC236}">
              <a16:creationId xmlns:a16="http://schemas.microsoft.com/office/drawing/2014/main" id="{D739B0C0-7EBB-2B12-8B9A-50CC5F84FEE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44550" cy="99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285750</xdr:colOff>
      <xdr:row>3</xdr:row>
      <xdr:rowOff>247650</xdr:rowOff>
    </xdr:to>
    <xdr:pic>
      <xdr:nvPicPr>
        <xdr:cNvPr id="4120691" name="Picture 1">
          <a:hlinkClick xmlns:r="http://schemas.openxmlformats.org/officeDocument/2006/relationships" r:id="rId1"/>
          <a:extLst>
            <a:ext uri="{FF2B5EF4-FFF2-40B4-BE49-F238E27FC236}">
              <a16:creationId xmlns:a16="http://schemas.microsoft.com/office/drawing/2014/main" id="{34345CF2-1742-57C2-5A1F-C6648DBD52C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08585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9525</xdr:rowOff>
    </xdr:to>
    <xdr:pic>
      <xdr:nvPicPr>
        <xdr:cNvPr id="4121713" name="Picture 1">
          <a:hlinkClick xmlns:r="http://schemas.openxmlformats.org/officeDocument/2006/relationships" r:id="rId1"/>
          <a:extLst>
            <a:ext uri="{FF2B5EF4-FFF2-40B4-BE49-F238E27FC236}">
              <a16:creationId xmlns:a16="http://schemas.microsoft.com/office/drawing/2014/main" id="{A5B02D5A-9D45-85AD-7F33-7A1BC8CA53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22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467390</xdr:colOff>
      <xdr:row>64</xdr:row>
      <xdr:rowOff>76800</xdr:rowOff>
    </xdr:to>
    <xdr:pic>
      <xdr:nvPicPr>
        <xdr:cNvPr id="2" name="Picture 1">
          <a:extLst>
            <a:ext uri="{FF2B5EF4-FFF2-40B4-BE49-F238E27FC236}">
              <a16:creationId xmlns:a16="http://schemas.microsoft.com/office/drawing/2014/main" id="{447FE4B8-53A5-4AFF-8693-D7F4FDB6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514350</xdr:colOff>
      <xdr:row>0</xdr:row>
      <xdr:rowOff>0</xdr:rowOff>
    </xdr:from>
    <xdr:to>
      <xdr:col>23</xdr:col>
      <xdr:colOff>353090</xdr:colOff>
      <xdr:row>64</xdr:row>
      <xdr:rowOff>76800</xdr:rowOff>
    </xdr:to>
    <xdr:pic>
      <xdr:nvPicPr>
        <xdr:cNvPr id="3" name="Picture 2">
          <a:extLst>
            <a:ext uri="{FF2B5EF4-FFF2-40B4-BE49-F238E27FC236}">
              <a16:creationId xmlns:a16="http://schemas.microsoft.com/office/drawing/2014/main" id="{46783DB4-4D09-4116-97CE-7EE39B9319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295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447675</xdr:colOff>
      <xdr:row>0</xdr:row>
      <xdr:rowOff>0</xdr:rowOff>
    </xdr:from>
    <xdr:to>
      <xdr:col>35</xdr:col>
      <xdr:colOff>286415</xdr:colOff>
      <xdr:row>64</xdr:row>
      <xdr:rowOff>76800</xdr:rowOff>
    </xdr:to>
    <xdr:pic>
      <xdr:nvPicPr>
        <xdr:cNvPr id="4" name="Picture 3">
          <a:extLst>
            <a:ext uri="{FF2B5EF4-FFF2-40B4-BE49-F238E27FC236}">
              <a16:creationId xmlns:a16="http://schemas.microsoft.com/office/drawing/2014/main" id="{0C3F6677-9E7D-43D0-8758-605CCE29DFE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906625"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342900</xdr:colOff>
      <xdr:row>4</xdr:row>
      <xdr:rowOff>25400</xdr:rowOff>
    </xdr:to>
    <xdr:pic>
      <xdr:nvPicPr>
        <xdr:cNvPr id="1746588" name="Picture 1">
          <a:hlinkClick xmlns:r="http://schemas.openxmlformats.org/officeDocument/2006/relationships" r:id="rId1"/>
          <a:extLst>
            <a:ext uri="{FF2B5EF4-FFF2-40B4-BE49-F238E27FC236}">
              <a16:creationId xmlns:a16="http://schemas.microsoft.com/office/drawing/2014/main" id="{47E9A372-BDEA-1091-E7BD-97CE371CCF2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143000" cy="1035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92769</xdr:colOff>
      <xdr:row>62</xdr:row>
      <xdr:rowOff>19050</xdr:rowOff>
    </xdr:to>
    <xdr:pic>
      <xdr:nvPicPr>
        <xdr:cNvPr id="2" name="Picture 1">
          <a:extLst>
            <a:ext uri="{FF2B5EF4-FFF2-40B4-BE49-F238E27FC236}">
              <a16:creationId xmlns:a16="http://schemas.microsoft.com/office/drawing/2014/main" id="{6F2433F7-B29B-4225-AD2E-6F19734B9C9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798369" cy="10058400"/>
        </a:xfrm>
        <a:prstGeom prst="rect">
          <a:avLst/>
        </a:prstGeom>
      </xdr:spPr>
    </xdr:pic>
    <xdr:clientData/>
  </xdr:twoCellAnchor>
  <xdr:twoCellAnchor editAs="oneCell">
    <xdr:from>
      <xdr:col>12</xdr:col>
      <xdr:colOff>0</xdr:colOff>
      <xdr:row>0</xdr:row>
      <xdr:rowOff>0</xdr:rowOff>
    </xdr:from>
    <xdr:to>
      <xdr:col>23</xdr:col>
      <xdr:colOff>92769</xdr:colOff>
      <xdr:row>62</xdr:row>
      <xdr:rowOff>19050</xdr:rowOff>
    </xdr:to>
    <xdr:pic>
      <xdr:nvPicPr>
        <xdr:cNvPr id="3" name="Picture 2">
          <a:extLst>
            <a:ext uri="{FF2B5EF4-FFF2-40B4-BE49-F238E27FC236}">
              <a16:creationId xmlns:a16="http://schemas.microsoft.com/office/drawing/2014/main" id="{5F100FC8-A2A7-4F9D-8D6E-A7141AB5EE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972300" y="0"/>
          <a:ext cx="6798369" cy="100584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4</xdr:row>
      <xdr:rowOff>19050</xdr:rowOff>
    </xdr:to>
    <xdr:pic>
      <xdr:nvPicPr>
        <xdr:cNvPr id="4122737" name="Picture 1">
          <a:hlinkClick xmlns:r="http://schemas.openxmlformats.org/officeDocument/2006/relationships" r:id="rId1"/>
          <a:extLst>
            <a:ext uri="{FF2B5EF4-FFF2-40B4-BE49-F238E27FC236}">
              <a16:creationId xmlns:a16="http://schemas.microsoft.com/office/drawing/2014/main" id="{FA823ECF-F262-14A7-2B79-CA66A0967A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69950" cy="1073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467390</xdr:colOff>
      <xdr:row>64</xdr:row>
      <xdr:rowOff>76800</xdr:rowOff>
    </xdr:to>
    <xdr:pic>
      <xdr:nvPicPr>
        <xdr:cNvPr id="2" name="Picture 1">
          <a:extLst>
            <a:ext uri="{FF2B5EF4-FFF2-40B4-BE49-F238E27FC236}">
              <a16:creationId xmlns:a16="http://schemas.microsoft.com/office/drawing/2014/main" id="{DA598444-BA8D-429F-BDB1-28C37F948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0</xdr:row>
      <xdr:rowOff>0</xdr:rowOff>
    </xdr:from>
    <xdr:to>
      <xdr:col>23</xdr:col>
      <xdr:colOff>467390</xdr:colOff>
      <xdr:row>64</xdr:row>
      <xdr:rowOff>76800</xdr:rowOff>
    </xdr:to>
    <xdr:pic>
      <xdr:nvPicPr>
        <xdr:cNvPr id="3" name="Picture 2">
          <a:extLst>
            <a:ext uri="{FF2B5EF4-FFF2-40B4-BE49-F238E27FC236}">
              <a16:creationId xmlns:a16="http://schemas.microsoft.com/office/drawing/2014/main" id="{2AEC9561-B66B-414D-B14C-638D9F3585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543800" y="0"/>
          <a:ext cx="7382540" cy="10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311150</xdr:colOff>
      <xdr:row>4</xdr:row>
      <xdr:rowOff>19050</xdr:rowOff>
    </xdr:to>
    <xdr:pic>
      <xdr:nvPicPr>
        <xdr:cNvPr id="4123761" name="Picture 1">
          <a:hlinkClick xmlns:r="http://schemas.openxmlformats.org/officeDocument/2006/relationships" r:id="rId1"/>
          <a:extLst>
            <a:ext uri="{FF2B5EF4-FFF2-40B4-BE49-F238E27FC236}">
              <a16:creationId xmlns:a16="http://schemas.microsoft.com/office/drawing/2014/main" id="{EF77B3D1-4BB6-1B12-FAE6-56DDE446257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111250" cy="1098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0</xdr:colOff>
      <xdr:row>3</xdr:row>
      <xdr:rowOff>254000</xdr:rowOff>
    </xdr:to>
    <xdr:pic>
      <xdr:nvPicPr>
        <xdr:cNvPr id="1749660" name="Picture 1">
          <a:hlinkClick xmlns:r="http://schemas.openxmlformats.org/officeDocument/2006/relationships" r:id="rId1"/>
          <a:extLst>
            <a:ext uri="{FF2B5EF4-FFF2-40B4-BE49-F238E27FC236}">
              <a16:creationId xmlns:a16="http://schemas.microsoft.com/office/drawing/2014/main" id="{F88A0965-2E96-544C-39E9-37345F21A78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806450" cy="1016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7" xr:uid="{EC84400D-EA1C-475F-8994-487A908DE3E6}" name="Table141" displayName="Table141" ref="A1:G4" totalsRowShown="0" headerRowDxfId="96" tableBorderDxfId="95">
  <autoFilter ref="A1:G4" xr:uid="{06473298-5BA8-432A-8525-4CD68DDB35F0}"/>
  <tableColumns count="7">
    <tableColumn id="1" xr3:uid="{00000000-0010-0000-0100-000001000000}" name="Date"/>
    <tableColumn id="2" xr3:uid="{00000000-0010-0000-0100-000002000000}" name="AER amendment#"/>
    <tableColumn id="3" xr3:uid="{00000000-0010-0000-0100-000003000000}" name="Worksheet" dataDxfId="94"/>
    <tableColumn id="4" xr3:uid="{00000000-0010-0000-0100-000004000000}" name="Table"/>
    <tableColumn id="5" xr3:uid="{00000000-0010-0000-0100-000005000000}" name="Cell" dataDxfId="93"/>
    <tableColumn id="6" xr3:uid="{00000000-0010-0000-0100-000006000000}" name="Change"/>
    <tableColumn id="7" xr3:uid="{00000000-0010-0000-0100-000007000000}" name="Reaso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CD1E3F-6B1F-49D5-8C8E-3AB1C467925A}" name="Table1" displayName="Table1" ref="A1:G123" totalsRowShown="0" headerRowDxfId="92" dataDxfId="91">
  <autoFilter ref="A1:G123" xr:uid="{44F402AF-4D97-44D9-9718-60887835F86F}"/>
  <tableColumns count="7">
    <tableColumn id="1" xr3:uid="{00000000-0010-0000-0700-000001000000}" name="Date" dataDxfId="90"/>
    <tableColumn id="2" xr3:uid="{00000000-0010-0000-0700-000002000000}" name="AER amendment#" dataDxfId="89"/>
    <tableColumn id="3" xr3:uid="{00000000-0010-0000-0700-000003000000}" name="Worksheet" dataDxfId="88"/>
    <tableColumn id="4" xr3:uid="{00000000-0010-0000-0700-000004000000}" name="Table" dataDxfId="87"/>
    <tableColumn id="5" xr3:uid="{00000000-0010-0000-0700-000005000000}" name="Cell" dataDxfId="86"/>
    <tableColumn id="6" xr3:uid="{00000000-0010-0000-0700-000006000000}" name="Change" dataDxfId="85"/>
    <tableColumn id="7" xr3:uid="{00000000-0010-0000-0700-000007000000}" name="Reason" dataDxfId="84"/>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spDef>
    <a:lnDef>
      <a:spPr bwMode="auto">
        <a:xfrm>
          <a:off x="0" y="0"/>
          <a:ext cx="1" cy="1"/>
        </a:xfrm>
        <a:custGeom>
          <a:avLst/>
          <a:gdLst/>
          <a:ahLst/>
          <a:cxnLst/>
          <a:rect l="0" t="0" r="0" b="0"/>
          <a:pathLst/>
        </a:custGeom>
        <a:solidFill>
          <a:srgbClr val="C0C0C0">
            <a:alpha val="89803"/>
          </a:srgbClr>
        </a:solidFill>
        <a:ln>
          <a:noFill/>
        </a:ln>
        <a:effectLst/>
      </a:spPr>
      <a:bodyPr vertOverflow="clip" wrap="square" lIns="180000" tIns="46800" rIns="180000" bIns="46800"/>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3.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4.xml"/><Relationship Id="rId1" Type="http://schemas.openxmlformats.org/officeDocument/2006/relationships/printerSettings" Target="../printerSettings/printerSettings22.bin"/><Relationship Id="rId4" Type="http://schemas.openxmlformats.org/officeDocument/2006/relationships/comments" Target="../comments4.xml"/></Relationships>
</file>

<file path=xl/worksheets/_rels/sheet27.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0.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42223-9B32-4459-8051-A17FD9DF450B}">
  <sheetPr codeName="Sheet1"/>
  <dimension ref="A1:K51"/>
  <sheetViews>
    <sheetView zoomScale="80" zoomScaleNormal="80" workbookViewId="0">
      <pane ySplit="6" topLeftCell="A7" activePane="bottomLeft" state="frozen"/>
      <selection pane="bottomLeft"/>
    </sheetView>
  </sheetViews>
  <sheetFormatPr defaultColWidth="9.42578125" defaultRowHeight="12.75" x14ac:dyDescent="0.2"/>
  <cols>
    <col min="1" max="1" width="41" style="182" customWidth="1"/>
    <col min="2" max="2" width="23.5703125" style="182" customWidth="1"/>
    <col min="3" max="6" width="20.5703125" style="182" customWidth="1"/>
    <col min="7" max="8" width="11.42578125" style="182" customWidth="1"/>
    <col min="9" max="11" width="20.5703125" style="182" customWidth="1"/>
    <col min="12" max="13" width="9.42578125" style="182"/>
    <col min="14" max="14" width="27.42578125" style="182" customWidth="1"/>
    <col min="15" max="16384" width="9.42578125" style="182"/>
  </cols>
  <sheetData>
    <row r="1" spans="1:11" ht="66" customHeight="1" x14ac:dyDescent="0.2"/>
    <row r="2" spans="1:11" ht="20.25" customHeight="1" x14ac:dyDescent="0.2">
      <c r="A2" s="183" t="s">
        <v>4</v>
      </c>
      <c r="B2" s="183"/>
      <c r="C2" s="183"/>
      <c r="D2" s="183"/>
      <c r="E2" s="183"/>
      <c r="F2" s="183"/>
      <c r="G2" s="183"/>
      <c r="H2" s="183"/>
      <c r="I2" s="183"/>
      <c r="J2" s="183"/>
      <c r="K2" s="183"/>
    </row>
    <row r="3" spans="1:11" ht="20.25" x14ac:dyDescent="0.2">
      <c r="A3" s="183" t="s">
        <v>5</v>
      </c>
      <c r="B3" s="183"/>
      <c r="C3" s="183"/>
      <c r="D3" s="183"/>
      <c r="E3" s="183"/>
      <c r="F3" s="183"/>
      <c r="G3" s="183"/>
      <c r="H3" s="183"/>
      <c r="I3" s="183"/>
      <c r="J3" s="183"/>
      <c r="K3" s="183"/>
    </row>
    <row r="4" spans="1:11" x14ac:dyDescent="0.2">
      <c r="A4" s="184"/>
      <c r="B4" s="184"/>
      <c r="C4" s="184"/>
      <c r="D4" s="184"/>
      <c r="E4" s="184"/>
      <c r="F4" s="184"/>
      <c r="G4" s="184"/>
      <c r="H4" s="184"/>
      <c r="I4" s="184"/>
      <c r="J4" s="184"/>
      <c r="K4" s="184"/>
    </row>
    <row r="5" spans="1:11" s="188" customFormat="1" ht="15.75" x14ac:dyDescent="0.2">
      <c r="A5" s="185" t="s">
        <v>6</v>
      </c>
      <c r="B5" s="186"/>
      <c r="C5" s="186"/>
      <c r="D5" s="186"/>
      <c r="E5" s="186"/>
      <c r="F5" s="186"/>
      <c r="G5" s="186"/>
      <c r="H5" s="186"/>
      <c r="I5" s="186"/>
      <c r="J5" s="187"/>
      <c r="K5" s="187"/>
    </row>
    <row r="6" spans="1:11" s="188" customFormat="1" ht="15.75" x14ac:dyDescent="0.2">
      <c r="A6" s="185" t="s">
        <v>7</v>
      </c>
      <c r="B6" s="186"/>
      <c r="C6" s="186"/>
      <c r="D6" s="186"/>
      <c r="E6" s="186"/>
      <c r="F6" s="186"/>
      <c r="G6" s="186"/>
      <c r="H6" s="186"/>
      <c r="I6" s="186"/>
      <c r="J6" s="187"/>
      <c r="K6" s="187"/>
    </row>
    <row r="7" spans="1:11" ht="15.75" thickBot="1" x14ac:dyDescent="0.25">
      <c r="A7" s="189"/>
      <c r="B7" s="189"/>
      <c r="C7" s="189"/>
      <c r="D7" s="189"/>
      <c r="E7" s="189"/>
      <c r="F7" s="189"/>
      <c r="G7" s="189"/>
      <c r="H7" s="189"/>
      <c r="I7" s="189"/>
      <c r="J7" s="184"/>
      <c r="K7" s="184"/>
    </row>
    <row r="8" spans="1:11" ht="12.75" customHeight="1" x14ac:dyDescent="0.2">
      <c r="A8" s="394" t="s">
        <v>8</v>
      </c>
      <c r="B8" s="395"/>
      <c r="C8" s="395"/>
      <c r="D8" s="395"/>
      <c r="E8" s="395"/>
      <c r="F8" s="395"/>
      <c r="G8" s="395"/>
      <c r="H8" s="395"/>
      <c r="I8" s="396"/>
      <c r="J8" s="184"/>
      <c r="K8" s="184"/>
    </row>
    <row r="9" spans="1:11" ht="15.75" x14ac:dyDescent="0.2">
      <c r="A9" s="190" t="s">
        <v>9</v>
      </c>
      <c r="B9" s="191"/>
      <c r="C9" s="191"/>
      <c r="D9" s="192"/>
      <c r="E9" s="192"/>
      <c r="F9" s="192"/>
      <c r="G9" s="192"/>
      <c r="H9" s="192"/>
      <c r="I9" s="193"/>
      <c r="J9" s="184"/>
      <c r="K9" s="184"/>
    </row>
    <row r="10" spans="1:11" ht="15.75" x14ac:dyDescent="0.2">
      <c r="A10" s="400" t="s">
        <v>10</v>
      </c>
      <c r="B10" s="401"/>
      <c r="C10" s="401"/>
      <c r="D10" s="401"/>
      <c r="E10" s="401"/>
      <c r="F10" s="401"/>
      <c r="G10" s="401"/>
      <c r="H10" s="401"/>
      <c r="I10" s="402"/>
      <c r="J10" s="184"/>
      <c r="K10" s="184"/>
    </row>
    <row r="11" spans="1:11" ht="16.5" thickBot="1" x14ac:dyDescent="0.25">
      <c r="A11" s="397" t="s">
        <v>11</v>
      </c>
      <c r="B11" s="398"/>
      <c r="C11" s="398"/>
      <c r="D11" s="398"/>
      <c r="E11" s="398"/>
      <c r="F11" s="398"/>
      <c r="G11" s="398"/>
      <c r="H11" s="398"/>
      <c r="I11" s="399"/>
      <c r="J11" s="184"/>
      <c r="K11" s="184"/>
    </row>
    <row r="12" spans="1:11" ht="15" x14ac:dyDescent="0.2">
      <c r="A12" s="403"/>
      <c r="B12" s="404"/>
      <c r="C12" s="404"/>
      <c r="D12" s="404"/>
      <c r="E12" s="404"/>
      <c r="F12" s="404"/>
      <c r="G12" s="404"/>
      <c r="H12" s="404"/>
      <c r="I12" s="404"/>
      <c r="J12" s="184"/>
      <c r="K12" s="184"/>
    </row>
    <row r="13" spans="1:11" ht="15.75" x14ac:dyDescent="0.2">
      <c r="A13" s="194" t="s">
        <v>12</v>
      </c>
      <c r="B13" s="189"/>
      <c r="C13" s="189"/>
      <c r="D13" s="189"/>
      <c r="E13" s="189"/>
      <c r="F13" s="189"/>
      <c r="G13" s="189"/>
      <c r="H13" s="189"/>
      <c r="I13" s="189"/>
      <c r="J13" s="184"/>
      <c r="K13" s="184"/>
    </row>
    <row r="14" spans="1:11" ht="15.75" x14ac:dyDescent="0.2">
      <c r="A14" s="195" t="s">
        <v>13</v>
      </c>
      <c r="B14" s="189"/>
      <c r="C14" s="189"/>
      <c r="D14" s="189"/>
      <c r="E14" s="189"/>
      <c r="F14" s="189"/>
      <c r="G14" s="189"/>
      <c r="H14" s="189"/>
      <c r="I14" s="189"/>
      <c r="J14" s="184"/>
      <c r="K14" s="184"/>
    </row>
    <row r="15" spans="1:11" x14ac:dyDescent="0.2">
      <c r="A15" s="184"/>
      <c r="B15" s="184"/>
      <c r="C15" s="184"/>
      <c r="D15" s="184"/>
      <c r="E15" s="184"/>
      <c r="F15" s="184"/>
      <c r="G15" s="184"/>
      <c r="H15" s="184"/>
      <c r="I15" s="184"/>
      <c r="J15" s="184"/>
      <c r="K15" s="184"/>
    </row>
    <row r="16" spans="1:11" x14ac:dyDescent="0.2">
      <c r="A16" s="184"/>
      <c r="B16" s="184"/>
      <c r="C16" s="184"/>
      <c r="D16" s="184"/>
      <c r="E16" s="184"/>
      <c r="F16" s="184"/>
      <c r="G16" s="184"/>
      <c r="H16" s="184"/>
      <c r="I16" s="184"/>
      <c r="J16" s="184"/>
      <c r="K16" s="184"/>
    </row>
    <row r="17" spans="1:11" ht="15.75" x14ac:dyDescent="0.2">
      <c r="A17" s="366" t="s">
        <v>14</v>
      </c>
      <c r="B17" s="367"/>
      <c r="C17" s="410" t="s">
        <v>522</v>
      </c>
      <c r="D17" s="411"/>
      <c r="E17" s="411"/>
      <c r="F17" s="189"/>
      <c r="G17" s="189"/>
      <c r="H17" s="189"/>
      <c r="I17" s="189"/>
      <c r="J17" s="189"/>
      <c r="K17" s="189"/>
    </row>
    <row r="18" spans="1:11" ht="15.75" x14ac:dyDescent="0.2">
      <c r="A18" s="195"/>
      <c r="B18" s="195"/>
      <c r="C18" s="196"/>
      <c r="D18" s="196"/>
      <c r="E18" s="196"/>
      <c r="F18" s="189"/>
      <c r="G18" s="189"/>
      <c r="H18" s="189"/>
      <c r="I18" s="189"/>
      <c r="J18" s="189"/>
      <c r="K18" s="189"/>
    </row>
    <row r="19" spans="1:11" ht="18" customHeight="1" x14ac:dyDescent="0.2">
      <c r="A19" s="366" t="s">
        <v>15</v>
      </c>
      <c r="B19" s="367"/>
      <c r="C19" s="371" t="s">
        <v>671</v>
      </c>
      <c r="D19" s="372"/>
      <c r="E19" s="372"/>
      <c r="F19" s="189"/>
      <c r="G19" s="189"/>
      <c r="H19" s="189"/>
      <c r="I19" s="189"/>
      <c r="J19" s="189"/>
      <c r="K19" s="189"/>
    </row>
    <row r="20" spans="1:11" ht="15.75" x14ac:dyDescent="0.2">
      <c r="A20" s="195"/>
      <c r="B20" s="195"/>
      <c r="C20" s="405"/>
      <c r="D20" s="406"/>
      <c r="E20" s="406"/>
      <c r="F20" s="189"/>
      <c r="G20" s="189"/>
      <c r="H20" s="189"/>
      <c r="I20" s="189"/>
      <c r="J20" s="189"/>
      <c r="K20" s="189"/>
    </row>
    <row r="21" spans="1:11" ht="15.75" x14ac:dyDescent="0.2">
      <c r="A21" s="366" t="s">
        <v>16</v>
      </c>
      <c r="B21" s="373"/>
      <c r="C21" s="407" t="s">
        <v>17</v>
      </c>
      <c r="D21" s="408"/>
      <c r="E21" s="409"/>
      <c r="F21" s="189"/>
      <c r="G21" s="189"/>
      <c r="H21" s="189"/>
      <c r="I21" s="189"/>
      <c r="J21" s="189"/>
      <c r="K21" s="189"/>
    </row>
    <row r="22" spans="1:11" ht="15" x14ac:dyDescent="0.2">
      <c r="A22" s="189"/>
      <c r="B22" s="189"/>
      <c r="C22" s="196"/>
      <c r="D22" s="196"/>
      <c r="E22" s="196"/>
      <c r="F22" s="189"/>
      <c r="G22" s="189"/>
      <c r="H22" s="189"/>
      <c r="I22" s="189"/>
      <c r="J22" s="189"/>
      <c r="K22" s="189"/>
    </row>
    <row r="23" spans="1:11" ht="18" customHeight="1" x14ac:dyDescent="0.2">
      <c r="A23" s="366" t="s">
        <v>18</v>
      </c>
      <c r="B23" s="373"/>
      <c r="C23" s="374" t="s">
        <v>19</v>
      </c>
      <c r="D23" s="375"/>
      <c r="E23" s="376"/>
      <c r="F23" s="189"/>
      <c r="G23" s="189"/>
      <c r="H23" s="189"/>
      <c r="I23" s="189"/>
      <c r="J23" s="189"/>
      <c r="K23" s="189"/>
    </row>
    <row r="24" spans="1:11" ht="15" x14ac:dyDescent="0.2">
      <c r="A24" s="189"/>
      <c r="B24" s="189"/>
      <c r="C24" s="196"/>
      <c r="D24" s="196"/>
      <c r="E24" s="196"/>
      <c r="F24" s="189"/>
      <c r="G24" s="189"/>
      <c r="H24" s="189"/>
      <c r="I24" s="189"/>
      <c r="J24" s="189"/>
      <c r="K24" s="189"/>
    </row>
    <row r="25" spans="1:11" ht="15.75" x14ac:dyDescent="0.2">
      <c r="A25" s="366" t="s">
        <v>20</v>
      </c>
      <c r="B25" s="373"/>
      <c r="C25" s="368">
        <v>45474</v>
      </c>
      <c r="D25" s="369"/>
      <c r="E25" s="370"/>
      <c r="F25" s="189"/>
      <c r="G25" s="189"/>
      <c r="H25" s="189"/>
      <c r="I25" s="189"/>
      <c r="J25" s="189"/>
      <c r="K25" s="189"/>
    </row>
    <row r="26" spans="1:11" ht="15" x14ac:dyDescent="0.2">
      <c r="A26" s="189"/>
      <c r="B26" s="189"/>
      <c r="C26" s="196"/>
      <c r="D26" s="196"/>
      <c r="E26" s="196"/>
      <c r="F26" s="189"/>
      <c r="G26" s="189"/>
      <c r="H26" s="189"/>
      <c r="I26" s="189"/>
      <c r="J26" s="189"/>
      <c r="K26" s="189"/>
    </row>
    <row r="27" spans="1:11" ht="15.75" x14ac:dyDescent="0.2">
      <c r="A27" s="366" t="s">
        <v>21</v>
      </c>
      <c r="B27" s="373"/>
      <c r="C27" s="368">
        <v>45838</v>
      </c>
      <c r="D27" s="369"/>
      <c r="E27" s="370"/>
      <c r="F27" s="189"/>
      <c r="G27" s="189"/>
      <c r="H27" s="189"/>
      <c r="I27" s="189"/>
      <c r="J27" s="189"/>
      <c r="K27" s="189"/>
    </row>
    <row r="28" spans="1:11" ht="15" x14ac:dyDescent="0.2">
      <c r="A28" s="189"/>
      <c r="B28" s="189"/>
      <c r="C28" s="196"/>
      <c r="D28" s="196"/>
      <c r="E28" s="196"/>
      <c r="F28" s="189"/>
      <c r="G28" s="189"/>
      <c r="H28" s="189"/>
      <c r="I28" s="189"/>
      <c r="J28" s="189"/>
      <c r="K28" s="189"/>
    </row>
    <row r="29" spans="1:11" ht="15.75" x14ac:dyDescent="0.2">
      <c r="A29" s="377" t="s">
        <v>22</v>
      </c>
      <c r="B29" s="377"/>
      <c r="C29" s="368">
        <v>46281</v>
      </c>
      <c r="D29" s="369"/>
      <c r="E29" s="370"/>
      <c r="F29" s="189"/>
      <c r="G29" s="189"/>
      <c r="H29" s="189"/>
      <c r="I29" s="189"/>
      <c r="J29" s="189"/>
      <c r="K29" s="189"/>
    </row>
    <row r="30" spans="1:11" ht="15" x14ac:dyDescent="0.2">
      <c r="A30" s="189"/>
      <c r="B30" s="189"/>
      <c r="C30" s="196"/>
      <c r="D30" s="196"/>
      <c r="E30" s="196"/>
      <c r="F30" s="189"/>
      <c r="G30" s="189"/>
      <c r="H30" s="189"/>
      <c r="I30" s="189"/>
      <c r="J30" s="189"/>
      <c r="K30" s="189"/>
    </row>
    <row r="31" spans="1:11" ht="15.75" x14ac:dyDescent="0.2">
      <c r="A31" s="377" t="s">
        <v>23</v>
      </c>
      <c r="B31" s="377"/>
      <c r="C31" s="368">
        <v>45838</v>
      </c>
      <c r="D31" s="369"/>
      <c r="E31" s="370"/>
      <c r="F31" s="189"/>
      <c r="G31" s="189"/>
      <c r="H31" s="189"/>
      <c r="I31" s="189"/>
      <c r="J31" s="189"/>
      <c r="K31" s="189"/>
    </row>
    <row r="32" spans="1:11" ht="15" x14ac:dyDescent="0.2">
      <c r="A32" s="189"/>
      <c r="B32" s="189"/>
      <c r="C32" s="196"/>
      <c r="D32" s="196"/>
      <c r="E32" s="196"/>
      <c r="F32" s="189"/>
      <c r="G32" s="189"/>
      <c r="H32" s="189"/>
      <c r="I32" s="189"/>
      <c r="J32" s="189"/>
      <c r="K32" s="189"/>
    </row>
    <row r="33" spans="1:11" ht="60" customHeight="1" x14ac:dyDescent="0.2">
      <c r="A33" s="365" t="s">
        <v>24</v>
      </c>
      <c r="B33" s="365"/>
      <c r="C33" s="361" t="s">
        <v>25</v>
      </c>
      <c r="D33" s="362"/>
      <c r="E33" s="363"/>
      <c r="F33" s="364" t="s">
        <v>26</v>
      </c>
      <c r="G33" s="365"/>
      <c r="H33" s="365"/>
      <c r="I33" s="361" t="s">
        <v>889</v>
      </c>
      <c r="J33" s="362"/>
      <c r="K33" s="363"/>
    </row>
    <row r="34" spans="1:11" ht="15.75" thickBot="1" x14ac:dyDescent="0.25">
      <c r="A34" s="197"/>
      <c r="B34" s="197"/>
      <c r="C34" s="197"/>
      <c r="D34" s="197"/>
      <c r="E34" s="197"/>
      <c r="F34" s="197"/>
      <c r="G34" s="197"/>
      <c r="H34" s="197"/>
      <c r="I34" s="197"/>
      <c r="J34" s="197"/>
      <c r="K34" s="197"/>
    </row>
    <row r="35" spans="1:11" ht="15" x14ac:dyDescent="0.2">
      <c r="A35" s="357"/>
      <c r="B35" s="358"/>
      <c r="C35" s="358"/>
      <c r="D35" s="358"/>
      <c r="E35" s="358"/>
      <c r="F35" s="358"/>
      <c r="G35" s="358"/>
      <c r="H35" s="359"/>
      <c r="I35" s="197"/>
      <c r="J35" s="197"/>
      <c r="K35" s="197"/>
    </row>
    <row r="36" spans="1:11" ht="15" x14ac:dyDescent="0.2">
      <c r="A36" s="360" t="s">
        <v>28</v>
      </c>
      <c r="B36" s="378" t="s">
        <v>29</v>
      </c>
      <c r="C36" s="379"/>
      <c r="D36" s="354" t="s">
        <v>30</v>
      </c>
      <c r="E36" s="355"/>
      <c r="F36" s="355"/>
      <c r="G36" s="356"/>
      <c r="H36" s="386"/>
      <c r="I36" s="197"/>
      <c r="J36" s="197"/>
      <c r="K36" s="197"/>
    </row>
    <row r="37" spans="1:11" ht="15" x14ac:dyDescent="0.2">
      <c r="A37" s="360"/>
      <c r="B37" s="378" t="s">
        <v>31</v>
      </c>
      <c r="C37" s="379"/>
      <c r="D37" s="354" t="s">
        <v>32</v>
      </c>
      <c r="E37" s="355"/>
      <c r="F37" s="355"/>
      <c r="G37" s="356"/>
      <c r="H37" s="386"/>
      <c r="I37" s="197"/>
      <c r="J37" s="197"/>
      <c r="K37" s="197"/>
    </row>
    <row r="38" spans="1:11" ht="15" x14ac:dyDescent="0.2">
      <c r="A38" s="360"/>
      <c r="B38" s="198"/>
      <c r="C38" s="199" t="s">
        <v>33</v>
      </c>
      <c r="D38" s="124" t="s">
        <v>34</v>
      </c>
      <c r="E38" s="199" t="s">
        <v>35</v>
      </c>
      <c r="F38" s="124">
        <v>2000</v>
      </c>
      <c r="G38" s="200"/>
      <c r="H38" s="386"/>
      <c r="I38" s="197"/>
      <c r="J38" s="197"/>
      <c r="K38" s="197"/>
    </row>
    <row r="39" spans="1:11" ht="15" x14ac:dyDescent="0.2">
      <c r="A39" s="360"/>
      <c r="B39" s="387"/>
      <c r="C39" s="387"/>
      <c r="D39" s="387"/>
      <c r="E39" s="387"/>
      <c r="F39" s="387"/>
      <c r="G39" s="387"/>
      <c r="H39" s="386"/>
      <c r="I39" s="197"/>
      <c r="J39" s="197"/>
      <c r="K39" s="197"/>
    </row>
    <row r="40" spans="1:11" ht="15" x14ac:dyDescent="0.2">
      <c r="A40" s="360" t="s">
        <v>36</v>
      </c>
      <c r="B40" s="378" t="s">
        <v>29</v>
      </c>
      <c r="C40" s="379"/>
      <c r="D40" s="388" t="s">
        <v>37</v>
      </c>
      <c r="E40" s="388"/>
      <c r="F40" s="388"/>
      <c r="G40" s="388"/>
      <c r="H40" s="386"/>
      <c r="I40" s="197"/>
      <c r="J40" s="197"/>
      <c r="K40" s="197"/>
    </row>
    <row r="41" spans="1:11" ht="15" x14ac:dyDescent="0.2">
      <c r="A41" s="360"/>
      <c r="B41" s="378" t="s">
        <v>31</v>
      </c>
      <c r="C41" s="379"/>
      <c r="D41" s="388" t="s">
        <v>38</v>
      </c>
      <c r="E41" s="388"/>
      <c r="F41" s="388"/>
      <c r="G41" s="388"/>
      <c r="H41" s="386"/>
      <c r="I41" s="197"/>
      <c r="J41" s="197"/>
      <c r="K41" s="197"/>
    </row>
    <row r="42" spans="1:11" ht="15" x14ac:dyDescent="0.2">
      <c r="A42" s="360"/>
      <c r="B42" s="198"/>
      <c r="C42" s="199" t="s">
        <v>33</v>
      </c>
      <c r="D42" s="124" t="s">
        <v>34</v>
      </c>
      <c r="E42" s="199" t="s">
        <v>35</v>
      </c>
      <c r="F42" s="124">
        <v>1225</v>
      </c>
      <c r="G42" s="200"/>
      <c r="H42" s="386"/>
      <c r="I42" s="197"/>
      <c r="J42" s="197"/>
      <c r="K42" s="197"/>
    </row>
    <row r="43" spans="1:11" ht="15.75" thickBot="1" x14ac:dyDescent="0.25">
      <c r="A43" s="383"/>
      <c r="B43" s="384"/>
      <c r="C43" s="384"/>
      <c r="D43" s="384"/>
      <c r="E43" s="384"/>
      <c r="F43" s="384"/>
      <c r="G43" s="384"/>
      <c r="H43" s="385"/>
      <c r="I43" s="197"/>
      <c r="J43" s="197"/>
      <c r="K43" s="197"/>
    </row>
    <row r="44" spans="1:11" ht="15" x14ac:dyDescent="0.2">
      <c r="A44" s="357"/>
      <c r="B44" s="358"/>
      <c r="C44" s="358"/>
      <c r="D44" s="358"/>
      <c r="E44" s="358"/>
      <c r="F44" s="358"/>
      <c r="G44" s="358"/>
      <c r="H44" s="359"/>
      <c r="I44" s="197"/>
      <c r="J44" s="197"/>
      <c r="K44" s="197"/>
    </row>
    <row r="45" spans="1:11" ht="15.75" x14ac:dyDescent="0.25">
      <c r="A45" s="201" t="s">
        <v>39</v>
      </c>
      <c r="B45" s="354" t="s">
        <v>40</v>
      </c>
      <c r="C45" s="355"/>
      <c r="D45" s="391"/>
      <c r="E45" s="391"/>
      <c r="F45" s="392"/>
      <c r="G45" s="389"/>
      <c r="H45" s="390"/>
      <c r="I45" s="197"/>
      <c r="J45" s="197"/>
      <c r="K45" s="197"/>
    </row>
    <row r="46" spans="1:11" ht="15.75" x14ac:dyDescent="0.25">
      <c r="A46" s="201" t="s">
        <v>41</v>
      </c>
      <c r="B46" s="393" t="s">
        <v>42</v>
      </c>
      <c r="C46" s="355"/>
      <c r="D46" s="355"/>
      <c r="E46" s="355"/>
      <c r="F46" s="356"/>
      <c r="G46" s="389"/>
      <c r="H46" s="390"/>
      <c r="I46" s="197"/>
      <c r="J46" s="197"/>
      <c r="K46" s="197"/>
    </row>
    <row r="47" spans="1:11" ht="15.75" x14ac:dyDescent="0.25">
      <c r="A47" s="201" t="s">
        <v>43</v>
      </c>
      <c r="B47" s="354" t="s">
        <v>44</v>
      </c>
      <c r="C47" s="355"/>
      <c r="D47" s="355"/>
      <c r="E47" s="355"/>
      <c r="F47" s="356"/>
      <c r="G47" s="389"/>
      <c r="H47" s="390"/>
      <c r="I47" s="197"/>
      <c r="J47" s="197"/>
      <c r="K47" s="197"/>
    </row>
    <row r="48" spans="1:11" ht="15.75" thickBot="1" x14ac:dyDescent="0.25">
      <c r="A48" s="380"/>
      <c r="B48" s="381"/>
      <c r="C48" s="381"/>
      <c r="D48" s="381"/>
      <c r="E48" s="381"/>
      <c r="F48" s="381"/>
      <c r="G48" s="381"/>
      <c r="H48" s="382"/>
      <c r="I48" s="197"/>
      <c r="J48" s="197"/>
      <c r="K48" s="197"/>
    </row>
    <row r="49" spans="1:11" ht="15" x14ac:dyDescent="0.2">
      <c r="A49" s="197"/>
      <c r="B49" s="197"/>
      <c r="C49" s="197"/>
      <c r="D49" s="197"/>
      <c r="E49" s="197"/>
      <c r="F49" s="197"/>
      <c r="G49" s="197"/>
      <c r="H49" s="197"/>
      <c r="I49" s="197"/>
      <c r="J49" s="197"/>
      <c r="K49" s="197"/>
    </row>
    <row r="50" spans="1:11" ht="15" x14ac:dyDescent="0.2">
      <c r="A50" s="197"/>
      <c r="B50" s="197"/>
      <c r="C50" s="197"/>
      <c r="D50" s="197"/>
      <c r="E50" s="197"/>
      <c r="F50" s="197"/>
      <c r="G50" s="197"/>
      <c r="H50" s="197"/>
      <c r="I50" s="197"/>
      <c r="J50" s="197"/>
      <c r="K50" s="197"/>
    </row>
    <row r="51" spans="1:11" ht="15" x14ac:dyDescent="0.2">
      <c r="A51" s="197"/>
      <c r="B51" s="197"/>
      <c r="C51" s="197"/>
      <c r="D51" s="197"/>
      <c r="E51" s="197"/>
      <c r="F51" s="197"/>
      <c r="G51" s="197"/>
      <c r="H51" s="197"/>
      <c r="I51" s="197"/>
      <c r="J51" s="197"/>
      <c r="K51" s="197"/>
    </row>
  </sheetData>
  <sheetProtection sheet="1"/>
  <mergeCells count="45">
    <mergeCell ref="A17:B17"/>
    <mergeCell ref="A23:B23"/>
    <mergeCell ref="A25:B25"/>
    <mergeCell ref="A8:I8"/>
    <mergeCell ref="A11:I11"/>
    <mergeCell ref="A10:I10"/>
    <mergeCell ref="A12:I12"/>
    <mergeCell ref="C20:E20"/>
    <mergeCell ref="C21:E21"/>
    <mergeCell ref="C17:E17"/>
    <mergeCell ref="C25:E25"/>
    <mergeCell ref="B40:C40"/>
    <mergeCell ref="A44:H44"/>
    <mergeCell ref="A48:H48"/>
    <mergeCell ref="A40:A43"/>
    <mergeCell ref="B43:H43"/>
    <mergeCell ref="H36:H42"/>
    <mergeCell ref="B39:G39"/>
    <mergeCell ref="D40:G40"/>
    <mergeCell ref="G45:H47"/>
    <mergeCell ref="B47:F47"/>
    <mergeCell ref="B41:C41"/>
    <mergeCell ref="D41:G41"/>
    <mergeCell ref="B45:F45"/>
    <mergeCell ref="B46:F46"/>
    <mergeCell ref="B37:C37"/>
    <mergeCell ref="B36:C36"/>
    <mergeCell ref="I33:K33"/>
    <mergeCell ref="F33:H33"/>
    <mergeCell ref="A19:B19"/>
    <mergeCell ref="C27:E27"/>
    <mergeCell ref="C19:E19"/>
    <mergeCell ref="A21:B21"/>
    <mergeCell ref="C23:E23"/>
    <mergeCell ref="C29:E29"/>
    <mergeCell ref="A33:B33"/>
    <mergeCell ref="C31:E31"/>
    <mergeCell ref="A27:B27"/>
    <mergeCell ref="A29:B29"/>
    <mergeCell ref="A31:B31"/>
    <mergeCell ref="D36:G36"/>
    <mergeCell ref="D37:G37"/>
    <mergeCell ref="A35:H35"/>
    <mergeCell ref="A36:A39"/>
    <mergeCell ref="C33:E33"/>
  </mergeCells>
  <phoneticPr fontId="7" type="noConversion"/>
  <dataValidations count="4">
    <dataValidation type="list" allowBlank="1" showInputMessage="1" showErrorMessage="1" sqref="C33:E33" xr:uid="{1ED374EB-5B88-40F8-81B0-7B64C23A7ED7}">
      <formula1>"Yes, No"</formula1>
    </dataValidation>
    <dataValidation type="list" allowBlank="1" showInputMessage="1" showErrorMessage="1" sqref="C23:E23" xr:uid="{600F4896-08AB-4C40-BE99-167C4254D6D5}">
      <formula1>"Scheme pipeline, Non-scheme pipeline"</formula1>
    </dataValidation>
    <dataValidation type="date" operator="greaterThan" allowBlank="1" showInputMessage="1" showErrorMessage="1" sqref="C25:E25" xr:uid="{26136092-0201-4782-8116-6F2135FB4157}">
      <formula1>40179</formula1>
    </dataValidation>
    <dataValidation type="list" allowBlank="1" showInputMessage="1" showErrorMessage="1" sqref="D38 D42" xr:uid="{7FFF478C-123E-4E62-9297-853BAE92269C}">
      <formula1>"NSW, VIC, QLD, SA, TAS, NT, ACT, WA"</formula1>
    </dataValidation>
  </dataValidations>
  <pageMargins left="0.75" right="0.75" top="1" bottom="1" header="0.5" footer="0.5"/>
  <pageSetup paperSize="9" scale="80" orientation="portrait" verticalDpi="2" r:id="rId1"/>
  <headerFooter alignWithMargins="0">
    <oddHeader>&amp;C&amp;"Arial,Bold"&amp;12Non- Scheme Gas Pipeline - Financial Guideline Reporting template</oddHeader>
    <oddFooter>&amp;C&amp;A_x000D_&amp;1#&amp;"Aptos"&amp;10&amp;K008000 APA-INTERNAL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8A011F-0F29-4AC2-86EA-C75CA5E1CAF7}">
  <sheetPr codeName="Sheet9">
    <tabColor rgb="FF17415D"/>
    <pageSetUpPr fitToPage="1"/>
  </sheetPr>
  <dimension ref="A1:H50"/>
  <sheetViews>
    <sheetView showGridLines="0" zoomScaleNormal="100" workbookViewId="0"/>
  </sheetViews>
  <sheetFormatPr defaultColWidth="9.42578125" defaultRowHeight="23.25" x14ac:dyDescent="0.35"/>
  <cols>
    <col min="1" max="1" width="6.42578125" style="1" customWidth="1"/>
    <col min="2" max="2" width="10.5703125" style="1" customWidth="1"/>
    <col min="3" max="3" width="26.5703125" style="1" customWidth="1"/>
    <col min="4" max="4" width="135.5703125" style="1" customWidth="1"/>
    <col min="5" max="5" width="61.42578125" style="1" customWidth="1"/>
    <col min="6" max="6" width="27.5703125" style="1" customWidth="1"/>
    <col min="7" max="7" width="19.42578125" style="1" bestFit="1" customWidth="1"/>
    <col min="8" max="8" width="8.5703125" style="1" customWidth="1"/>
    <col min="9" max="16384" width="9.42578125" style="1"/>
  </cols>
  <sheetData>
    <row r="1" spans="1:8" ht="26.25" x14ac:dyDescent="0.35">
      <c r="A1" s="1" t="s">
        <v>45</v>
      </c>
      <c r="C1" s="77" t="s">
        <v>5</v>
      </c>
      <c r="D1" s="77"/>
      <c r="E1" s="77"/>
      <c r="F1" s="77"/>
      <c r="G1" s="3"/>
      <c r="H1" s="3"/>
    </row>
    <row r="2" spans="1:8" ht="20.25" customHeight="1" x14ac:dyDescent="0.35">
      <c r="B2" s="3"/>
      <c r="C2" s="77" t="str">
        <f>IF(Tradingname=0," ",Tradingname)</f>
        <v>APA Reedy Creek Wallumbilla Pty Limited</v>
      </c>
      <c r="D2" s="77"/>
      <c r="E2" s="77"/>
      <c r="F2" s="77"/>
      <c r="G2" s="3"/>
    </row>
    <row r="3" spans="1:8" ht="33.75" customHeight="1" x14ac:dyDescent="0.4">
      <c r="B3" s="3"/>
      <c r="C3" s="77" t="s">
        <v>46</v>
      </c>
      <c r="D3" s="79">
        <f>IF(Yearending=0, "01/01/2000", Yearending)</f>
        <v>45838</v>
      </c>
      <c r="E3" s="77"/>
      <c r="F3" s="78"/>
    </row>
    <row r="4" spans="1:8" ht="15" customHeight="1" x14ac:dyDescent="0.35">
      <c r="B4" s="3"/>
      <c r="C4" s="3"/>
      <c r="D4" s="3"/>
      <c r="E4" s="3"/>
      <c r="F4" s="3"/>
      <c r="G4" s="3"/>
    </row>
    <row r="5" spans="1:8" s="3" customFormat="1" ht="15" customHeight="1" thickBot="1" x14ac:dyDescent="0.25"/>
    <row r="6" spans="1:8" s="3" customFormat="1" ht="15" customHeight="1" x14ac:dyDescent="0.35">
      <c r="C6" s="109"/>
      <c r="D6" s="110"/>
      <c r="E6" s="110"/>
      <c r="F6" s="111"/>
    </row>
    <row r="7" spans="1:8" s="3" customFormat="1" ht="26.25" x14ac:dyDescent="0.4">
      <c r="C7" s="112"/>
      <c r="D7" s="412" t="s">
        <v>47</v>
      </c>
      <c r="E7" s="412"/>
      <c r="F7" s="113"/>
    </row>
    <row r="8" spans="1:8" s="3" customFormat="1" ht="25.5" x14ac:dyDescent="0.35">
      <c r="C8" s="112"/>
      <c r="D8" s="114"/>
      <c r="E8" s="114"/>
      <c r="F8" s="113"/>
    </row>
    <row r="9" spans="1:8" s="3" customFormat="1" ht="26.25" x14ac:dyDescent="0.4">
      <c r="C9" s="112"/>
      <c r="D9" s="119" t="s">
        <v>48</v>
      </c>
      <c r="E9" s="123" t="s">
        <v>49</v>
      </c>
      <c r="F9" s="113"/>
    </row>
    <row r="10" spans="1:8" s="3" customFormat="1" ht="26.25" x14ac:dyDescent="0.4">
      <c r="C10" s="112"/>
      <c r="D10" s="119"/>
      <c r="E10" s="123" t="s">
        <v>50</v>
      </c>
      <c r="F10" s="113"/>
    </row>
    <row r="11" spans="1:8" s="3" customFormat="1" ht="26.25" x14ac:dyDescent="0.4">
      <c r="C11" s="112"/>
      <c r="D11" s="119"/>
      <c r="E11" s="123" t="s">
        <v>51</v>
      </c>
      <c r="F11" s="113"/>
    </row>
    <row r="12" spans="1:8" s="3" customFormat="1" ht="25.5" x14ac:dyDescent="0.35">
      <c r="C12" s="112"/>
      <c r="D12" s="114"/>
      <c r="E12" s="114"/>
      <c r="F12" s="113"/>
    </row>
    <row r="13" spans="1:8" s="3" customFormat="1" ht="26.25" x14ac:dyDescent="0.4">
      <c r="C13" s="112"/>
      <c r="D13" s="119" t="s">
        <v>52</v>
      </c>
      <c r="E13" s="120"/>
      <c r="F13" s="113"/>
    </row>
    <row r="14" spans="1:8" s="3" customFormat="1" ht="25.5" x14ac:dyDescent="0.35">
      <c r="C14" s="112"/>
      <c r="D14" s="73"/>
      <c r="E14" s="74"/>
      <c r="F14" s="113"/>
    </row>
    <row r="15" spans="1:8" s="3" customFormat="1" ht="26.25" x14ac:dyDescent="0.4">
      <c r="C15" s="112"/>
      <c r="D15" s="119" t="s">
        <v>53</v>
      </c>
      <c r="E15" s="122" t="s">
        <v>54</v>
      </c>
      <c r="F15" s="113"/>
    </row>
    <row r="16" spans="1:8" s="3" customFormat="1" ht="26.25" x14ac:dyDescent="0.4">
      <c r="C16" s="112"/>
      <c r="D16" s="119"/>
      <c r="E16" s="122" t="s">
        <v>55</v>
      </c>
      <c r="F16" s="113"/>
    </row>
    <row r="17" spans="3:6" s="3" customFormat="1" ht="26.25" x14ac:dyDescent="0.4">
      <c r="C17" s="112"/>
      <c r="D17" s="119"/>
      <c r="E17" s="122" t="s">
        <v>56</v>
      </c>
      <c r="F17" s="113"/>
    </row>
    <row r="18" spans="3:6" s="3" customFormat="1" ht="26.25" x14ac:dyDescent="0.4">
      <c r="C18" s="112"/>
      <c r="D18" s="119"/>
      <c r="E18" s="122" t="s">
        <v>57</v>
      </c>
      <c r="F18" s="113"/>
    </row>
    <row r="19" spans="3:6" s="3" customFormat="1" ht="26.25" x14ac:dyDescent="0.4">
      <c r="C19" s="112"/>
      <c r="D19" s="119"/>
      <c r="E19" s="122" t="s">
        <v>58</v>
      </c>
      <c r="F19" s="113"/>
    </row>
    <row r="20" spans="3:6" s="3" customFormat="1" ht="25.5" customHeight="1" x14ac:dyDescent="0.35">
      <c r="C20" s="75"/>
      <c r="D20" s="73"/>
      <c r="E20" s="74"/>
      <c r="F20" s="76"/>
    </row>
    <row r="21" spans="3:6" s="3" customFormat="1" ht="25.5" customHeight="1" x14ac:dyDescent="0.4">
      <c r="C21" s="112"/>
      <c r="D21" s="119" t="s">
        <v>59</v>
      </c>
      <c r="E21" s="122" t="s">
        <v>3</v>
      </c>
      <c r="F21" s="113"/>
    </row>
    <row r="22" spans="3:6" s="3" customFormat="1" ht="25.5" customHeight="1" x14ac:dyDescent="0.4">
      <c r="C22" s="112"/>
      <c r="D22" s="119" t="s">
        <v>60</v>
      </c>
      <c r="E22" s="122" t="s">
        <v>61</v>
      </c>
      <c r="F22" s="113"/>
    </row>
    <row r="23" spans="3:6" s="3" customFormat="1" ht="25.5" customHeight="1" x14ac:dyDescent="0.4">
      <c r="C23" s="112"/>
      <c r="D23" s="119"/>
      <c r="E23" s="122" t="s">
        <v>62</v>
      </c>
      <c r="F23" s="113"/>
    </row>
    <row r="24" spans="3:6" s="3" customFormat="1" ht="25.5" customHeight="1" x14ac:dyDescent="0.4">
      <c r="C24" s="112"/>
      <c r="D24" s="119"/>
      <c r="E24" s="122" t="s">
        <v>63</v>
      </c>
      <c r="F24" s="113"/>
    </row>
    <row r="25" spans="3:6" s="3" customFormat="1" ht="25.5" x14ac:dyDescent="0.35">
      <c r="C25" s="75"/>
      <c r="D25" s="73"/>
      <c r="E25" s="74"/>
      <c r="F25" s="76"/>
    </row>
    <row r="26" spans="3:6" s="3" customFormat="1" ht="26.25" x14ac:dyDescent="0.4">
      <c r="C26" s="112"/>
      <c r="D26" s="119" t="s">
        <v>64</v>
      </c>
      <c r="E26" s="122" t="s">
        <v>65</v>
      </c>
      <c r="F26" s="113"/>
    </row>
    <row r="27" spans="3:6" s="3" customFormat="1" ht="25.5" x14ac:dyDescent="0.35">
      <c r="C27" s="75"/>
      <c r="D27" s="73"/>
      <c r="E27" s="74"/>
      <c r="F27" s="76"/>
    </row>
    <row r="28" spans="3:6" s="3" customFormat="1" ht="26.25" x14ac:dyDescent="0.4">
      <c r="C28" s="75"/>
      <c r="D28" s="119" t="s">
        <v>66</v>
      </c>
      <c r="E28" s="121"/>
      <c r="F28" s="76"/>
    </row>
    <row r="29" spans="3:6" s="3" customFormat="1" ht="25.5" x14ac:dyDescent="0.35">
      <c r="C29" s="75"/>
      <c r="D29" s="73"/>
      <c r="E29" s="74"/>
      <c r="F29" s="76"/>
    </row>
    <row r="30" spans="3:6" s="3" customFormat="1" ht="26.25" x14ac:dyDescent="0.4">
      <c r="C30" s="112"/>
      <c r="D30" s="119" t="s">
        <v>67</v>
      </c>
      <c r="E30" s="120"/>
      <c r="F30" s="113"/>
    </row>
    <row r="31" spans="3:6" s="3" customFormat="1" ht="26.25" thickBot="1" x14ac:dyDescent="0.4">
      <c r="C31" s="115"/>
      <c r="D31" s="116"/>
      <c r="E31" s="117"/>
      <c r="F31" s="118"/>
    </row>
    <row r="32" spans="3:6" s="3" customFormat="1" x14ac:dyDescent="0.2">
      <c r="C32" s="2"/>
      <c r="D32" s="2"/>
      <c r="E32" s="2"/>
      <c r="F32" s="2"/>
    </row>
    <row r="33" spans="2:6" s="3" customFormat="1" x14ac:dyDescent="0.35">
      <c r="B33" s="2"/>
      <c r="C33" s="2"/>
      <c r="D33" s="1"/>
      <c r="E33" s="1"/>
      <c r="F33" s="2"/>
    </row>
    <row r="34" spans="2:6" s="3" customFormat="1" x14ac:dyDescent="0.35">
      <c r="B34" s="2"/>
      <c r="C34" s="2"/>
      <c r="D34" s="1"/>
      <c r="E34" s="2"/>
    </row>
    <row r="35" spans="2:6" s="3" customFormat="1" x14ac:dyDescent="0.35">
      <c r="B35" s="2"/>
      <c r="C35" s="2"/>
      <c r="D35" s="1"/>
      <c r="E35" s="1"/>
      <c r="F35" s="2"/>
    </row>
    <row r="36" spans="2:6" s="3" customFormat="1" x14ac:dyDescent="0.35">
      <c r="B36" s="2"/>
      <c r="C36" s="2"/>
      <c r="D36" s="1"/>
      <c r="E36" s="1"/>
      <c r="F36" s="2"/>
    </row>
    <row r="37" spans="2:6" s="3" customFormat="1" x14ac:dyDescent="0.35">
      <c r="B37" s="2"/>
      <c r="C37" s="2"/>
      <c r="D37" s="1"/>
      <c r="E37" s="1"/>
      <c r="F37" s="2"/>
    </row>
    <row r="38" spans="2:6" s="3" customFormat="1" x14ac:dyDescent="0.35">
      <c r="B38" s="2"/>
      <c r="C38" s="2"/>
      <c r="D38" s="1"/>
      <c r="E38" s="1"/>
      <c r="F38" s="2"/>
    </row>
    <row r="39" spans="2:6" s="3" customFormat="1" x14ac:dyDescent="0.35">
      <c r="B39" s="2"/>
      <c r="C39" s="2"/>
      <c r="D39" s="1"/>
      <c r="E39" s="1"/>
      <c r="F39" s="2"/>
    </row>
    <row r="40" spans="2:6" s="3" customFormat="1" x14ac:dyDescent="0.35">
      <c r="B40" s="2"/>
      <c r="C40" s="2"/>
      <c r="D40" s="1"/>
      <c r="E40" s="1"/>
      <c r="F40" s="2"/>
    </row>
    <row r="41" spans="2:6" s="3" customFormat="1" x14ac:dyDescent="0.35">
      <c r="B41" s="2"/>
      <c r="C41" s="2"/>
      <c r="D41" s="1"/>
      <c r="E41" s="1"/>
      <c r="F41" s="2"/>
    </row>
    <row r="42" spans="2:6" s="3" customFormat="1" x14ac:dyDescent="0.35">
      <c r="B42" s="2"/>
      <c r="C42" s="2"/>
      <c r="D42" s="1"/>
      <c r="E42" s="1"/>
      <c r="F42" s="2"/>
    </row>
    <row r="43" spans="2:6" s="3" customFormat="1" x14ac:dyDescent="0.35">
      <c r="B43" s="2"/>
      <c r="C43" s="2"/>
      <c r="D43" s="1"/>
      <c r="E43" s="1"/>
      <c r="F43" s="2"/>
    </row>
    <row r="44" spans="2:6" s="3" customFormat="1" x14ac:dyDescent="0.35">
      <c r="B44" s="2"/>
      <c r="C44" s="2"/>
      <c r="D44" s="1"/>
      <c r="E44" s="1"/>
      <c r="F44" s="2"/>
    </row>
    <row r="45" spans="2:6" s="3" customFormat="1" x14ac:dyDescent="0.35">
      <c r="B45" s="2"/>
      <c r="C45" s="2"/>
      <c r="D45" s="1"/>
      <c r="E45" s="1"/>
      <c r="F45" s="2"/>
    </row>
    <row r="46" spans="2:6" s="3" customFormat="1" x14ac:dyDescent="0.35">
      <c r="B46" s="2"/>
      <c r="C46" s="2"/>
      <c r="D46" s="1"/>
      <c r="E46" s="1"/>
      <c r="F46" s="2"/>
    </row>
    <row r="47" spans="2:6" s="3" customFormat="1" x14ac:dyDescent="0.35">
      <c r="B47" s="2"/>
      <c r="C47" s="1"/>
      <c r="D47" s="1"/>
      <c r="E47" s="1"/>
      <c r="F47" s="1"/>
    </row>
    <row r="48" spans="2:6" s="3" customFormat="1" x14ac:dyDescent="0.35">
      <c r="B48" s="2"/>
      <c r="C48" s="1"/>
      <c r="D48" s="1"/>
      <c r="E48" s="1"/>
      <c r="F48" s="1"/>
    </row>
    <row r="49" spans="2:6" s="3" customFormat="1" x14ac:dyDescent="0.35">
      <c r="B49" s="2"/>
      <c r="C49" s="1"/>
      <c r="D49" s="1"/>
      <c r="E49" s="1"/>
      <c r="F49" s="1"/>
    </row>
    <row r="50" spans="2:6" s="3" customFormat="1" x14ac:dyDescent="0.35">
      <c r="B50" s="2"/>
      <c r="C50" s="1"/>
      <c r="D50" s="1"/>
      <c r="E50" s="1"/>
      <c r="F50" s="1"/>
    </row>
  </sheetData>
  <sheetProtection sheet="1"/>
  <mergeCells count="1">
    <mergeCell ref="D7:E7"/>
  </mergeCells>
  <phoneticPr fontId="29" type="noConversion"/>
  <hyperlinks>
    <hyperlink ref="D13" location="'1. Pipeline information'!A1" display="1. PIPELINE INFORMATION" xr:uid="{815339EB-32C8-4B51-96F3-572035550531}"/>
    <hyperlink ref="E26" location="'4.1 Pipelines capex'!A1" display="4.1 Pipelines capex" xr:uid="{1C06FAF2-43AD-43F1-8C2F-085DCBF40696}"/>
    <hyperlink ref="D28" location="'5. Historical demand'!A1" display="5. Historical demand" xr:uid="{F546A5E8-88A0-4453-966A-714211FB46DC}"/>
    <hyperlink ref="D30" location="'6. Pricing template'!A1" display="6. PRICING TEMPLATE" xr:uid="{6BC9308D-DE48-4AF2-9167-01EEBA4BD35E}"/>
    <hyperlink ref="D15" location="'2. Revenue and expenses'!A1" display="2. REVENUE AND EXPENSES" xr:uid="{F4EED398-807F-48DC-A82B-6E0EC0CD35C6}"/>
    <hyperlink ref="E9" location="'Financial summary'!A1" display="Financial summary" xr:uid="{B38D1BBE-3116-4376-AC48-5494510AD176}"/>
    <hyperlink ref="E10" location="'Data visualisation'!A1" display="Data visualisation" xr:uid="{62214791-1347-4B15-A860-5C5AA005B0B9}"/>
    <hyperlink ref="E11" location="'Pricing benchmarks summary'!A1" display="Pricing benchmarks summary" xr:uid="{8D4862A1-0F4A-414A-99A2-9F1A02E4713A}"/>
    <hyperlink ref="E15" location="'2.1 Profit &amp; Loss by component'!A1" display="2.1 Profit &amp; Loss by component" xr:uid="{964E04F5-C641-475C-B40A-2CAA0CEA8770}"/>
    <hyperlink ref="E17" location="'2.3 Revenue contributions '!A1" display="2.3 Revenue contributions " xr:uid="{064D04C1-2D8B-4533-8B3D-26ED588DB2CC}"/>
    <hyperlink ref="E18" location="'2.4 Indirect revenue'!A1" display="2.4 Indirect revenue" xr:uid="{260157AD-7B09-4A84-A319-7D1FF49F0586}"/>
    <hyperlink ref="E19" location="'2.5 Shared expenses'!A1" display="2.5 Shared expenses" xr:uid="{E94A6389-EC25-4FB1-9191-648588C8D107}"/>
    <hyperlink ref="D26" location="'4. Recovered Capital'!A1" display="4. ASSET - RECOVERED CAPITAL METHOD (RCM)" xr:uid="{0C45AB5A-F99C-456D-A516-CC0860D6BFA9}"/>
    <hyperlink ref="D21" location="'3.1 Depreciated Book Value'!Print_Area" display="3.1 ASSET VALUE - DEPRICIATED BOOK VALUE METHOD (DBVM)" xr:uid="{71D30240-8FD8-4A85-B020-0E94A5B6CF1E}"/>
    <hyperlink ref="D22" location="'3.2 Regulatory Asset Base'!Print_Area" display="3.2 ASSET VALUE - REGULATORY ASSET BASE (RAB)" xr:uid="{BC47D703-4D69-4DF0-9053-4AACD43D6A3D}"/>
    <hyperlink ref="E21" location="'3.3 Asset useful life'!Print_Area" display="3.3 Asset useful life" xr:uid="{1839077C-F2C5-44A3-8D2D-6971DD0AC383}"/>
    <hyperlink ref="E22" location="'3.4 Asset impairment'!Print_Area" display="3.4 Asset impairment" xr:uid="{8A7DDB09-94EF-4F33-8566-3DD36AFF3266}"/>
    <hyperlink ref="E23" location="'3.5 Depreciation amortisation'!Print_Area" display="3.5 Depreciation amortisation" xr:uid="{8C3C55BB-5544-427A-AA67-9EDE3E6E59C5}"/>
    <hyperlink ref="E24" location="'3.6 Shared supporting assets'!Print_Area" display="3.6 Shared supporting assets" xr:uid="{3E376C00-235D-4B90-A603-5607CCA1E57A}"/>
    <hyperlink ref="E16" location="'2.2 Allocation to services'!Print_Area" display="2.2 Allocation to pipeline services" xr:uid="{FEACDD8E-2C44-4A65-8F7C-870F1E9F3E0A}"/>
  </hyperlinks>
  <pageMargins left="0.25" right="0.25" top="0.75" bottom="0.75" header="0.3" footer="0.3"/>
  <pageSetup paperSize="9" scale="10" orientation="portrait" r:id="rId1"/>
  <headerFooter alignWithMargins="0">
    <oddFooter>&amp;L&amp;D&amp;C&amp; Template: &amp;A
&amp;F_x000D_&amp;1#&amp;"Aptos"&amp;10&amp;K008000 APA-INTERNAL&amp;R&amp;P o&amp;Of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A0EC6-9B1F-4E71-989E-AF5298BE1392}">
  <sheetPr codeName="Sheet4">
    <tabColor rgb="FF17415D"/>
  </sheetPr>
  <dimension ref="A1:G48"/>
  <sheetViews>
    <sheetView showGridLines="0" topLeftCell="A2" zoomScaleNormal="100" workbookViewId="0">
      <pane xSplit="1" ySplit="5" topLeftCell="B7" activePane="bottomRight" state="frozen"/>
      <selection pane="topRight" activeCell="B2" sqref="B2"/>
      <selection pane="bottomLeft" activeCell="A7" sqref="A7"/>
      <selection pane="bottomRight"/>
    </sheetView>
  </sheetViews>
  <sheetFormatPr defaultRowHeight="12.75" x14ac:dyDescent="0.2"/>
  <cols>
    <col min="1" max="1" width="11.5703125" customWidth="1"/>
    <col min="2" max="2" width="69.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03" t="s">
        <v>68</v>
      </c>
      <c r="C1" s="103"/>
    </row>
    <row r="2" spans="1:7" ht="20.25" customHeight="1" x14ac:dyDescent="0.2">
      <c r="A2" s="4"/>
      <c r="B2" s="103" t="str">
        <f>IF(Tradingname=0," ",Tradingname)</f>
        <v>APA Reedy Creek Wallumbilla Pty Limited</v>
      </c>
      <c r="C2" s="103"/>
    </row>
    <row r="3" spans="1:7" ht="20.25" x14ac:dyDescent="0.3">
      <c r="B3" s="103" t="s">
        <v>46</v>
      </c>
      <c r="C3" s="80">
        <f>IF(Yearending=0, "01/01/2000", Yearending)</f>
        <v>45838</v>
      </c>
    </row>
    <row r="4" spans="1:7" ht="20.25" x14ac:dyDescent="0.2">
      <c r="B4" s="72" t="s">
        <v>49</v>
      </c>
      <c r="C4" s="72"/>
      <c r="F4" s="273"/>
      <c r="G4" s="273"/>
    </row>
    <row r="5" spans="1:7" x14ac:dyDescent="0.2">
      <c r="C5" s="273"/>
    </row>
    <row r="6" spans="1:7" ht="15.75" x14ac:dyDescent="0.25">
      <c r="B6" s="86" t="s">
        <v>69</v>
      </c>
      <c r="C6" s="85"/>
    </row>
    <row r="9" spans="1:7" x14ac:dyDescent="0.2">
      <c r="B9" s="23" t="s">
        <v>70</v>
      </c>
      <c r="C9" s="23" t="s">
        <v>71</v>
      </c>
    </row>
    <row r="10" spans="1:7" x14ac:dyDescent="0.2">
      <c r="B10" s="97" t="s">
        <v>72</v>
      </c>
      <c r="C10" s="99">
        <f>'2.1 Profit &amp; Loss by component'!$F$18</f>
        <v>10471180.735741159</v>
      </c>
    </row>
    <row r="11" spans="1:7" x14ac:dyDescent="0.2">
      <c r="B11" s="97" t="s">
        <v>73</v>
      </c>
      <c r="C11" s="99">
        <f>'2.1 Profit &amp; Loss by component'!$F$21</f>
        <v>0</v>
      </c>
    </row>
    <row r="12" spans="1:7" x14ac:dyDescent="0.2">
      <c r="B12" s="98" t="s">
        <v>74</v>
      </c>
      <c r="C12" s="99">
        <f>'2.1 Profit &amp; Loss by component'!$F$22</f>
        <v>10471180.735741159</v>
      </c>
    </row>
    <row r="13" spans="1:7" x14ac:dyDescent="0.2">
      <c r="B13" s="21" t="s">
        <v>75</v>
      </c>
      <c r="C13" s="99">
        <f>'2.1 Profit &amp; Loss by component'!$F$32</f>
        <v>3559392.6299999994</v>
      </c>
    </row>
    <row r="14" spans="1:7" x14ac:dyDescent="0.2">
      <c r="B14" s="22" t="s">
        <v>76</v>
      </c>
      <c r="C14" s="99">
        <f>'2.1 Profit &amp; Loss by component'!$F$43</f>
        <v>1435404.6386116217</v>
      </c>
    </row>
    <row r="15" spans="1:7" x14ac:dyDescent="0.2">
      <c r="B15" s="98" t="s">
        <v>77</v>
      </c>
      <c r="C15" s="99">
        <f>'2.1 Profit &amp; Loss by component'!$F$44</f>
        <v>4994797.2686116211</v>
      </c>
    </row>
    <row r="16" spans="1:7" x14ac:dyDescent="0.2">
      <c r="B16" s="98" t="s">
        <v>78</v>
      </c>
      <c r="C16" s="99">
        <f>'2.1 Profit &amp; Loss by component'!$F$45</f>
        <v>5476383.4671295378</v>
      </c>
    </row>
    <row r="17" spans="2:5" x14ac:dyDescent="0.2">
      <c r="B17" s="12"/>
      <c r="C17" s="12"/>
      <c r="D17" s="12"/>
      <c r="E17" s="12"/>
    </row>
    <row r="19" spans="2:5" x14ac:dyDescent="0.2">
      <c r="B19" s="23" t="s">
        <v>79</v>
      </c>
      <c r="C19" s="23" t="s">
        <v>80</v>
      </c>
    </row>
    <row r="20" spans="2:5" ht="15.75" x14ac:dyDescent="0.2">
      <c r="B20" s="64" t="s">
        <v>81</v>
      </c>
      <c r="C20" s="13">
        <f>'3.1 Depreciated Book Value'!$D$125</f>
        <v>69221816.825693309</v>
      </c>
    </row>
    <row r="21" spans="2:5" ht="15.75" x14ac:dyDescent="0.2">
      <c r="B21" s="64" t="s">
        <v>82</v>
      </c>
      <c r="C21" s="65">
        <f>IFERROR(C16/C20,0)</f>
        <v>7.9113547119393848E-2</v>
      </c>
    </row>
    <row r="22" spans="2:5" x14ac:dyDescent="0.2">
      <c r="B22" s="23" t="s">
        <v>83</v>
      </c>
      <c r="C22" s="23" t="s">
        <v>80</v>
      </c>
    </row>
    <row r="23" spans="2:5" ht="15.75" x14ac:dyDescent="0.2">
      <c r="B23" s="64" t="s">
        <v>81</v>
      </c>
      <c r="C23" s="13">
        <f>'3.2 Regulatory Asset Base'!$H$95</f>
        <v>0</v>
      </c>
    </row>
    <row r="24" spans="2:5" ht="15.75" x14ac:dyDescent="0.2">
      <c r="B24" s="64" t="s">
        <v>82</v>
      </c>
      <c r="C24" s="65">
        <f>IFERROR(C16/C23,0)</f>
        <v>0</v>
      </c>
    </row>
    <row r="25" spans="2:5" x14ac:dyDescent="0.2">
      <c r="B25" s="23" t="s">
        <v>84</v>
      </c>
      <c r="C25" s="23" t="s">
        <v>80</v>
      </c>
    </row>
    <row r="26" spans="2:5" ht="15.75" x14ac:dyDescent="0.2">
      <c r="B26" s="64" t="s">
        <v>85</v>
      </c>
      <c r="C26" s="99">
        <f>'4. Recovered Capital'!$E$29</f>
        <v>88300784.553588182</v>
      </c>
    </row>
    <row r="27" spans="2:5" ht="15.75" x14ac:dyDescent="0.2">
      <c r="B27" s="64" t="s">
        <v>82</v>
      </c>
      <c r="C27" s="65">
        <f>IFERROR(C16/INDEX('4. Recovered Capital'!$F$12:$BH$39,27,MATCH(VALUE(RIGHT(TEXT(C3,"dd/mm/yyyy"),4)),'4. Recovered Capital'!$F$12:$BH$12,0)),0)</f>
        <v>0.109347864208636</v>
      </c>
    </row>
    <row r="41" ht="27" customHeight="1" x14ac:dyDescent="0.2"/>
    <row r="48" ht="32.1" customHeight="1" x14ac:dyDescent="0.2"/>
  </sheetData>
  <sheetProtection sheet="1"/>
  <pageMargins left="0.7" right="0.7" top="0.75" bottom="0.75" header="0.3" footer="0.3"/>
  <pageSetup paperSize="9" orientation="portrait" r:id="rId1"/>
  <headerFooter>
    <oddFooter>&amp;C_x000D_&amp;1#&amp;"Aptos"&amp;10&amp;K008000 APA-INTERNAL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BF6CD-7573-48E9-9A43-B4DD503B15CB}">
  <sheetPr codeName="Sheet18">
    <tabColor rgb="FF17415D"/>
  </sheetPr>
  <dimension ref="B1:E60"/>
  <sheetViews>
    <sheetView zoomScale="60" zoomScaleNormal="6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169" customWidth="1"/>
    <col min="2" max="2" width="21" style="169" customWidth="1"/>
    <col min="3" max="5" width="42.42578125" style="169" customWidth="1"/>
    <col min="6" max="6" width="34.5703125" style="169" customWidth="1"/>
    <col min="7" max="7" width="44" style="169" customWidth="1"/>
    <col min="8" max="8" width="9.42578125" style="169"/>
    <col min="9" max="9" width="70.5703125" style="169" customWidth="1"/>
    <col min="10" max="10" width="108.5703125" style="169" bestFit="1" customWidth="1"/>
    <col min="11" max="16384" width="9.42578125" style="169"/>
  </cols>
  <sheetData>
    <row r="1" spans="2:5" ht="20.25" customHeight="1" x14ac:dyDescent="0.3">
      <c r="B1" s="103" t="s">
        <v>68</v>
      </c>
      <c r="C1" s="103"/>
      <c r="D1" s="168"/>
      <c r="E1" s="168"/>
    </row>
    <row r="2" spans="2:5" ht="20.25" x14ac:dyDescent="0.3">
      <c r="B2" s="103" t="str">
        <f>IF(Tradingname=0," ",Tradingname)</f>
        <v>APA Reedy Creek Wallumbilla Pty Limited</v>
      </c>
      <c r="C2" s="103"/>
      <c r="D2" s="170"/>
    </row>
    <row r="3" spans="2:5" ht="23.1" customHeight="1" x14ac:dyDescent="0.3">
      <c r="B3" s="103" t="s">
        <v>46</v>
      </c>
      <c r="C3" s="80">
        <f>IF(Yearending=0, "01/01/2000", Yearending)</f>
        <v>45838</v>
      </c>
    </row>
    <row r="4" spans="2:5" ht="20.25" x14ac:dyDescent="0.2">
      <c r="B4" s="72" t="s">
        <v>50</v>
      </c>
      <c r="C4" s="72"/>
    </row>
    <row r="7" spans="2:5" ht="15.75" x14ac:dyDescent="0.25">
      <c r="B7" s="171" t="s">
        <v>86</v>
      </c>
    </row>
    <row r="59" spans="2:5" ht="15.75" x14ac:dyDescent="0.25">
      <c r="B59" s="171" t="s">
        <v>87</v>
      </c>
      <c r="C59" s="274"/>
      <c r="D59" s="274"/>
      <c r="E59" s="274"/>
    </row>
    <row r="60" spans="2:5" ht="15.75" x14ac:dyDescent="0.25">
      <c r="B60" s="171"/>
      <c r="C60" s="274"/>
      <c r="D60" s="274"/>
      <c r="E60" s="274"/>
    </row>
  </sheetData>
  <sheetProtection sheet="1" objects="1" scenarios="1"/>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7C1CE-EEB3-4C67-8F47-B0E2DD4BD400}">
  <sheetPr codeName="Sheet19">
    <tabColor rgb="FF17415D"/>
  </sheetPr>
  <dimension ref="A1:G42"/>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defaultRowHeight="12.75" x14ac:dyDescent="0.2"/>
  <cols>
    <col min="1" max="1" width="11.5703125" customWidth="1"/>
    <col min="2" max="2" width="60.42578125" customWidth="1"/>
    <col min="3" max="3" width="38.5703125" customWidth="1"/>
    <col min="4" max="4" width="40.42578125" customWidth="1"/>
    <col min="5" max="5" width="55" customWidth="1"/>
    <col min="6" max="6" width="39.5703125" customWidth="1"/>
    <col min="7" max="7" width="38.42578125" customWidth="1"/>
    <col min="8" max="8" width="37.42578125" customWidth="1"/>
  </cols>
  <sheetData>
    <row r="1" spans="1:7" ht="20.25" x14ac:dyDescent="0.2">
      <c r="A1" s="4"/>
      <c r="B1" s="103" t="s">
        <v>68</v>
      </c>
      <c r="C1" s="103"/>
    </row>
    <row r="2" spans="1:7" ht="20.25" customHeight="1" x14ac:dyDescent="0.2">
      <c r="A2" s="4"/>
      <c r="B2" s="103" t="str">
        <f>IF(Tradingname=0," ",Tradingname)</f>
        <v>APA Reedy Creek Wallumbilla Pty Limited</v>
      </c>
      <c r="C2" s="103"/>
    </row>
    <row r="3" spans="1:7" ht="20.25" x14ac:dyDescent="0.3">
      <c r="B3" s="103" t="s">
        <v>46</v>
      </c>
      <c r="C3" s="80">
        <f>IF(Yearending=0, "01/01/2000", Yearending)</f>
        <v>45838</v>
      </c>
    </row>
    <row r="4" spans="1:7" ht="20.25" x14ac:dyDescent="0.2">
      <c r="B4" s="72" t="s">
        <v>51</v>
      </c>
      <c r="C4" s="72"/>
      <c r="F4" s="273"/>
      <c r="G4" s="273"/>
    </row>
    <row r="5" spans="1:7" x14ac:dyDescent="0.2">
      <c r="C5" s="273"/>
    </row>
    <row r="6" spans="1:7" ht="15.75" x14ac:dyDescent="0.25">
      <c r="B6" s="86" t="s">
        <v>69</v>
      </c>
      <c r="C6" s="85"/>
    </row>
    <row r="9" spans="1:7" x14ac:dyDescent="0.2">
      <c r="B9" s="23" t="s">
        <v>88</v>
      </c>
      <c r="C9" s="413" t="s">
        <v>89</v>
      </c>
      <c r="D9" s="414"/>
      <c r="E9" s="415" t="s">
        <v>90</v>
      </c>
    </row>
    <row r="10" spans="1:7" x14ac:dyDescent="0.2">
      <c r="B10" s="91"/>
      <c r="C10" s="89" t="s">
        <v>91</v>
      </c>
      <c r="D10" s="89" t="s">
        <v>92</v>
      </c>
      <c r="E10" s="416"/>
    </row>
    <row r="11" spans="1:7" x14ac:dyDescent="0.2">
      <c r="B11" s="91" t="s">
        <v>93</v>
      </c>
      <c r="C11" s="106">
        <f>IFERROR('6. Pricing template'!$G37,)</f>
        <v>3.632620420236192E-2</v>
      </c>
      <c r="D11" s="106">
        <f>IFERROR('6. Pricing template'!$G38,)</f>
        <v>4.4489532118555386E-2</v>
      </c>
      <c r="E11" s="107" t="s">
        <v>94</v>
      </c>
    </row>
    <row r="12" spans="1:7" ht="12.75" customHeight="1" x14ac:dyDescent="0.2">
      <c r="B12" s="91" t="s">
        <v>95</v>
      </c>
      <c r="C12" s="106">
        <f>IFERROR('6. Pricing template'!$G39,)</f>
        <v>0</v>
      </c>
      <c r="D12" s="106">
        <f>IFERROR('6. Pricing template'!$G40,)</f>
        <v>0</v>
      </c>
      <c r="E12" s="107" t="s">
        <v>94</v>
      </c>
    </row>
    <row r="13" spans="1:7" x14ac:dyDescent="0.2">
      <c r="B13" s="91" t="s">
        <v>96</v>
      </c>
      <c r="C13" s="106">
        <f>IFERROR('6. Pricing template'!$G41,)</f>
        <v>0</v>
      </c>
      <c r="D13" s="106">
        <f>IFERROR('6. Pricing template'!$G42,)</f>
        <v>0</v>
      </c>
      <c r="E13" s="107" t="s">
        <v>94</v>
      </c>
    </row>
    <row r="14" spans="1:7" x14ac:dyDescent="0.2">
      <c r="B14" s="91" t="s">
        <v>97</v>
      </c>
      <c r="C14" s="106">
        <f>IFERROR('6. Pricing template'!$G43,)</f>
        <v>0</v>
      </c>
      <c r="D14" s="106">
        <f>IFERROR('6. Pricing template'!$G44,)</f>
        <v>0</v>
      </c>
      <c r="E14" s="107" t="s">
        <v>94</v>
      </c>
    </row>
    <row r="15" spans="1:7" x14ac:dyDescent="0.2">
      <c r="B15" s="159" t="s">
        <v>98</v>
      </c>
      <c r="C15" s="106">
        <f>IFERROR('6. Pricing template'!$G45,)</f>
        <v>0</v>
      </c>
      <c r="D15" s="106">
        <f>IFERROR('6. Pricing template'!$G46,)</f>
        <v>0</v>
      </c>
      <c r="E15" s="107" t="s">
        <v>94</v>
      </c>
    </row>
    <row r="16" spans="1:7" ht="12.75" customHeight="1" x14ac:dyDescent="0.2">
      <c r="B16" s="91" t="s">
        <v>99</v>
      </c>
      <c r="C16" s="106">
        <f>IFERROR('6. Pricing template'!$G47,)</f>
        <v>0</v>
      </c>
      <c r="D16" s="106">
        <f>IFERROR('6. Pricing template'!$G48,)</f>
        <v>0</v>
      </c>
      <c r="E16" s="107" t="s">
        <v>94</v>
      </c>
    </row>
    <row r="17" spans="2:5" x14ac:dyDescent="0.2">
      <c r="B17" s="91" t="s">
        <v>100</v>
      </c>
      <c r="C17" s="106">
        <f>IFERROR('6. Pricing template'!$G49,)</f>
        <v>0</v>
      </c>
      <c r="D17" s="106">
        <f>IFERROR('6. Pricing template'!$G50,)</f>
        <v>0</v>
      </c>
      <c r="E17" s="107" t="s">
        <v>94</v>
      </c>
    </row>
    <row r="18" spans="2:5" x14ac:dyDescent="0.2">
      <c r="B18" s="91" t="s">
        <v>101</v>
      </c>
      <c r="C18" s="106">
        <f>IFERROR('6. Pricing template'!$G51,)</f>
        <v>0</v>
      </c>
      <c r="D18" s="106">
        <f>IFERROR('6. Pricing template'!$G52,)</f>
        <v>0</v>
      </c>
      <c r="E18" s="107" t="s">
        <v>102</v>
      </c>
    </row>
    <row r="19" spans="2:5" x14ac:dyDescent="0.2">
      <c r="B19" s="91" t="s">
        <v>103</v>
      </c>
      <c r="C19" s="106">
        <f>IFERROR('6. Pricing template'!$G53,)</f>
        <v>0</v>
      </c>
      <c r="D19" s="106">
        <f>IFERROR('6. Pricing template'!$G54,)</f>
        <v>0</v>
      </c>
      <c r="E19" s="107" t="s">
        <v>104</v>
      </c>
    </row>
    <row r="20" spans="2:5" x14ac:dyDescent="0.2">
      <c r="B20" s="91" t="s">
        <v>105</v>
      </c>
      <c r="C20" s="106">
        <f>IFERROR('6. Pricing template'!$G55,)</f>
        <v>0</v>
      </c>
      <c r="D20" s="106">
        <f>IFERROR('6. Pricing template'!$G56,)</f>
        <v>0</v>
      </c>
      <c r="E20" s="107"/>
    </row>
    <row r="35" ht="27" customHeight="1" x14ac:dyDescent="0.2"/>
    <row r="42" ht="32.1" customHeight="1" x14ac:dyDescent="0.2"/>
  </sheetData>
  <sheetProtection sheet="1" objects="1" scenarios="1"/>
  <mergeCells count="2">
    <mergeCell ref="C9:D9"/>
    <mergeCell ref="E9:E10"/>
  </mergeCells>
  <pageMargins left="0.7" right="0.7" top="0.75" bottom="0.75" header="0.3" footer="0.3"/>
  <pageSetup paperSize="9" orientation="portrait" r:id="rId1"/>
  <headerFooter>
    <oddFooter>&amp;C_x000D_&amp;1#&amp;"Aptos"&amp;10&amp;K008000 APA-INTERNAL</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63EC8-5F73-4D56-99C3-028E44503DEB}">
  <sheetPr codeName="Sheet5">
    <tabColor rgb="FF17415D"/>
  </sheetPr>
  <dimension ref="B1:F42"/>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4" width="42.5703125" style="4" customWidth="1"/>
    <col min="5" max="5" width="10.5703125" style="4" customWidth="1"/>
    <col min="6" max="8" width="19.5703125" style="4" customWidth="1"/>
    <col min="9" max="9" width="18.42578125" style="4" customWidth="1"/>
    <col min="10" max="16384" width="9.42578125" style="4"/>
  </cols>
  <sheetData>
    <row r="1" spans="2:6" ht="23.1" customHeight="1" x14ac:dyDescent="0.45">
      <c r="B1" s="103" t="s">
        <v>68</v>
      </c>
      <c r="C1" s="103"/>
      <c r="D1" s="202"/>
    </row>
    <row r="2" spans="2:6" ht="20.25" x14ac:dyDescent="0.2">
      <c r="B2" s="103" t="str">
        <f>IF(Tradingname=0," ",Tradingname)</f>
        <v>APA Reedy Creek Wallumbilla Pty Limited</v>
      </c>
      <c r="C2" s="103"/>
    </row>
    <row r="3" spans="2:6" ht="20.25" x14ac:dyDescent="0.3">
      <c r="B3" s="103" t="s">
        <v>46</v>
      </c>
      <c r="C3" s="80">
        <f>IF(Yearending=0, "01/01/2000", Yearending)</f>
        <v>45838</v>
      </c>
    </row>
    <row r="4" spans="2:6" ht="20.25" x14ac:dyDescent="0.2">
      <c r="B4" s="72" t="s">
        <v>106</v>
      </c>
      <c r="C4" s="72"/>
    </row>
    <row r="5" spans="2:6" ht="20.25" x14ac:dyDescent="0.3">
      <c r="B5" s="203"/>
    </row>
    <row r="6" spans="2:6" ht="20.25" x14ac:dyDescent="0.3">
      <c r="B6" s="203"/>
    </row>
    <row r="7" spans="2:6" ht="15.75" x14ac:dyDescent="0.25">
      <c r="B7" s="175" t="s">
        <v>107</v>
      </c>
    </row>
    <row r="8" spans="2:6" x14ac:dyDescent="0.2">
      <c r="B8" s="176"/>
      <c r="C8" s="275"/>
      <c r="D8" s="275"/>
      <c r="E8" s="276"/>
      <c r="F8" s="277"/>
    </row>
    <row r="9" spans="2:6" ht="14.1" customHeight="1" x14ac:dyDescent="0.2">
      <c r="B9" s="24" t="s">
        <v>108</v>
      </c>
      <c r="C9" s="278" t="s">
        <v>672</v>
      </c>
    </row>
    <row r="10" spans="2:6" ht="14.1" customHeight="1" x14ac:dyDescent="0.2">
      <c r="B10" s="24" t="s">
        <v>109</v>
      </c>
      <c r="C10" s="279">
        <v>48.5</v>
      </c>
    </row>
    <row r="11" spans="2:6" ht="14.1" customHeight="1" x14ac:dyDescent="0.2">
      <c r="B11" s="24" t="s">
        <v>110</v>
      </c>
      <c r="C11" s="280">
        <v>2</v>
      </c>
    </row>
    <row r="12" spans="2:6" ht="14.1" customHeight="1" x14ac:dyDescent="0.2">
      <c r="B12" s="24" t="s">
        <v>111</v>
      </c>
      <c r="C12" s="280" t="s">
        <v>112</v>
      </c>
    </row>
    <row r="13" spans="2:6" ht="25.5" x14ac:dyDescent="0.2">
      <c r="B13" s="24" t="s">
        <v>113</v>
      </c>
      <c r="C13" s="353" t="s">
        <v>892</v>
      </c>
    </row>
    <row r="14" spans="2:6" ht="14.1" customHeight="1" x14ac:dyDescent="0.2">
      <c r="B14" s="24" t="s">
        <v>114</v>
      </c>
      <c r="C14" s="281">
        <v>43231</v>
      </c>
    </row>
    <row r="15" spans="2:6" ht="14.1" customHeight="1" x14ac:dyDescent="0.2">
      <c r="B15" s="24" t="str">
        <f>IF(Cover!C23="Scheme pipeline", "Date opening RAB established","")</f>
        <v/>
      </c>
      <c r="C15" s="281"/>
    </row>
    <row r="16" spans="2:6" ht="14.1" customHeight="1" x14ac:dyDescent="0.2">
      <c r="B16" s="24" t="str">
        <f>IF(Cover!C23="Scheme pipeline", "Open RAB value on date established","")</f>
        <v/>
      </c>
      <c r="C16" s="282"/>
    </row>
    <row r="18" spans="2:4" ht="15.75" x14ac:dyDescent="0.25">
      <c r="B18" s="175" t="s">
        <v>115</v>
      </c>
    </row>
    <row r="20" spans="2:4" ht="51" customHeight="1" x14ac:dyDescent="0.2">
      <c r="B20" s="104" t="s">
        <v>116</v>
      </c>
      <c r="C20" s="87" t="s">
        <v>117</v>
      </c>
      <c r="D20" s="87" t="s">
        <v>118</v>
      </c>
    </row>
    <row r="21" spans="2:4" ht="14.25" x14ac:dyDescent="0.2">
      <c r="B21" s="26" t="s">
        <v>119</v>
      </c>
      <c r="C21" s="204"/>
      <c r="D21" s="204"/>
    </row>
    <row r="22" spans="2:4" x14ac:dyDescent="0.2">
      <c r="B22" s="27" t="s">
        <v>93</v>
      </c>
      <c r="C22" s="283" t="s">
        <v>120</v>
      </c>
      <c r="D22" s="283" t="s">
        <v>25</v>
      </c>
    </row>
    <row r="23" spans="2:4" x14ac:dyDescent="0.2">
      <c r="B23" s="27" t="s">
        <v>121</v>
      </c>
      <c r="C23" s="283" t="s">
        <v>25</v>
      </c>
      <c r="D23" s="283" t="s">
        <v>25</v>
      </c>
    </row>
    <row r="24" spans="2:4" ht="25.5" x14ac:dyDescent="0.2">
      <c r="B24" s="27" t="s">
        <v>96</v>
      </c>
      <c r="C24" s="283" t="s">
        <v>120</v>
      </c>
      <c r="D24" s="283" t="s">
        <v>25</v>
      </c>
    </row>
    <row r="25" spans="2:4" ht="14.25" x14ac:dyDescent="0.2">
      <c r="B25" s="28" t="s">
        <v>122</v>
      </c>
      <c r="C25" s="204"/>
      <c r="D25" s="204"/>
    </row>
    <row r="26" spans="2:4" x14ac:dyDescent="0.2">
      <c r="B26" s="29" t="s">
        <v>97</v>
      </c>
      <c r="C26" s="283" t="s">
        <v>25</v>
      </c>
      <c r="D26" s="283" t="s">
        <v>25</v>
      </c>
    </row>
    <row r="27" spans="2:4" ht="25.5" x14ac:dyDescent="0.2">
      <c r="B27" s="30" t="s">
        <v>98</v>
      </c>
      <c r="C27" s="283" t="s">
        <v>25</v>
      </c>
      <c r="D27" s="283" t="s">
        <v>25</v>
      </c>
    </row>
    <row r="28" spans="2:4" ht="14.25" x14ac:dyDescent="0.2">
      <c r="B28" s="28" t="s">
        <v>123</v>
      </c>
      <c r="C28" s="204"/>
      <c r="D28" s="204"/>
    </row>
    <row r="29" spans="2:4" x14ac:dyDescent="0.2">
      <c r="B29" s="27" t="s">
        <v>124</v>
      </c>
      <c r="C29" s="283" t="s">
        <v>25</v>
      </c>
      <c r="D29" s="283" t="s">
        <v>25</v>
      </c>
    </row>
    <row r="30" spans="2:4" x14ac:dyDescent="0.2">
      <c r="B30" s="27" t="s">
        <v>100</v>
      </c>
      <c r="C30" s="283" t="s">
        <v>25</v>
      </c>
      <c r="D30" s="283" t="s">
        <v>25</v>
      </c>
    </row>
    <row r="31" spans="2:4" ht="14.25" x14ac:dyDescent="0.2">
      <c r="B31" s="26" t="s">
        <v>125</v>
      </c>
      <c r="C31" s="204"/>
      <c r="D31" s="204"/>
    </row>
    <row r="32" spans="2:4" x14ac:dyDescent="0.2">
      <c r="B32" s="27" t="s">
        <v>101</v>
      </c>
      <c r="C32" s="283" t="s">
        <v>120</v>
      </c>
      <c r="D32" s="283" t="s">
        <v>25</v>
      </c>
    </row>
    <row r="33" spans="2:4" x14ac:dyDescent="0.2">
      <c r="B33" s="27" t="s">
        <v>103</v>
      </c>
      <c r="C33" s="283" t="s">
        <v>120</v>
      </c>
      <c r="D33" s="283" t="s">
        <v>25</v>
      </c>
    </row>
    <row r="34" spans="2:4" ht="14.25" x14ac:dyDescent="0.2">
      <c r="B34" s="26" t="s">
        <v>126</v>
      </c>
      <c r="C34" s="204"/>
      <c r="D34" s="204"/>
    </row>
    <row r="35" spans="2:4" x14ac:dyDescent="0.2">
      <c r="B35" s="284" t="s">
        <v>127</v>
      </c>
      <c r="C35" s="285" t="s">
        <v>120</v>
      </c>
      <c r="D35" s="285" t="s">
        <v>25</v>
      </c>
    </row>
    <row r="36" spans="2:4" x14ac:dyDescent="0.2">
      <c r="B36" s="284" t="s">
        <v>128</v>
      </c>
      <c r="C36" s="285"/>
      <c r="D36" s="285"/>
    </row>
    <row r="37" spans="2:4" x14ac:dyDescent="0.2">
      <c r="B37" s="284" t="s">
        <v>128</v>
      </c>
      <c r="C37" s="285"/>
      <c r="D37" s="285"/>
    </row>
    <row r="38" spans="2:4" x14ac:dyDescent="0.2">
      <c r="B38" s="284" t="s">
        <v>128</v>
      </c>
      <c r="C38" s="285"/>
      <c r="D38" s="285"/>
    </row>
    <row r="39" spans="2:4" x14ac:dyDescent="0.2">
      <c r="B39" s="284" t="s">
        <v>128</v>
      </c>
      <c r="C39" s="285"/>
      <c r="D39" s="285"/>
    </row>
    <row r="40" spans="2:4" x14ac:dyDescent="0.2">
      <c r="B40" s="284" t="s">
        <v>128</v>
      </c>
      <c r="C40" s="285"/>
      <c r="D40" s="285"/>
    </row>
    <row r="41" spans="2:4" x14ac:dyDescent="0.2">
      <c r="B41" s="284" t="s">
        <v>128</v>
      </c>
      <c r="C41" s="285"/>
      <c r="D41" s="285"/>
    </row>
    <row r="42" spans="2:4" x14ac:dyDescent="0.2">
      <c r="B42" s="284" t="s">
        <v>128</v>
      </c>
      <c r="C42" s="285"/>
      <c r="D42" s="285"/>
    </row>
  </sheetData>
  <sheetProtection sheet="1" insertRows="0"/>
  <dataValidations count="2">
    <dataValidation type="list" allowBlank="1" showInputMessage="1" showErrorMessage="1" sqref="C12" xr:uid="{C56839F1-7EE3-4DF3-B624-2F1E54FAF178}">
      <formula1>"Distribution,Transmission"</formula1>
    </dataValidation>
    <dataValidation type="list" allowBlank="1" showInputMessage="1" showErrorMessage="1" sqref="C22:D24 C26:D27 C29:D30 C32:D33" xr:uid="{6A43F905-A7E2-4E67-A618-D9CCEADE09BD}">
      <formula1>"Yes,No"</formula1>
    </dataValidation>
  </dataValidations>
  <pageMargins left="0.75" right="0.75" top="1" bottom="1" header="0.5" footer="0.5"/>
  <pageSetup paperSize="9" scale="59" orientation="landscape" r:id="rId1"/>
  <headerFooter alignWithMargins="0">
    <oddFooter>&amp;C_x000D_&amp;1#&amp;"Aptos"&amp;10&amp;K008000 APA-INTERNAL</oddFoot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872DA4-AA63-4B30-AE85-1568406AD3FC}">
  <sheetPr codeName="Sheet2">
    <tabColor rgb="FF17415D"/>
    <pageSetUpPr fitToPage="1"/>
  </sheetPr>
  <dimension ref="B1:G22"/>
  <sheetViews>
    <sheetView zoomScale="87" zoomScaleNormal="87"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9.42578125" style="4" customWidth="1"/>
    <col min="3" max="3" width="55.5703125" style="4" customWidth="1"/>
    <col min="4" max="4" width="30.5703125" style="4" customWidth="1"/>
    <col min="5" max="5" width="55.5703125" style="4" customWidth="1"/>
    <col min="6" max="7" width="30.5703125" style="4" customWidth="1"/>
    <col min="8" max="16384" width="9.42578125" style="4"/>
  </cols>
  <sheetData>
    <row r="1" spans="2:7" ht="20.25" x14ac:dyDescent="0.3">
      <c r="B1" s="103" t="s">
        <v>68</v>
      </c>
      <c r="C1" s="103"/>
      <c r="D1" s="168"/>
      <c r="E1" s="168"/>
      <c r="F1" s="168"/>
      <c r="G1" s="168"/>
    </row>
    <row r="2" spans="2:7" ht="18" customHeight="1" x14ac:dyDescent="0.45">
      <c r="B2" s="103" t="str">
        <f>IF(Tradingname=0," ",Tradingname)</f>
        <v>APA Reedy Creek Wallumbilla Pty Limited</v>
      </c>
      <c r="C2" s="103"/>
      <c r="G2" s="202"/>
    </row>
    <row r="3" spans="2:7" ht="20.25" x14ac:dyDescent="0.3">
      <c r="B3" s="103" t="s">
        <v>46</v>
      </c>
      <c r="C3" s="80">
        <f>IF(Yearending=0, "01/01/2000", Yearending)</f>
        <v>45838</v>
      </c>
    </row>
    <row r="4" spans="2:7" ht="20.25" x14ac:dyDescent="0.2">
      <c r="B4" s="72" t="s">
        <v>129</v>
      </c>
      <c r="C4" s="72"/>
      <c r="E4" s="286"/>
    </row>
    <row r="7" spans="2:7" ht="15.75" x14ac:dyDescent="0.2">
      <c r="B7" s="205" t="s">
        <v>130</v>
      </c>
      <c r="C7" s="205"/>
      <c r="D7" s="156"/>
      <c r="E7" s="156"/>
      <c r="F7" s="156"/>
      <c r="G7" s="156"/>
    </row>
    <row r="8" spans="2:7" x14ac:dyDescent="0.2">
      <c r="B8" s="206"/>
      <c r="C8" s="207"/>
      <c r="D8" s="208"/>
      <c r="E8" s="156"/>
      <c r="F8" s="156"/>
      <c r="G8" s="156"/>
    </row>
    <row r="9" spans="2:7" ht="25.5" x14ac:dyDescent="0.2">
      <c r="B9" s="46" t="s">
        <v>131</v>
      </c>
      <c r="C9" s="209" t="s">
        <v>132</v>
      </c>
      <c r="D9" s="179" t="s">
        <v>71</v>
      </c>
      <c r="E9" s="209" t="s">
        <v>132</v>
      </c>
      <c r="F9" s="179" t="s">
        <v>71</v>
      </c>
      <c r="G9" s="46" t="s">
        <v>133</v>
      </c>
    </row>
    <row r="10" spans="2:7" x14ac:dyDescent="0.2">
      <c r="B10" s="210"/>
      <c r="C10" s="211"/>
      <c r="D10" s="90" t="s">
        <v>134</v>
      </c>
      <c r="E10" s="211"/>
      <c r="F10" s="90" t="s">
        <v>134</v>
      </c>
      <c r="G10" s="90" t="s">
        <v>134</v>
      </c>
    </row>
    <row r="11" spans="2:7" x14ac:dyDescent="0.2">
      <c r="B11" s="287" t="s">
        <v>135</v>
      </c>
      <c r="C11" s="212" t="s">
        <v>136</v>
      </c>
      <c r="D11" s="90"/>
      <c r="E11" s="212" t="s">
        <v>137</v>
      </c>
      <c r="F11" s="90"/>
      <c r="G11" s="90"/>
    </row>
    <row r="12" spans="2:7" x14ac:dyDescent="0.2">
      <c r="B12" s="288"/>
      <c r="C12" s="91" t="s">
        <v>93</v>
      </c>
      <c r="D12" s="238">
        <f>IF('2.2 Allocation to services'!G13+'2.2 Allocation to services'!G25+'2.2 Allocation to services'!G37=0, ,'2.2 Allocation to services'!G13+'2.2 Allocation to services'!G25+'2.2 Allocation to services'!G37)</f>
        <v>10177177.079984827</v>
      </c>
      <c r="E12" s="91" t="s">
        <v>93</v>
      </c>
      <c r="F12" s="238">
        <f>IF('2.2 Allocation to services'!G56+'2.2 Allocation to services'!G68+'2.2 Allocation to services'!G80=0, ,'2.2 Allocation to services'!G56+'2.2 Allocation to services'!G68+'2.2 Allocation to services'!G80)</f>
        <v>4854556.2877906924</v>
      </c>
      <c r="G12" s="238">
        <f>D12-ABS(F12)</f>
        <v>5322620.7921941346</v>
      </c>
    </row>
    <row r="13" spans="2:7" x14ac:dyDescent="0.2">
      <c r="B13" s="288"/>
      <c r="C13" s="91" t="s">
        <v>95</v>
      </c>
      <c r="D13" s="238">
        <f>IF('2.2 Allocation to services'!G14+'2.2 Allocation to services'!G26+'2.2 Allocation to services'!G38=0, ,'2.2 Allocation to services'!G14+'2.2 Allocation to services'!G26+'2.2 Allocation to services'!G38)</f>
        <v>0</v>
      </c>
      <c r="E13" s="91" t="s">
        <v>95</v>
      </c>
      <c r="F13" s="238">
        <f>IF('2.2 Allocation to services'!G57+'2.2 Allocation to services'!G69+'2.2 Allocation to services'!G81=0, ,'2.2 Allocation to services'!G57+'2.2 Allocation to services'!G69+'2.2 Allocation to services'!G81)</f>
        <v>0</v>
      </c>
      <c r="G13" s="238">
        <f t="shared" ref="G13:G22" si="0">D13-ABS(F13)</f>
        <v>0</v>
      </c>
    </row>
    <row r="14" spans="2:7" x14ac:dyDescent="0.2">
      <c r="B14" s="288"/>
      <c r="C14" s="91" t="s">
        <v>96</v>
      </c>
      <c r="D14" s="238">
        <f>IF('2.2 Allocation to services'!G15+'2.2 Allocation to services'!G27+'2.2 Allocation to services'!G39=0, ,'2.2 Allocation to services'!G15+'2.2 Allocation to services'!G27+'2.2 Allocation to services'!G39)</f>
        <v>211679.83355433357</v>
      </c>
      <c r="E14" s="91" t="s">
        <v>96</v>
      </c>
      <c r="F14" s="238">
        <f>IF('2.2 Allocation to services'!G58+'2.2 Allocation to services'!G70+'2.2 Allocation to services'!G82=0, ,'2.2 Allocation to services'!G58+'2.2 Allocation to services'!G70+'2.2 Allocation to services'!G82)</f>
        <v>100972.17125175631</v>
      </c>
      <c r="G14" s="238">
        <f t="shared" si="0"/>
        <v>110707.66230257726</v>
      </c>
    </row>
    <row r="15" spans="2:7" x14ac:dyDescent="0.2">
      <c r="B15" s="288"/>
      <c r="C15" s="91" t="s">
        <v>97</v>
      </c>
      <c r="D15" s="238">
        <f>IF('2.2 Allocation to services'!G16+'2.2 Allocation to services'!G28+'2.2 Allocation to services'!G40=0, ,'2.2 Allocation to services'!G16+'2.2 Allocation to services'!G28+'2.2 Allocation to services'!G40)</f>
        <v>0</v>
      </c>
      <c r="E15" s="91" t="s">
        <v>97</v>
      </c>
      <c r="F15" s="238">
        <f>IF('2.2 Allocation to services'!G59+'2.2 Allocation to services'!G71+'2.2 Allocation to services'!G83=0, ,'2.2 Allocation to services'!G59+'2.2 Allocation to services'!G71+'2.2 Allocation to services'!G83)</f>
        <v>0</v>
      </c>
      <c r="G15" s="238">
        <f t="shared" si="0"/>
        <v>0</v>
      </c>
    </row>
    <row r="16" spans="2:7" x14ac:dyDescent="0.2">
      <c r="B16" s="288"/>
      <c r="C16" s="159" t="s">
        <v>98</v>
      </c>
      <c r="D16" s="238">
        <f>IF('2.2 Allocation to services'!G17+'2.2 Allocation to services'!G29+'2.2 Allocation to services'!G41=0, ,'2.2 Allocation to services'!G17+'2.2 Allocation to services'!G29+'2.2 Allocation to services'!G41)</f>
        <v>0</v>
      </c>
      <c r="E16" s="159" t="s">
        <v>98</v>
      </c>
      <c r="F16" s="238">
        <f>IF('2.2 Allocation to services'!G60+'2.2 Allocation to services'!G72+'2.2 Allocation to services'!G84=0, ,'2.2 Allocation to services'!G60+'2.2 Allocation to services'!G72+'2.2 Allocation to services'!G84)</f>
        <v>0</v>
      </c>
      <c r="G16" s="238">
        <f t="shared" si="0"/>
        <v>0</v>
      </c>
    </row>
    <row r="17" spans="2:7" x14ac:dyDescent="0.2">
      <c r="B17" s="288"/>
      <c r="C17" s="91" t="s">
        <v>99</v>
      </c>
      <c r="D17" s="238">
        <f>IF('2.2 Allocation to services'!G18+'2.2 Allocation to services'!G30+'2.2 Allocation to services'!G42=0, ,'2.2 Allocation to services'!G18+'2.2 Allocation to services'!G30+'2.2 Allocation to services'!G42)</f>
        <v>0</v>
      </c>
      <c r="E17" s="91" t="s">
        <v>99</v>
      </c>
      <c r="F17" s="238">
        <f>IF('2.2 Allocation to services'!G61+'2.2 Allocation to services'!G73+'2.2 Allocation to services'!G85=0, ,'2.2 Allocation to services'!G61+'2.2 Allocation to services'!G73+'2.2 Allocation to services'!G85)</f>
        <v>0</v>
      </c>
      <c r="G17" s="238">
        <f t="shared" si="0"/>
        <v>0</v>
      </c>
    </row>
    <row r="18" spans="2:7" x14ac:dyDescent="0.2">
      <c r="B18" s="288"/>
      <c r="C18" s="91" t="s">
        <v>100</v>
      </c>
      <c r="D18" s="238">
        <f>IF('2.2 Allocation to services'!G19+'2.2 Allocation to services'!G31+'2.2 Allocation to services'!G43=0, ,'2.2 Allocation to services'!G19+'2.2 Allocation to services'!G31+'2.2 Allocation to services'!G43)</f>
        <v>0</v>
      </c>
      <c r="E18" s="91" t="s">
        <v>100</v>
      </c>
      <c r="F18" s="238">
        <f>IF('2.2 Allocation to services'!G62+'2.2 Allocation to services'!G74+'2.2 Allocation to services'!G86=0, ,'2.2 Allocation to services'!G62+'2.2 Allocation to services'!G74+'2.2 Allocation to services'!G86)</f>
        <v>0</v>
      </c>
      <c r="G18" s="238">
        <f t="shared" si="0"/>
        <v>0</v>
      </c>
    </row>
    <row r="19" spans="2:7" x14ac:dyDescent="0.2">
      <c r="B19" s="288"/>
      <c r="C19" s="91" t="s">
        <v>101</v>
      </c>
      <c r="D19" s="238">
        <f>IF('2.2 Allocation to services'!G20+'2.2 Allocation to services'!G32+'2.2 Allocation to services'!G44=0, ,'2.2 Allocation to services'!G20+'2.2 Allocation to services'!G32+'2.2 Allocation to services'!G44)</f>
        <v>1004.3118106771674</v>
      </c>
      <c r="E19" s="91" t="s">
        <v>101</v>
      </c>
      <c r="F19" s="238">
        <f>IF('2.2 Allocation to services'!G63+'2.2 Allocation to services'!G75+'2.2 Allocation to services'!G87=0, ,'2.2 Allocation to services'!G63+'2.2 Allocation to services'!G75+'2.2 Allocation to services'!G87)</f>
        <v>479.06095935127098</v>
      </c>
      <c r="G19" s="238">
        <f t="shared" si="0"/>
        <v>525.25085132589641</v>
      </c>
    </row>
    <row r="20" spans="2:7" x14ac:dyDescent="0.2">
      <c r="B20" s="288"/>
      <c r="C20" s="91" t="s">
        <v>103</v>
      </c>
      <c r="D20" s="238">
        <f>IF('2.2 Allocation to services'!G21+'2.2 Allocation to services'!G33+'2.2 Allocation to services'!G45=0, ,'2.2 Allocation to services'!G21+'2.2 Allocation to services'!G33+'2.2 Allocation to services'!G45)</f>
        <v>14474.382666275087</v>
      </c>
      <c r="E20" s="91" t="s">
        <v>103</v>
      </c>
      <c r="F20" s="238">
        <f>IF('2.2 Allocation to services'!G64+'2.2 Allocation to services'!G76+'2.2 Allocation to services'!G88=0, ,'2.2 Allocation to services'!G64+'2.2 Allocation to services'!G76+'2.2 Allocation to services'!G88)</f>
        <v>6904.3414330134738</v>
      </c>
      <c r="G20" s="238">
        <f t="shared" si="0"/>
        <v>7570.0412332616133</v>
      </c>
    </row>
    <row r="21" spans="2:7" x14ac:dyDescent="0.2">
      <c r="B21" s="288"/>
      <c r="C21" s="91" t="s">
        <v>105</v>
      </c>
      <c r="D21" s="238">
        <f>IF('2.2 Allocation to services'!G22+'2.2 Allocation to services'!G34+'2.2 Allocation to services'!G46=0, ,'2.2 Allocation to services'!G22+'2.2 Allocation to services'!G34+'2.2 Allocation to services'!G46)</f>
        <v>66845.127725047394</v>
      </c>
      <c r="E21" s="91" t="s">
        <v>105</v>
      </c>
      <c r="F21" s="238">
        <f>IF('2.2 Allocation to services'!G65+'2.2 Allocation to services'!G77+'2.2 Allocation to services'!G89=0, ,'2.2 Allocation to services'!G65+'2.2 Allocation to services'!G77+'2.2 Allocation to services'!G89)</f>
        <v>31885.407176808658</v>
      </c>
      <c r="G21" s="238">
        <f t="shared" si="0"/>
        <v>34959.720548238736</v>
      </c>
    </row>
    <row r="22" spans="2:7" x14ac:dyDescent="0.2">
      <c r="B22" s="288"/>
      <c r="C22" s="213" t="s">
        <v>138</v>
      </c>
      <c r="D22" s="238">
        <f t="array" ref="D22">SUM(IF(ISNA(D12:D21),0,D12:D21))</f>
        <v>10471180.735741161</v>
      </c>
      <c r="E22" s="213" t="s">
        <v>139</v>
      </c>
      <c r="F22" s="238">
        <f t="array" ref="F22">SUM(IF(ISNA(F12:F21),0,F12:F21))</f>
        <v>4994797.268611622</v>
      </c>
      <c r="G22" s="238">
        <f t="shared" si="0"/>
        <v>5476383.4671295388</v>
      </c>
    </row>
  </sheetData>
  <sheetProtection sheet="1"/>
  <phoneticPr fontId="29" type="noConversion"/>
  <conditionalFormatting sqref="D12:D22 F12:G22">
    <cfRule type="containsErrors" dxfId="83" priority="1" stopIfTrue="1">
      <formula>ISERROR(D12)</formula>
    </cfRule>
  </conditionalFormatting>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5F173D-8F03-4012-A070-8B3C7CA4CDC1}">
  <sheetPr codeName="Sheet22">
    <tabColor rgb="FF17415D"/>
    <pageSetUpPr fitToPage="1"/>
  </sheetPr>
  <dimension ref="B1:I115"/>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43" style="4" bestFit="1" customWidth="1"/>
    <col min="4" max="9" width="20.5703125" style="4" customWidth="1"/>
    <col min="10" max="16384" width="9.42578125" style="4"/>
  </cols>
  <sheetData>
    <row r="1" spans="2:9" ht="20.25" x14ac:dyDescent="0.2">
      <c r="B1" s="103" t="s">
        <v>68</v>
      </c>
      <c r="C1" s="103"/>
    </row>
    <row r="2" spans="2:9" ht="20.25" customHeight="1" x14ac:dyDescent="0.2">
      <c r="B2" s="103" t="str">
        <f>IF(Tradingname=0," ",Tradingname)</f>
        <v>APA Reedy Creek Wallumbilla Pty Limited</v>
      </c>
      <c r="C2" s="103"/>
    </row>
    <row r="3" spans="2:9" ht="20.25" x14ac:dyDescent="0.3">
      <c r="B3" s="103" t="s">
        <v>46</v>
      </c>
      <c r="C3" s="80">
        <f>IF(Yearending=0, "01/01/2000", Yearending)</f>
        <v>45838</v>
      </c>
    </row>
    <row r="4" spans="2:9" ht="20.25" x14ac:dyDescent="0.2">
      <c r="B4" s="72" t="s">
        <v>140</v>
      </c>
      <c r="C4" s="72"/>
    </row>
    <row r="7" spans="2:9" ht="21" customHeight="1" x14ac:dyDescent="0.2">
      <c r="B7" s="205" t="s">
        <v>141</v>
      </c>
    </row>
    <row r="8" spans="2:9" x14ac:dyDescent="0.2">
      <c r="B8" s="176"/>
      <c r="C8" s="289"/>
    </row>
    <row r="9" spans="2:9" ht="21" customHeight="1" x14ac:dyDescent="0.2">
      <c r="B9" s="417" t="s">
        <v>142</v>
      </c>
      <c r="C9" s="418"/>
      <c r="D9" s="418"/>
      <c r="E9" s="418"/>
      <c r="F9" s="418"/>
      <c r="G9" s="419" t="s">
        <v>143</v>
      </c>
      <c r="H9" s="420"/>
      <c r="I9" s="420"/>
    </row>
    <row r="10" spans="2:9" ht="51" customHeight="1" x14ac:dyDescent="0.2">
      <c r="B10" s="31" t="s">
        <v>131</v>
      </c>
      <c r="C10" s="25" t="s">
        <v>132</v>
      </c>
      <c r="D10" s="179" t="s">
        <v>144</v>
      </c>
      <c r="E10" s="179" t="s">
        <v>145</v>
      </c>
      <c r="F10" s="32" t="s">
        <v>71</v>
      </c>
      <c r="G10" s="179" t="s">
        <v>144</v>
      </c>
      <c r="H10" s="179" t="s">
        <v>145</v>
      </c>
      <c r="I10" s="32" t="s">
        <v>71</v>
      </c>
    </row>
    <row r="11" spans="2:9" x14ac:dyDescent="0.2">
      <c r="B11" s="31"/>
      <c r="C11" s="25"/>
      <c r="D11" s="33" t="s">
        <v>134</v>
      </c>
      <c r="E11" s="33" t="s">
        <v>134</v>
      </c>
      <c r="F11" s="33" t="s">
        <v>134</v>
      </c>
      <c r="G11" s="33" t="s">
        <v>134</v>
      </c>
      <c r="H11" s="33" t="s">
        <v>134</v>
      </c>
      <c r="I11" s="33" t="s">
        <v>134</v>
      </c>
    </row>
    <row r="12" spans="2:9" x14ac:dyDescent="0.2">
      <c r="B12" s="265" t="s">
        <v>146</v>
      </c>
      <c r="C12" s="87" t="s">
        <v>147</v>
      </c>
      <c r="D12" s="33"/>
      <c r="E12" s="33"/>
      <c r="F12" s="33"/>
      <c r="G12" s="33"/>
      <c r="H12" s="33"/>
      <c r="I12" s="33"/>
    </row>
    <row r="13" spans="2:9" x14ac:dyDescent="0.2">
      <c r="B13" s="265" t="s">
        <v>146</v>
      </c>
      <c r="C13" s="94" t="s">
        <v>148</v>
      </c>
      <c r="D13" s="290">
        <v>10468972.349999998</v>
      </c>
      <c r="E13" s="290">
        <v>0</v>
      </c>
      <c r="F13" s="291">
        <f>SUM(D13:E13)</f>
        <v>10468972.349999998</v>
      </c>
      <c r="G13" s="290">
        <v>9561265.5700000003</v>
      </c>
      <c r="H13" s="290">
        <v>0</v>
      </c>
      <c r="I13" s="291">
        <f>SUM(G13:H13)</f>
        <v>9561265.5700000003</v>
      </c>
    </row>
    <row r="14" spans="2:9" x14ac:dyDescent="0.2">
      <c r="B14" s="265" t="s">
        <v>146</v>
      </c>
      <c r="C14" s="94" t="s">
        <v>149</v>
      </c>
      <c r="D14" s="291">
        <f>'2.3 Revenue contributions '!C17</f>
        <v>0</v>
      </c>
      <c r="E14" s="291">
        <f>'2.3 Revenue contributions '!D17</f>
        <v>0</v>
      </c>
      <c r="F14" s="291">
        <f>SUM(D14:E14)</f>
        <v>0</v>
      </c>
      <c r="G14" s="290">
        <v>0</v>
      </c>
      <c r="H14" s="290">
        <v>0</v>
      </c>
      <c r="I14" s="291">
        <f>SUM(G14:H14)</f>
        <v>0</v>
      </c>
    </row>
    <row r="15" spans="2:9" x14ac:dyDescent="0.2">
      <c r="B15" s="265" t="s">
        <v>146</v>
      </c>
      <c r="C15" s="94" t="s">
        <v>150</v>
      </c>
      <c r="D15" s="291">
        <f>'2.3 Revenue contributions '!D29</f>
        <v>0</v>
      </c>
      <c r="E15" s="291"/>
      <c r="F15" s="291">
        <f>SUM(D15:E15)</f>
        <v>0</v>
      </c>
      <c r="G15" s="290">
        <v>0</v>
      </c>
      <c r="H15" s="291"/>
      <c r="I15" s="291">
        <f>SUM(G15:H15)</f>
        <v>0</v>
      </c>
    </row>
    <row r="16" spans="2:9" x14ac:dyDescent="0.2">
      <c r="B16" s="265" t="s">
        <v>146</v>
      </c>
      <c r="C16" s="94" t="s">
        <v>151</v>
      </c>
      <c r="D16" s="290">
        <v>2208.385741160796</v>
      </c>
      <c r="E16" s="290">
        <v>0</v>
      </c>
      <c r="F16" s="291">
        <f>SUM(D16:E16)</f>
        <v>2208.385741160796</v>
      </c>
      <c r="G16" s="290">
        <v>180.2256801310844</v>
      </c>
      <c r="H16" s="290">
        <v>0</v>
      </c>
      <c r="I16" s="291">
        <f>SUM(G16:H16)</f>
        <v>180.2256801310844</v>
      </c>
    </row>
    <row r="17" spans="2:9" x14ac:dyDescent="0.2">
      <c r="B17" s="265" t="s">
        <v>146</v>
      </c>
      <c r="C17" s="94" t="s">
        <v>152</v>
      </c>
      <c r="D17" s="290">
        <v>0</v>
      </c>
      <c r="E17" s="290">
        <v>0</v>
      </c>
      <c r="F17" s="291">
        <f>SUM(D17:E17)</f>
        <v>0</v>
      </c>
      <c r="G17" s="290">
        <v>0</v>
      </c>
      <c r="H17" s="290">
        <v>0</v>
      </c>
      <c r="I17" s="291">
        <f>SUM(G17:H17)</f>
        <v>0</v>
      </c>
    </row>
    <row r="18" spans="2:9" x14ac:dyDescent="0.2">
      <c r="B18" s="265"/>
      <c r="C18" s="95" t="s">
        <v>153</v>
      </c>
      <c r="D18" s="291">
        <f t="shared" ref="D18:I18" si="0">SUM(D13:D17)</f>
        <v>10471180.735741159</v>
      </c>
      <c r="E18" s="291">
        <f t="shared" si="0"/>
        <v>0</v>
      </c>
      <c r="F18" s="291">
        <f t="shared" si="0"/>
        <v>10471180.735741159</v>
      </c>
      <c r="G18" s="291">
        <f t="shared" si="0"/>
        <v>9561445.7956801318</v>
      </c>
      <c r="H18" s="291">
        <f t="shared" si="0"/>
        <v>0</v>
      </c>
      <c r="I18" s="291">
        <f t="shared" si="0"/>
        <v>9561445.7956801318</v>
      </c>
    </row>
    <row r="19" spans="2:9" x14ac:dyDescent="0.2">
      <c r="B19" s="265"/>
      <c r="C19" s="35" t="s">
        <v>154</v>
      </c>
      <c r="D19" s="33"/>
      <c r="E19" s="33"/>
      <c r="F19" s="33"/>
      <c r="G19" s="33"/>
      <c r="H19" s="33"/>
      <c r="I19" s="33"/>
    </row>
    <row r="20" spans="2:9" x14ac:dyDescent="0.2">
      <c r="B20" s="265"/>
      <c r="C20" s="94" t="s">
        <v>155</v>
      </c>
      <c r="D20" s="291">
        <f>'2.4 Indirect revenue'!G42</f>
        <v>0</v>
      </c>
      <c r="E20" s="291">
        <f>'2.4 Indirect revenue'!H42</f>
        <v>0</v>
      </c>
      <c r="F20" s="291">
        <f>SUM(D20:E20)</f>
        <v>0</v>
      </c>
      <c r="G20" s="290">
        <v>0</v>
      </c>
      <c r="H20" s="290">
        <v>0</v>
      </c>
      <c r="I20" s="291">
        <f>SUM(G20:H20)</f>
        <v>0</v>
      </c>
    </row>
    <row r="21" spans="2:9" x14ac:dyDescent="0.2">
      <c r="B21" s="265"/>
      <c r="C21" s="95" t="s">
        <v>156</v>
      </c>
      <c r="D21" s="291">
        <f t="shared" ref="D21:I21" si="1">SUM(D20)</f>
        <v>0</v>
      </c>
      <c r="E21" s="291">
        <f t="shared" si="1"/>
        <v>0</v>
      </c>
      <c r="F21" s="291">
        <f t="shared" si="1"/>
        <v>0</v>
      </c>
      <c r="G21" s="291">
        <f t="shared" si="1"/>
        <v>0</v>
      </c>
      <c r="H21" s="291">
        <f t="shared" si="1"/>
        <v>0</v>
      </c>
      <c r="I21" s="291">
        <f t="shared" si="1"/>
        <v>0</v>
      </c>
    </row>
    <row r="22" spans="2:9" x14ac:dyDescent="0.2">
      <c r="B22" s="265"/>
      <c r="C22" s="95" t="s">
        <v>157</v>
      </c>
      <c r="D22" s="291">
        <f>D18+D21</f>
        <v>10471180.735741159</v>
      </c>
      <c r="E22" s="291">
        <f>E21+E18</f>
        <v>0</v>
      </c>
      <c r="F22" s="291">
        <f>F18+F21</f>
        <v>10471180.735741159</v>
      </c>
      <c r="G22" s="291">
        <f>G18+G21</f>
        <v>9561445.7956801318</v>
      </c>
      <c r="H22" s="291">
        <f>H18+H21</f>
        <v>0</v>
      </c>
      <c r="I22" s="291">
        <f>I18+I21</f>
        <v>9561445.7956801318</v>
      </c>
    </row>
    <row r="23" spans="2:9" x14ac:dyDescent="0.2">
      <c r="B23" s="265"/>
      <c r="C23" s="35" t="s">
        <v>158</v>
      </c>
      <c r="D23" s="33"/>
      <c r="E23" s="33"/>
      <c r="F23" s="33"/>
      <c r="G23" s="33"/>
      <c r="H23" s="33"/>
      <c r="I23" s="33"/>
    </row>
    <row r="24" spans="2:9" x14ac:dyDescent="0.2">
      <c r="B24" s="265" t="s">
        <v>146</v>
      </c>
      <c r="C24" s="21" t="s">
        <v>159</v>
      </c>
      <c r="D24" s="290">
        <v>0</v>
      </c>
      <c r="E24" s="290">
        <v>0</v>
      </c>
      <c r="F24" s="291">
        <f t="shared" ref="F24:F31" si="2">SUM(D24:E24)</f>
        <v>0</v>
      </c>
      <c r="G24" s="290">
        <v>0</v>
      </c>
      <c r="H24" s="290">
        <v>0</v>
      </c>
      <c r="I24" s="291">
        <f t="shared" ref="I24:I31" si="3">SUM(G24:H24)</f>
        <v>0</v>
      </c>
    </row>
    <row r="25" spans="2:9" x14ac:dyDescent="0.2">
      <c r="B25" s="265" t="s">
        <v>146</v>
      </c>
      <c r="C25" s="21" t="s">
        <v>160</v>
      </c>
      <c r="D25" s="290">
        <v>785232.67999999993</v>
      </c>
      <c r="E25" s="290">
        <v>0</v>
      </c>
      <c r="F25" s="291">
        <f t="shared" si="2"/>
        <v>785232.67999999993</v>
      </c>
      <c r="G25" s="290">
        <v>609425.32000000007</v>
      </c>
      <c r="H25" s="290">
        <v>0</v>
      </c>
      <c r="I25" s="291">
        <f t="shared" si="3"/>
        <v>609425.32000000007</v>
      </c>
    </row>
    <row r="26" spans="2:9" x14ac:dyDescent="0.2">
      <c r="B26" s="265" t="s">
        <v>146</v>
      </c>
      <c r="C26" s="21" t="s">
        <v>161</v>
      </c>
      <c r="D26" s="290">
        <v>2582501.84</v>
      </c>
      <c r="E26" s="290">
        <v>0</v>
      </c>
      <c r="F26" s="291">
        <f t="shared" si="2"/>
        <v>2582501.84</v>
      </c>
      <c r="G26" s="290">
        <v>7300009.6200000001</v>
      </c>
      <c r="H26" s="290">
        <v>0</v>
      </c>
      <c r="I26" s="291">
        <f t="shared" si="3"/>
        <v>7300009.6200000001</v>
      </c>
    </row>
    <row r="27" spans="2:9" x14ac:dyDescent="0.2">
      <c r="B27" s="265" t="s">
        <v>146</v>
      </c>
      <c r="C27" s="21" t="s">
        <v>162</v>
      </c>
      <c r="D27" s="290">
        <v>40945.79</v>
      </c>
      <c r="E27" s="290">
        <v>0</v>
      </c>
      <c r="F27" s="291">
        <f t="shared" si="2"/>
        <v>40945.79</v>
      </c>
      <c r="G27" s="290">
        <v>12501.45</v>
      </c>
      <c r="H27" s="290">
        <v>0</v>
      </c>
      <c r="I27" s="291">
        <f t="shared" si="3"/>
        <v>12501.45</v>
      </c>
    </row>
    <row r="28" spans="2:9" x14ac:dyDescent="0.2">
      <c r="B28" s="292" t="s">
        <v>146</v>
      </c>
      <c r="C28" s="21" t="s">
        <v>163</v>
      </c>
      <c r="D28" s="290">
        <v>37122.629999999997</v>
      </c>
      <c r="E28" s="290">
        <v>0</v>
      </c>
      <c r="F28" s="291">
        <f t="shared" si="2"/>
        <v>37122.629999999997</v>
      </c>
      <c r="G28" s="290">
        <v>34133.660000000003</v>
      </c>
      <c r="H28" s="290">
        <v>0</v>
      </c>
      <c r="I28" s="291">
        <f t="shared" si="3"/>
        <v>34133.660000000003</v>
      </c>
    </row>
    <row r="29" spans="2:9" x14ac:dyDescent="0.2">
      <c r="B29" s="292" t="s">
        <v>146</v>
      </c>
      <c r="C29" s="21" t="s">
        <v>164</v>
      </c>
      <c r="D29" s="290">
        <v>0</v>
      </c>
      <c r="E29" s="290">
        <v>0</v>
      </c>
      <c r="F29" s="291">
        <f t="shared" si="2"/>
        <v>0</v>
      </c>
      <c r="G29" s="290">
        <v>0</v>
      </c>
      <c r="H29" s="290">
        <v>0</v>
      </c>
      <c r="I29" s="291">
        <f t="shared" si="3"/>
        <v>0</v>
      </c>
    </row>
    <row r="30" spans="2:9" x14ac:dyDescent="0.2">
      <c r="B30" s="292" t="s">
        <v>146</v>
      </c>
      <c r="C30" s="21" t="s">
        <v>165</v>
      </c>
      <c r="D30" s="290">
        <v>6861.39</v>
      </c>
      <c r="E30" s="290">
        <v>0</v>
      </c>
      <c r="F30" s="291">
        <f t="shared" si="2"/>
        <v>6861.39</v>
      </c>
      <c r="G30" s="290">
        <v>6646.27</v>
      </c>
      <c r="H30" s="290">
        <v>0</v>
      </c>
      <c r="I30" s="291">
        <f t="shared" si="3"/>
        <v>6646.27</v>
      </c>
    </row>
    <row r="31" spans="2:9" x14ac:dyDescent="0.2">
      <c r="B31" s="292" t="s">
        <v>146</v>
      </c>
      <c r="C31" s="36" t="s">
        <v>166</v>
      </c>
      <c r="D31" s="290">
        <v>106728.3</v>
      </c>
      <c r="E31" s="290">
        <v>0</v>
      </c>
      <c r="F31" s="291">
        <f t="shared" si="2"/>
        <v>106728.3</v>
      </c>
      <c r="G31" s="290">
        <v>112473.35</v>
      </c>
      <c r="H31" s="290">
        <v>0</v>
      </c>
      <c r="I31" s="291">
        <f t="shared" si="3"/>
        <v>112473.35</v>
      </c>
    </row>
    <row r="32" spans="2:9" x14ac:dyDescent="0.2">
      <c r="B32" s="293"/>
      <c r="C32" s="69" t="s">
        <v>167</v>
      </c>
      <c r="D32" s="291">
        <f t="shared" ref="D32:I32" si="4">SUM(D24:D31)</f>
        <v>3559392.6299999994</v>
      </c>
      <c r="E32" s="291">
        <f t="shared" si="4"/>
        <v>0</v>
      </c>
      <c r="F32" s="291">
        <f>SUM(F24:F31)</f>
        <v>3559392.6299999994</v>
      </c>
      <c r="G32" s="291">
        <f t="shared" si="4"/>
        <v>8075189.6699999999</v>
      </c>
      <c r="H32" s="291">
        <f t="shared" si="4"/>
        <v>0</v>
      </c>
      <c r="I32" s="291">
        <f t="shared" si="4"/>
        <v>8075189.6699999999</v>
      </c>
    </row>
    <row r="33" spans="2:9" x14ac:dyDescent="0.2">
      <c r="B33" s="293"/>
      <c r="C33" s="35" t="s">
        <v>168</v>
      </c>
      <c r="D33" s="33"/>
      <c r="E33" s="33"/>
      <c r="F33" s="88"/>
      <c r="G33" s="33"/>
      <c r="H33" s="33"/>
      <c r="I33" s="88"/>
    </row>
    <row r="34" spans="2:9" x14ac:dyDescent="0.2">
      <c r="B34" s="293"/>
      <c r="C34" s="21" t="s">
        <v>169</v>
      </c>
      <c r="D34" s="291">
        <f>SUMIF('2.5 Shared expenses'!$C$15:$C$35,$C34,'2.5 Shared expenses'!H$15:H$35)</f>
        <v>0</v>
      </c>
      <c r="E34" s="291">
        <f>SUMIF('2.5 Shared expenses'!$C$15:$C$35,$C34,'2.5 Shared expenses'!I$15:I$35)</f>
        <v>0</v>
      </c>
      <c r="F34" s="291">
        <f t="shared" ref="F34:F42" si="5">SUM(D34:E34)</f>
        <v>0</v>
      </c>
      <c r="G34" s="290">
        <v>0</v>
      </c>
      <c r="H34" s="290">
        <v>0</v>
      </c>
      <c r="I34" s="291">
        <f t="shared" ref="I34:I42" si="6">SUM(G34:H34)</f>
        <v>0</v>
      </c>
    </row>
    <row r="35" spans="2:9" x14ac:dyDescent="0.2">
      <c r="B35" s="293"/>
      <c r="C35" s="21" t="s">
        <v>170</v>
      </c>
      <c r="D35" s="291">
        <f>SUMIF('2.5 Shared expenses'!$C$15:$C$35,$C35,'2.5 Shared expenses'!H$15:H$35)</f>
        <v>0</v>
      </c>
      <c r="E35" s="291">
        <f>SUMIF('2.5 Shared expenses'!$C$15:$C$35,$C35,'2.5 Shared expenses'!I$15:I$35)</f>
        <v>0</v>
      </c>
      <c r="F35" s="291">
        <f t="shared" si="5"/>
        <v>0</v>
      </c>
      <c r="G35" s="290">
        <v>0</v>
      </c>
      <c r="H35" s="290">
        <v>0</v>
      </c>
      <c r="I35" s="291">
        <f t="shared" si="6"/>
        <v>0</v>
      </c>
    </row>
    <row r="36" spans="2:9" x14ac:dyDescent="0.2">
      <c r="B36" s="293"/>
      <c r="C36" s="34" t="s">
        <v>171</v>
      </c>
      <c r="D36" s="291">
        <f>SUMIF('2.5 Shared expenses'!$C$15:$C$35,$C36,'2.5 Shared expenses'!H$15:H$35)</f>
        <v>0</v>
      </c>
      <c r="E36" s="291">
        <f>SUMIF('2.5 Shared expenses'!$C$15:$C$35,$C36,'2.5 Shared expenses'!I$15:I$35)</f>
        <v>0</v>
      </c>
      <c r="F36" s="291">
        <f t="shared" si="5"/>
        <v>0</v>
      </c>
      <c r="G36" s="290">
        <v>0</v>
      </c>
      <c r="H36" s="290">
        <v>0</v>
      </c>
      <c r="I36" s="291">
        <f t="shared" si="6"/>
        <v>0</v>
      </c>
    </row>
    <row r="37" spans="2:9" x14ac:dyDescent="0.2">
      <c r="B37" s="293"/>
      <c r="C37" s="36" t="s">
        <v>172</v>
      </c>
      <c r="D37" s="291">
        <f>SUMIF('2.5 Shared expenses'!$C$15:$C$35,$C37,'2.5 Shared expenses'!H$15:H$35)</f>
        <v>304786.11719686363</v>
      </c>
      <c r="E37" s="291">
        <f>SUMIF('2.5 Shared expenses'!$C$15:$C$35,$C37,'2.5 Shared expenses'!I$15:I$35)</f>
        <v>0</v>
      </c>
      <c r="F37" s="291">
        <f t="shared" si="5"/>
        <v>304786.11719686363</v>
      </c>
      <c r="G37" s="290">
        <v>213305.25940352865</v>
      </c>
      <c r="H37" s="290">
        <v>0</v>
      </c>
      <c r="I37" s="291">
        <f t="shared" si="6"/>
        <v>213305.25940352865</v>
      </c>
    </row>
    <row r="38" spans="2:9" x14ac:dyDescent="0.2">
      <c r="B38" s="293"/>
      <c r="C38" s="36" t="s">
        <v>173</v>
      </c>
      <c r="D38" s="291">
        <f>SUMIF('2.5 Shared expenses'!$C$15:$C$35,$C38,'2.5 Shared expenses'!H$15:H$35)</f>
        <v>0</v>
      </c>
      <c r="E38" s="291">
        <f>SUMIF('2.5 Shared expenses'!$C$15:$C$35,$C38,'2.5 Shared expenses'!I$15:I$35)</f>
        <v>0</v>
      </c>
      <c r="F38" s="291">
        <f t="shared" si="5"/>
        <v>0</v>
      </c>
      <c r="G38" s="290">
        <v>0</v>
      </c>
      <c r="H38" s="290">
        <v>0</v>
      </c>
      <c r="I38" s="291">
        <f t="shared" si="6"/>
        <v>0</v>
      </c>
    </row>
    <row r="39" spans="2:9" x14ac:dyDescent="0.2">
      <c r="B39" s="293"/>
      <c r="C39" s="34" t="s">
        <v>174</v>
      </c>
      <c r="D39" s="291">
        <f>SUMIF('2.5 Shared expenses'!$C$15:$C$35,$C39,'2.5 Shared expenses'!H$15:H$35)</f>
        <v>0</v>
      </c>
      <c r="E39" s="291">
        <f>SUMIF('2.5 Shared expenses'!$C$15:$C$35,$C39,'2.5 Shared expenses'!I$15:I$35)</f>
        <v>0</v>
      </c>
      <c r="F39" s="291">
        <f t="shared" si="5"/>
        <v>0</v>
      </c>
      <c r="G39" s="290">
        <v>0</v>
      </c>
      <c r="H39" s="290">
        <v>0</v>
      </c>
      <c r="I39" s="291">
        <f t="shared" si="6"/>
        <v>0</v>
      </c>
    </row>
    <row r="40" spans="2:9" x14ac:dyDescent="0.2">
      <c r="B40" s="293"/>
      <c r="C40" s="34" t="s">
        <v>175</v>
      </c>
      <c r="D40" s="291">
        <f>SUMIF('2.5 Shared expenses'!$C$15:$C$35,$C40,'2.5 Shared expenses'!H$15:H$35)</f>
        <v>0</v>
      </c>
      <c r="E40" s="291">
        <f>SUMIF('2.5 Shared expenses'!$C$15:$C$35,$C40,'2.5 Shared expenses'!I$15:I$35)</f>
        <v>0</v>
      </c>
      <c r="F40" s="291">
        <f t="shared" si="5"/>
        <v>0</v>
      </c>
      <c r="G40" s="290">
        <v>0</v>
      </c>
      <c r="H40" s="290">
        <v>0</v>
      </c>
      <c r="I40" s="291">
        <f t="shared" si="6"/>
        <v>0</v>
      </c>
    </row>
    <row r="41" spans="2:9" x14ac:dyDescent="0.2">
      <c r="B41" s="293"/>
      <c r="C41" s="34" t="s">
        <v>176</v>
      </c>
      <c r="D41" s="291">
        <f>SUMIF('2.5 Shared expenses'!$C$15:$C$35,$C41,'2.5 Shared expenses'!H$15:H$35)</f>
        <v>0</v>
      </c>
      <c r="E41" s="291">
        <f>SUMIF('2.5 Shared expenses'!$C$15:$C$35,$C41,'2.5 Shared expenses'!I$15:I$35)</f>
        <v>0</v>
      </c>
      <c r="F41" s="291">
        <f t="shared" si="5"/>
        <v>0</v>
      </c>
      <c r="G41" s="290">
        <v>0</v>
      </c>
      <c r="H41" s="290">
        <v>0</v>
      </c>
      <c r="I41" s="291">
        <f t="shared" si="6"/>
        <v>0</v>
      </c>
    </row>
    <row r="42" spans="2:9" x14ac:dyDescent="0.2">
      <c r="B42" s="292" t="s">
        <v>146</v>
      </c>
      <c r="C42" s="36" t="s">
        <v>177</v>
      </c>
      <c r="D42" s="291">
        <f>SUMIF('2.5 Shared expenses'!$C$15:$C$35,$C42,'2.5 Shared expenses'!H$15:H$35)</f>
        <v>1130618.5214147579</v>
      </c>
      <c r="E42" s="291">
        <f>SUMIF('2.5 Shared expenses'!$C$15:$C$35,$C42,'2.5 Shared expenses'!I$15:I$35)</f>
        <v>0</v>
      </c>
      <c r="F42" s="291">
        <f t="shared" si="5"/>
        <v>1130618.5214147579</v>
      </c>
      <c r="G42" s="290">
        <v>1184170.4252697914</v>
      </c>
      <c r="H42" s="290">
        <v>0</v>
      </c>
      <c r="I42" s="291">
        <f t="shared" si="6"/>
        <v>1184170.4252697914</v>
      </c>
    </row>
    <row r="43" spans="2:9" x14ac:dyDescent="0.2">
      <c r="B43" s="294"/>
      <c r="C43" s="69" t="s">
        <v>178</v>
      </c>
      <c r="D43" s="291">
        <f t="shared" ref="D43:I43" si="7">SUM(D34:D42)</f>
        <v>1435404.6386116217</v>
      </c>
      <c r="E43" s="291">
        <f t="shared" si="7"/>
        <v>0</v>
      </c>
      <c r="F43" s="291">
        <f>SUM(F34:F42)</f>
        <v>1435404.6386116217</v>
      </c>
      <c r="G43" s="291">
        <f t="shared" si="7"/>
        <v>1397475.68467332</v>
      </c>
      <c r="H43" s="291">
        <f t="shared" si="7"/>
        <v>0</v>
      </c>
      <c r="I43" s="291">
        <f t="shared" si="7"/>
        <v>1397475.68467332</v>
      </c>
    </row>
    <row r="44" spans="2:9" x14ac:dyDescent="0.2">
      <c r="B44" s="294"/>
      <c r="C44" s="69" t="s">
        <v>179</v>
      </c>
      <c r="D44" s="15">
        <f t="shared" ref="D44:I44" si="8">D43+D32</f>
        <v>4994797.2686116211</v>
      </c>
      <c r="E44" s="15">
        <f t="shared" si="8"/>
        <v>0</v>
      </c>
      <c r="F44" s="15">
        <f t="shared" si="8"/>
        <v>4994797.2686116211</v>
      </c>
      <c r="G44" s="15">
        <f t="shared" si="8"/>
        <v>9472665.3546733204</v>
      </c>
      <c r="H44" s="15">
        <f t="shared" si="8"/>
        <v>0</v>
      </c>
      <c r="I44" s="15">
        <f t="shared" si="8"/>
        <v>9472665.3546733204</v>
      </c>
    </row>
    <row r="45" spans="2:9" x14ac:dyDescent="0.2">
      <c r="B45" s="294"/>
      <c r="C45" s="105" t="s">
        <v>78</v>
      </c>
      <c r="D45" s="15">
        <f t="shared" ref="D45:I45" si="9">D22-ABS(D44)</f>
        <v>5476383.4671295378</v>
      </c>
      <c r="E45" s="15">
        <f t="shared" si="9"/>
        <v>0</v>
      </c>
      <c r="F45" s="15">
        <f t="shared" si="9"/>
        <v>5476383.4671295378</v>
      </c>
      <c r="G45" s="15">
        <f t="shared" si="9"/>
        <v>88780.441006811336</v>
      </c>
      <c r="H45" s="15">
        <f t="shared" si="9"/>
        <v>0</v>
      </c>
      <c r="I45" s="15">
        <f t="shared" si="9"/>
        <v>88780.441006811336</v>
      </c>
    </row>
    <row r="73" spans="2:2" ht="23.1" customHeight="1" x14ac:dyDescent="0.2"/>
    <row r="77" spans="2:2" x14ac:dyDescent="0.2">
      <c r="B77" s="81"/>
    </row>
    <row r="85" spans="2:2" x14ac:dyDescent="0.2">
      <c r="B85" s="81"/>
    </row>
    <row r="92" spans="2:2" x14ac:dyDescent="0.2">
      <c r="B92" s="81"/>
    </row>
    <row r="115" ht="16.5" customHeight="1" x14ac:dyDescent="0.2"/>
  </sheetData>
  <sheetProtection sheet="1"/>
  <mergeCells count="2">
    <mergeCell ref="B9:F9"/>
    <mergeCell ref="G9:I9"/>
  </mergeCells>
  <pageMargins left="0.75" right="0.75" top="1" bottom="1" header="0.5" footer="0.5"/>
  <pageSetup paperSize="9" scale="64" orientation="landscape" verticalDpi="2" r:id="rId1"/>
  <headerFooter alignWithMargins="0">
    <oddFooter>&amp;C_x000D_&amp;1#&amp;"Aptos"&amp;10&amp;K008000 APA-INTERNAL</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910FE-0E71-4BD0-804A-AE3CCCB1DF69}">
  <sheetPr codeName="Sheet7">
    <tabColor rgb="FF17415D"/>
    <pageSetUpPr fitToPage="1"/>
  </sheetPr>
  <dimension ref="B1:M93"/>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18.42578125" style="4" customWidth="1"/>
    <col min="3" max="3" width="52.5703125" style="4" customWidth="1"/>
    <col min="4" max="11" width="20.5703125" style="4" customWidth="1"/>
    <col min="12" max="16384" width="9.42578125" style="4"/>
  </cols>
  <sheetData>
    <row r="1" spans="2:13" ht="20.25" customHeight="1" x14ac:dyDescent="0.3">
      <c r="B1" s="103" t="s">
        <v>68</v>
      </c>
      <c r="C1" s="103"/>
      <c r="D1" s="168"/>
      <c r="E1" s="168"/>
      <c r="F1" s="168"/>
      <c r="G1" s="168"/>
      <c r="H1" s="168"/>
      <c r="I1" s="168"/>
    </row>
    <row r="2" spans="2:13" ht="20.25" customHeight="1" x14ac:dyDescent="0.45">
      <c r="B2" s="103" t="str">
        <f>IF(Tradingname=0," ",Tradingname)</f>
        <v>APA Reedy Creek Wallumbilla Pty Limited</v>
      </c>
      <c r="C2" s="103"/>
      <c r="I2" s="202"/>
    </row>
    <row r="3" spans="2:13" ht="20.25" customHeight="1" x14ac:dyDescent="0.3">
      <c r="B3" s="103" t="s">
        <v>46</v>
      </c>
      <c r="C3" s="80">
        <f>IF(Yearending=0, "01/01/2000", Yearending)</f>
        <v>45838</v>
      </c>
    </row>
    <row r="4" spans="2:13" ht="20.25" x14ac:dyDescent="0.2">
      <c r="B4" s="72" t="s">
        <v>180</v>
      </c>
      <c r="C4" s="72"/>
      <c r="D4" s="286"/>
      <c r="G4" s="286"/>
    </row>
    <row r="5" spans="2:13" x14ac:dyDescent="0.2">
      <c r="B5" s="156"/>
      <c r="C5" s="156"/>
      <c r="D5" s="156"/>
      <c r="E5" s="156"/>
      <c r="F5" s="156"/>
      <c r="G5" s="156"/>
      <c r="H5" s="156"/>
      <c r="I5" s="156"/>
      <c r="J5" s="156"/>
      <c r="K5" s="156"/>
      <c r="L5" s="156"/>
      <c r="M5" s="156"/>
    </row>
    <row r="6" spans="2:13" x14ac:dyDescent="0.2">
      <c r="B6" s="156"/>
      <c r="C6" s="156"/>
      <c r="D6" s="156"/>
      <c r="E6" s="156"/>
      <c r="F6" s="156"/>
      <c r="G6" s="156"/>
      <c r="H6" s="156"/>
      <c r="I6" s="156"/>
      <c r="J6" s="156"/>
      <c r="K6" s="156"/>
      <c r="L6" s="156"/>
      <c r="M6" s="156"/>
    </row>
    <row r="7" spans="2:13" ht="15.75" x14ac:dyDescent="0.2">
      <c r="B7" s="205" t="s">
        <v>181</v>
      </c>
      <c r="C7" s="156"/>
      <c r="D7" s="156"/>
      <c r="E7" s="156"/>
      <c r="F7" s="156"/>
      <c r="G7" s="156"/>
      <c r="H7" s="156"/>
      <c r="I7" s="156"/>
      <c r="J7" s="156"/>
      <c r="K7" s="156"/>
      <c r="L7" s="156"/>
      <c r="M7" s="156"/>
    </row>
    <row r="8" spans="2:13" x14ac:dyDescent="0.2">
      <c r="B8" s="206"/>
      <c r="C8" s="207"/>
      <c r="D8" s="208"/>
      <c r="E8" s="208"/>
      <c r="F8" s="208"/>
      <c r="G8" s="208"/>
      <c r="H8" s="208"/>
      <c r="I8" s="208"/>
      <c r="J8" s="208"/>
      <c r="K8" s="208"/>
      <c r="L8" s="156"/>
      <c r="M8" s="156"/>
    </row>
    <row r="9" spans="2:13" ht="21" customHeight="1" x14ac:dyDescent="0.2">
      <c r="B9" s="209"/>
      <c r="C9" s="209"/>
      <c r="D9" s="421" t="s">
        <v>182</v>
      </c>
      <c r="E9" s="422"/>
      <c r="F9" s="422"/>
      <c r="G9" s="423"/>
      <c r="H9" s="421" t="s">
        <v>143</v>
      </c>
      <c r="I9" s="422"/>
      <c r="J9" s="422"/>
      <c r="K9" s="423"/>
      <c r="L9" s="156"/>
      <c r="M9" s="156"/>
    </row>
    <row r="10" spans="2:13" ht="51" customHeight="1" x14ac:dyDescent="0.2">
      <c r="B10" s="46" t="s">
        <v>131</v>
      </c>
      <c r="C10" s="209" t="s">
        <v>132</v>
      </c>
      <c r="D10" s="179" t="s">
        <v>183</v>
      </c>
      <c r="E10" s="179" t="s">
        <v>144</v>
      </c>
      <c r="F10" s="179" t="s">
        <v>145</v>
      </c>
      <c r="G10" s="179" t="s">
        <v>71</v>
      </c>
      <c r="H10" s="179" t="s">
        <v>183</v>
      </c>
      <c r="I10" s="179" t="s">
        <v>144</v>
      </c>
      <c r="J10" s="179" t="s">
        <v>145</v>
      </c>
      <c r="K10" s="179" t="s">
        <v>71</v>
      </c>
      <c r="L10" s="156"/>
      <c r="M10" s="156"/>
    </row>
    <row r="11" spans="2:13" ht="15.75" customHeight="1" x14ac:dyDescent="0.2">
      <c r="B11" s="46"/>
      <c r="C11" s="209"/>
      <c r="D11" s="90" t="s">
        <v>184</v>
      </c>
      <c r="E11" s="90" t="s">
        <v>134</v>
      </c>
      <c r="F11" s="90" t="s">
        <v>134</v>
      </c>
      <c r="G11" s="90" t="s">
        <v>134</v>
      </c>
      <c r="H11" s="90" t="s">
        <v>184</v>
      </c>
      <c r="I11" s="90" t="s">
        <v>134</v>
      </c>
      <c r="J11" s="90" t="s">
        <v>134</v>
      </c>
      <c r="K11" s="90" t="s">
        <v>134</v>
      </c>
      <c r="L11" s="156"/>
      <c r="M11" s="156"/>
    </row>
    <row r="12" spans="2:13" x14ac:dyDescent="0.2">
      <c r="B12" s="153"/>
      <c r="C12" s="214" t="s">
        <v>185</v>
      </c>
      <c r="D12" s="90"/>
      <c r="E12" s="90"/>
      <c r="F12" s="90"/>
      <c r="G12" s="90"/>
      <c r="H12" s="90"/>
      <c r="I12" s="90"/>
      <c r="J12" s="90"/>
      <c r="K12" s="90"/>
      <c r="L12" s="156"/>
      <c r="M12" s="156"/>
    </row>
    <row r="13" spans="2:13" x14ac:dyDescent="0.2">
      <c r="B13" s="292" t="s">
        <v>186</v>
      </c>
      <c r="C13" s="91" t="s">
        <v>93</v>
      </c>
      <c r="D13" s="295">
        <v>0.97192258798925968</v>
      </c>
      <c r="E13" s="296">
        <f t="shared" ref="E13:E22" si="0">D13*$E$23</f>
        <v>10177177.079984827</v>
      </c>
      <c r="F13" s="296">
        <f t="shared" ref="F13:F22" si="1">D13*$F$23</f>
        <v>0</v>
      </c>
      <c r="G13" s="297">
        <f t="shared" ref="G13:G22" si="2">SUM(E13:F13)</f>
        <v>10177177.079984827</v>
      </c>
      <c r="H13" s="295">
        <v>1</v>
      </c>
      <c r="I13" s="296">
        <f t="shared" ref="I13:I22" si="3">H13*$I$23</f>
        <v>9561445.7956801318</v>
      </c>
      <c r="J13" s="296">
        <f t="shared" ref="J13:J22" si="4">H13*$J$23</f>
        <v>0</v>
      </c>
      <c r="K13" s="297">
        <f t="shared" ref="K13:K22" si="5">SUM(I13:J13)</f>
        <v>9561445.7956801318</v>
      </c>
      <c r="L13" s="156"/>
      <c r="M13" s="215"/>
    </row>
    <row r="14" spans="2:13" x14ac:dyDescent="0.2">
      <c r="B14" s="292" t="s">
        <v>186</v>
      </c>
      <c r="C14" s="91" t="s">
        <v>95</v>
      </c>
      <c r="D14" s="295">
        <v>0</v>
      </c>
      <c r="E14" s="296">
        <f t="shared" si="0"/>
        <v>0</v>
      </c>
      <c r="F14" s="296">
        <f t="shared" si="1"/>
        <v>0</v>
      </c>
      <c r="G14" s="297">
        <f t="shared" si="2"/>
        <v>0</v>
      </c>
      <c r="H14" s="295">
        <v>0</v>
      </c>
      <c r="I14" s="296">
        <f t="shared" si="3"/>
        <v>0</v>
      </c>
      <c r="J14" s="296">
        <f t="shared" si="4"/>
        <v>0</v>
      </c>
      <c r="K14" s="297">
        <f t="shared" si="5"/>
        <v>0</v>
      </c>
      <c r="L14" s="156"/>
      <c r="M14" s="215"/>
    </row>
    <row r="15" spans="2:13" x14ac:dyDescent="0.2">
      <c r="B15" s="292" t="s">
        <v>186</v>
      </c>
      <c r="C15" s="91" t="s">
        <v>96</v>
      </c>
      <c r="D15" s="295">
        <v>2.021546938176793E-2</v>
      </c>
      <c r="E15" s="296">
        <f t="shared" si="0"/>
        <v>211679.83355433357</v>
      </c>
      <c r="F15" s="296">
        <f t="shared" si="1"/>
        <v>0</v>
      </c>
      <c r="G15" s="297">
        <f t="shared" si="2"/>
        <v>211679.83355433357</v>
      </c>
      <c r="H15" s="295">
        <v>0</v>
      </c>
      <c r="I15" s="296">
        <f t="shared" si="3"/>
        <v>0</v>
      </c>
      <c r="J15" s="296">
        <f t="shared" si="4"/>
        <v>0</v>
      </c>
      <c r="K15" s="297">
        <f t="shared" si="5"/>
        <v>0</v>
      </c>
      <c r="L15" s="156"/>
      <c r="M15" s="215"/>
    </row>
    <row r="16" spans="2:13" x14ac:dyDescent="0.2">
      <c r="B16" s="292" t="s">
        <v>186</v>
      </c>
      <c r="C16" s="91" t="s">
        <v>97</v>
      </c>
      <c r="D16" s="295">
        <v>0</v>
      </c>
      <c r="E16" s="296">
        <f t="shared" si="0"/>
        <v>0</v>
      </c>
      <c r="F16" s="296">
        <f t="shared" si="1"/>
        <v>0</v>
      </c>
      <c r="G16" s="297">
        <f t="shared" si="2"/>
        <v>0</v>
      </c>
      <c r="H16" s="295">
        <v>0</v>
      </c>
      <c r="I16" s="296">
        <f t="shared" si="3"/>
        <v>0</v>
      </c>
      <c r="J16" s="296">
        <f t="shared" si="4"/>
        <v>0</v>
      </c>
      <c r="K16" s="297">
        <f t="shared" si="5"/>
        <v>0</v>
      </c>
      <c r="L16" s="156"/>
      <c r="M16" s="215"/>
    </row>
    <row r="17" spans="2:13" x14ac:dyDescent="0.2">
      <c r="B17" s="292" t="s">
        <v>186</v>
      </c>
      <c r="C17" s="159" t="s">
        <v>98</v>
      </c>
      <c r="D17" s="295">
        <v>0</v>
      </c>
      <c r="E17" s="296">
        <f t="shared" si="0"/>
        <v>0</v>
      </c>
      <c r="F17" s="296">
        <f t="shared" si="1"/>
        <v>0</v>
      </c>
      <c r="G17" s="297">
        <f t="shared" si="2"/>
        <v>0</v>
      </c>
      <c r="H17" s="295">
        <v>0</v>
      </c>
      <c r="I17" s="296">
        <f t="shared" si="3"/>
        <v>0</v>
      </c>
      <c r="J17" s="296">
        <f t="shared" si="4"/>
        <v>0</v>
      </c>
      <c r="K17" s="297">
        <f t="shared" si="5"/>
        <v>0</v>
      </c>
      <c r="L17" s="156"/>
      <c r="M17" s="215"/>
    </row>
    <row r="18" spans="2:13" x14ac:dyDescent="0.2">
      <c r="B18" s="292" t="s">
        <v>186</v>
      </c>
      <c r="C18" s="91" t="s">
        <v>99</v>
      </c>
      <c r="D18" s="295">
        <v>0</v>
      </c>
      <c r="E18" s="296">
        <f t="shared" si="0"/>
        <v>0</v>
      </c>
      <c r="F18" s="296">
        <f t="shared" si="1"/>
        <v>0</v>
      </c>
      <c r="G18" s="297">
        <f t="shared" si="2"/>
        <v>0</v>
      </c>
      <c r="H18" s="295">
        <v>0</v>
      </c>
      <c r="I18" s="296">
        <f t="shared" si="3"/>
        <v>0</v>
      </c>
      <c r="J18" s="296">
        <f t="shared" si="4"/>
        <v>0</v>
      </c>
      <c r="K18" s="297">
        <f t="shared" si="5"/>
        <v>0</v>
      </c>
      <c r="L18" s="156"/>
      <c r="M18" s="215"/>
    </row>
    <row r="19" spans="2:13" x14ac:dyDescent="0.2">
      <c r="B19" s="292" t="s">
        <v>186</v>
      </c>
      <c r="C19" s="91" t="s">
        <v>100</v>
      </c>
      <c r="D19" s="295">
        <v>0</v>
      </c>
      <c r="E19" s="296">
        <f t="shared" si="0"/>
        <v>0</v>
      </c>
      <c r="F19" s="296">
        <f t="shared" si="1"/>
        <v>0</v>
      </c>
      <c r="G19" s="297">
        <f t="shared" si="2"/>
        <v>0</v>
      </c>
      <c r="H19" s="295">
        <v>0</v>
      </c>
      <c r="I19" s="296">
        <f t="shared" si="3"/>
        <v>0</v>
      </c>
      <c r="J19" s="296">
        <f t="shared" si="4"/>
        <v>0</v>
      </c>
      <c r="K19" s="297">
        <f t="shared" si="5"/>
        <v>0</v>
      </c>
      <c r="L19" s="156"/>
      <c r="M19" s="215"/>
    </row>
    <row r="20" spans="2:13" x14ac:dyDescent="0.2">
      <c r="B20" s="292" t="s">
        <v>186</v>
      </c>
      <c r="C20" s="91" t="s">
        <v>101</v>
      </c>
      <c r="D20" s="295">
        <v>9.5911992737281442E-5</v>
      </c>
      <c r="E20" s="296">
        <f t="shared" si="0"/>
        <v>1004.3118106771674</v>
      </c>
      <c r="F20" s="296">
        <f t="shared" si="1"/>
        <v>0</v>
      </c>
      <c r="G20" s="297">
        <f t="shared" si="2"/>
        <v>1004.3118106771674</v>
      </c>
      <c r="H20" s="295">
        <v>0</v>
      </c>
      <c r="I20" s="296">
        <f t="shared" si="3"/>
        <v>0</v>
      </c>
      <c r="J20" s="296">
        <f t="shared" si="4"/>
        <v>0</v>
      </c>
      <c r="K20" s="297">
        <f t="shared" si="5"/>
        <v>0</v>
      </c>
      <c r="L20" s="156"/>
      <c r="M20" s="215"/>
    </row>
    <row r="21" spans="2:13" x14ac:dyDescent="0.2">
      <c r="B21" s="292" t="s">
        <v>186</v>
      </c>
      <c r="C21" s="91" t="s">
        <v>103</v>
      </c>
      <c r="D21" s="295">
        <v>1.3823066406322112E-3</v>
      </c>
      <c r="E21" s="296">
        <f t="shared" si="0"/>
        <v>14474.382666275087</v>
      </c>
      <c r="F21" s="296">
        <f t="shared" si="1"/>
        <v>0</v>
      </c>
      <c r="G21" s="297">
        <f t="shared" si="2"/>
        <v>14474.382666275087</v>
      </c>
      <c r="H21" s="295">
        <v>0</v>
      </c>
      <c r="I21" s="296">
        <f t="shared" si="3"/>
        <v>0</v>
      </c>
      <c r="J21" s="296">
        <f t="shared" si="4"/>
        <v>0</v>
      </c>
      <c r="K21" s="297">
        <f t="shared" si="5"/>
        <v>0</v>
      </c>
      <c r="L21" s="156"/>
      <c r="M21" s="215"/>
    </row>
    <row r="22" spans="2:13" x14ac:dyDescent="0.2">
      <c r="B22" s="292" t="s">
        <v>186</v>
      </c>
      <c r="C22" s="91" t="s">
        <v>105</v>
      </c>
      <c r="D22" s="295">
        <v>6.3837239956030653E-3</v>
      </c>
      <c r="E22" s="296">
        <f t="shared" si="0"/>
        <v>66845.127725047394</v>
      </c>
      <c r="F22" s="296">
        <f t="shared" si="1"/>
        <v>0</v>
      </c>
      <c r="G22" s="297">
        <f t="shared" si="2"/>
        <v>66845.127725047394</v>
      </c>
      <c r="H22" s="295">
        <v>0</v>
      </c>
      <c r="I22" s="296">
        <f t="shared" si="3"/>
        <v>0</v>
      </c>
      <c r="J22" s="296">
        <f t="shared" si="4"/>
        <v>0</v>
      </c>
      <c r="K22" s="297">
        <f t="shared" si="5"/>
        <v>0</v>
      </c>
      <c r="L22" s="156"/>
      <c r="M22" s="215"/>
    </row>
    <row r="23" spans="2:13" x14ac:dyDescent="0.2">
      <c r="B23" s="231"/>
      <c r="C23" s="151" t="s">
        <v>187</v>
      </c>
      <c r="D23" s="96">
        <f>SUM(D13:D22)</f>
        <v>1.0000000000000002</v>
      </c>
      <c r="E23" s="92">
        <f>'2.1 Profit &amp; Loss by component'!D18-'2.1 Profit &amp; Loss by component'!D15-'2.1 Profit &amp; Loss by component'!D14</f>
        <v>10471180.735741159</v>
      </c>
      <c r="F23" s="92">
        <f>'2.1 Profit &amp; Loss by component'!E18-'2.1 Profit &amp; Loss by component'!E14</f>
        <v>0</v>
      </c>
      <c r="G23" s="92">
        <f>SUM(G13:G22)</f>
        <v>10471180.735741161</v>
      </c>
      <c r="H23" s="96">
        <f>SUM(H13:H22)</f>
        <v>1</v>
      </c>
      <c r="I23" s="92">
        <f>'2.1 Profit &amp; Loss by component'!G18-'2.1 Profit &amp; Loss by component'!G14-'2.1 Profit &amp; Loss by component'!G15</f>
        <v>9561445.7956801318</v>
      </c>
      <c r="J23" s="92">
        <f>'2.1 Profit &amp; Loss by component'!H18-'2.1 Profit &amp; Loss by component'!H14-'2.1 Profit &amp; Loss by component'!H15</f>
        <v>0</v>
      </c>
      <c r="K23" s="92">
        <f>SUM(K13:K22)</f>
        <v>9561445.7956801318</v>
      </c>
      <c r="L23" s="156"/>
      <c r="M23" s="156"/>
    </row>
    <row r="24" spans="2:13" x14ac:dyDescent="0.2">
      <c r="B24" s="153"/>
      <c r="C24" s="214" t="s">
        <v>188</v>
      </c>
      <c r="D24" s="90"/>
      <c r="E24" s="90"/>
      <c r="F24" s="90"/>
      <c r="G24" s="90"/>
      <c r="H24" s="90"/>
      <c r="I24" s="90"/>
      <c r="J24" s="90"/>
      <c r="K24" s="90"/>
      <c r="L24" s="156"/>
      <c r="M24" s="156"/>
    </row>
    <row r="25" spans="2:13" x14ac:dyDescent="0.2">
      <c r="B25" s="292" t="s">
        <v>186</v>
      </c>
      <c r="C25" s="91" t="s">
        <v>93</v>
      </c>
      <c r="D25" s="295">
        <v>0</v>
      </c>
      <c r="E25" s="296">
        <f t="shared" ref="E25:F34" si="6">$D25*E$35</f>
        <v>0</v>
      </c>
      <c r="F25" s="296">
        <f t="shared" si="6"/>
        <v>0</v>
      </c>
      <c r="G25" s="297">
        <f t="shared" ref="G25:G34" si="7">SUM(E25:F25)</f>
        <v>0</v>
      </c>
      <c r="H25" s="295">
        <v>0</v>
      </c>
      <c r="I25" s="296">
        <f t="shared" ref="I25:I34" si="8">H25*$I$35</f>
        <v>0</v>
      </c>
      <c r="J25" s="296">
        <f t="shared" ref="J25:J34" si="9">H25*$J$35</f>
        <v>0</v>
      </c>
      <c r="K25" s="297">
        <f t="shared" ref="K25:K34" si="10">SUM(I25:J25)</f>
        <v>0</v>
      </c>
      <c r="L25" s="156"/>
      <c r="M25" s="156"/>
    </row>
    <row r="26" spans="2:13" x14ac:dyDescent="0.2">
      <c r="B26" s="292" t="s">
        <v>186</v>
      </c>
      <c r="C26" s="91" t="s">
        <v>95</v>
      </c>
      <c r="D26" s="295">
        <v>0</v>
      </c>
      <c r="E26" s="296">
        <f t="shared" si="6"/>
        <v>0</v>
      </c>
      <c r="F26" s="296">
        <f t="shared" si="6"/>
        <v>0</v>
      </c>
      <c r="G26" s="297">
        <f t="shared" si="7"/>
        <v>0</v>
      </c>
      <c r="H26" s="295">
        <v>0</v>
      </c>
      <c r="I26" s="296">
        <f t="shared" si="8"/>
        <v>0</v>
      </c>
      <c r="J26" s="296">
        <f t="shared" si="9"/>
        <v>0</v>
      </c>
      <c r="K26" s="297">
        <f t="shared" si="10"/>
        <v>0</v>
      </c>
      <c r="L26" s="156"/>
      <c r="M26" s="156"/>
    </row>
    <row r="27" spans="2:13" x14ac:dyDescent="0.2">
      <c r="B27" s="292" t="s">
        <v>186</v>
      </c>
      <c r="C27" s="91" t="s">
        <v>96</v>
      </c>
      <c r="D27" s="295">
        <v>0</v>
      </c>
      <c r="E27" s="296">
        <f t="shared" si="6"/>
        <v>0</v>
      </c>
      <c r="F27" s="296">
        <f t="shared" si="6"/>
        <v>0</v>
      </c>
      <c r="G27" s="297">
        <f t="shared" si="7"/>
        <v>0</v>
      </c>
      <c r="H27" s="295">
        <v>0</v>
      </c>
      <c r="I27" s="296">
        <f t="shared" si="8"/>
        <v>0</v>
      </c>
      <c r="J27" s="296">
        <f t="shared" si="9"/>
        <v>0</v>
      </c>
      <c r="K27" s="297">
        <f t="shared" si="10"/>
        <v>0</v>
      </c>
      <c r="L27" s="156"/>
      <c r="M27" s="156"/>
    </row>
    <row r="28" spans="2:13" ht="12.75" customHeight="1" x14ac:dyDescent="0.2">
      <c r="B28" s="292" t="s">
        <v>186</v>
      </c>
      <c r="C28" s="91" t="s">
        <v>97</v>
      </c>
      <c r="D28" s="295">
        <v>0</v>
      </c>
      <c r="E28" s="296">
        <f t="shared" si="6"/>
        <v>0</v>
      </c>
      <c r="F28" s="296">
        <f t="shared" si="6"/>
        <v>0</v>
      </c>
      <c r="G28" s="297">
        <f t="shared" si="7"/>
        <v>0</v>
      </c>
      <c r="H28" s="295">
        <v>0</v>
      </c>
      <c r="I28" s="296">
        <f t="shared" si="8"/>
        <v>0</v>
      </c>
      <c r="J28" s="296">
        <f t="shared" si="9"/>
        <v>0</v>
      </c>
      <c r="K28" s="297">
        <f t="shared" si="10"/>
        <v>0</v>
      </c>
      <c r="L28" s="156"/>
      <c r="M28" s="156"/>
    </row>
    <row r="29" spans="2:13" ht="12.75" customHeight="1" x14ac:dyDescent="0.2">
      <c r="B29" s="292" t="s">
        <v>186</v>
      </c>
      <c r="C29" s="159" t="s">
        <v>98</v>
      </c>
      <c r="D29" s="295">
        <v>0</v>
      </c>
      <c r="E29" s="296">
        <f t="shared" si="6"/>
        <v>0</v>
      </c>
      <c r="F29" s="296">
        <f t="shared" si="6"/>
        <v>0</v>
      </c>
      <c r="G29" s="297">
        <f t="shared" si="7"/>
        <v>0</v>
      </c>
      <c r="H29" s="295">
        <v>0</v>
      </c>
      <c r="I29" s="296">
        <f t="shared" si="8"/>
        <v>0</v>
      </c>
      <c r="J29" s="296">
        <f t="shared" si="9"/>
        <v>0</v>
      </c>
      <c r="K29" s="297">
        <f t="shared" si="10"/>
        <v>0</v>
      </c>
      <c r="L29" s="156"/>
      <c r="M29" s="156"/>
    </row>
    <row r="30" spans="2:13" x14ac:dyDescent="0.2">
      <c r="B30" s="292" t="s">
        <v>186</v>
      </c>
      <c r="C30" s="91" t="s">
        <v>99</v>
      </c>
      <c r="D30" s="295">
        <v>0</v>
      </c>
      <c r="E30" s="296">
        <f t="shared" si="6"/>
        <v>0</v>
      </c>
      <c r="F30" s="296">
        <f t="shared" si="6"/>
        <v>0</v>
      </c>
      <c r="G30" s="297">
        <f t="shared" si="7"/>
        <v>0</v>
      </c>
      <c r="H30" s="295">
        <v>0</v>
      </c>
      <c r="I30" s="296">
        <f t="shared" si="8"/>
        <v>0</v>
      </c>
      <c r="J30" s="296">
        <f t="shared" si="9"/>
        <v>0</v>
      </c>
      <c r="K30" s="297">
        <f t="shared" si="10"/>
        <v>0</v>
      </c>
      <c r="L30" s="156"/>
      <c r="M30" s="156"/>
    </row>
    <row r="31" spans="2:13" x14ac:dyDescent="0.2">
      <c r="B31" s="292" t="s">
        <v>186</v>
      </c>
      <c r="C31" s="91" t="s">
        <v>100</v>
      </c>
      <c r="D31" s="295">
        <v>0</v>
      </c>
      <c r="E31" s="296">
        <f t="shared" si="6"/>
        <v>0</v>
      </c>
      <c r="F31" s="296">
        <f t="shared" si="6"/>
        <v>0</v>
      </c>
      <c r="G31" s="297">
        <f t="shared" si="7"/>
        <v>0</v>
      </c>
      <c r="H31" s="295">
        <v>0</v>
      </c>
      <c r="I31" s="296">
        <f t="shared" si="8"/>
        <v>0</v>
      </c>
      <c r="J31" s="296">
        <f t="shared" si="9"/>
        <v>0</v>
      </c>
      <c r="K31" s="297">
        <f t="shared" si="10"/>
        <v>0</v>
      </c>
      <c r="L31" s="156"/>
      <c r="M31" s="156"/>
    </row>
    <row r="32" spans="2:13" x14ac:dyDescent="0.2">
      <c r="B32" s="292" t="s">
        <v>186</v>
      </c>
      <c r="C32" s="91" t="s">
        <v>101</v>
      </c>
      <c r="D32" s="295">
        <v>0</v>
      </c>
      <c r="E32" s="296">
        <f t="shared" si="6"/>
        <v>0</v>
      </c>
      <c r="F32" s="296">
        <f t="shared" si="6"/>
        <v>0</v>
      </c>
      <c r="G32" s="297">
        <f t="shared" si="7"/>
        <v>0</v>
      </c>
      <c r="H32" s="295">
        <v>0</v>
      </c>
      <c r="I32" s="296">
        <f t="shared" si="8"/>
        <v>0</v>
      </c>
      <c r="J32" s="296">
        <f t="shared" si="9"/>
        <v>0</v>
      </c>
      <c r="K32" s="297">
        <f t="shared" si="10"/>
        <v>0</v>
      </c>
      <c r="L32" s="156"/>
      <c r="M32" s="156"/>
    </row>
    <row r="33" spans="2:13" x14ac:dyDescent="0.2">
      <c r="B33" s="292" t="s">
        <v>186</v>
      </c>
      <c r="C33" s="91" t="s">
        <v>103</v>
      </c>
      <c r="D33" s="295">
        <v>0</v>
      </c>
      <c r="E33" s="296">
        <f t="shared" si="6"/>
        <v>0</v>
      </c>
      <c r="F33" s="296">
        <f t="shared" si="6"/>
        <v>0</v>
      </c>
      <c r="G33" s="297">
        <f t="shared" si="7"/>
        <v>0</v>
      </c>
      <c r="H33" s="295">
        <v>0</v>
      </c>
      <c r="I33" s="296">
        <f t="shared" si="8"/>
        <v>0</v>
      </c>
      <c r="J33" s="296">
        <f t="shared" si="9"/>
        <v>0</v>
      </c>
      <c r="K33" s="297">
        <f t="shared" si="10"/>
        <v>0</v>
      </c>
      <c r="L33" s="156"/>
      <c r="M33" s="156"/>
    </row>
    <row r="34" spans="2:13" x14ac:dyDescent="0.2">
      <c r="B34" s="292" t="s">
        <v>186</v>
      </c>
      <c r="C34" s="91" t="s">
        <v>105</v>
      </c>
      <c r="D34" s="295">
        <v>0</v>
      </c>
      <c r="E34" s="296">
        <f t="shared" si="6"/>
        <v>0</v>
      </c>
      <c r="F34" s="296">
        <f t="shared" si="6"/>
        <v>0</v>
      </c>
      <c r="G34" s="297">
        <f t="shared" si="7"/>
        <v>0</v>
      </c>
      <c r="H34" s="295">
        <v>0</v>
      </c>
      <c r="I34" s="296">
        <f t="shared" si="8"/>
        <v>0</v>
      </c>
      <c r="J34" s="296">
        <f t="shared" si="9"/>
        <v>0</v>
      </c>
      <c r="K34" s="297">
        <f t="shared" si="10"/>
        <v>0</v>
      </c>
      <c r="L34" s="156"/>
      <c r="M34" s="156"/>
    </row>
    <row r="35" spans="2:13" x14ac:dyDescent="0.2">
      <c r="B35" s="231"/>
      <c r="C35" s="151" t="s">
        <v>189</v>
      </c>
      <c r="D35" s="96">
        <f>SUM(D25:D34)</f>
        <v>0</v>
      </c>
      <c r="E35" s="92">
        <f>'2.1 Profit &amp; Loss by component'!D14+'2.1 Profit &amp; Loss by component'!D15</f>
        <v>0</v>
      </c>
      <c r="F35" s="92">
        <f>'2.1 Profit &amp; Loss by component'!E14+'2.1 Profit &amp; Loss by component'!E15</f>
        <v>0</v>
      </c>
      <c r="G35" s="92">
        <f>SUM(G25:G34)</f>
        <v>0</v>
      </c>
      <c r="H35" s="96">
        <f>SUM(H25:H34)</f>
        <v>0</v>
      </c>
      <c r="I35" s="92">
        <f>'2.1 Profit &amp; Loss by component'!G14+'2.1 Profit &amp; Loss by component'!G15</f>
        <v>0</v>
      </c>
      <c r="J35" s="92">
        <f>'2.1 Profit &amp; Loss by component'!H14</f>
        <v>0</v>
      </c>
      <c r="K35" s="92">
        <f>SUM(K25:K34)</f>
        <v>0</v>
      </c>
      <c r="L35" s="156"/>
      <c r="M35" s="156"/>
    </row>
    <row r="36" spans="2:13" x14ac:dyDescent="0.2">
      <c r="B36" s="153"/>
      <c r="C36" s="214" t="s">
        <v>73</v>
      </c>
      <c r="D36" s="90"/>
      <c r="E36" s="90"/>
      <c r="F36" s="90"/>
      <c r="G36" s="90"/>
      <c r="H36" s="90"/>
      <c r="I36" s="90"/>
      <c r="J36" s="90"/>
      <c r="K36" s="90"/>
      <c r="L36" s="156"/>
      <c r="M36" s="156"/>
    </row>
    <row r="37" spans="2:13" x14ac:dyDescent="0.2">
      <c r="B37" s="292" t="s">
        <v>186</v>
      </c>
      <c r="C37" s="91" t="s">
        <v>93</v>
      </c>
      <c r="D37" s="295">
        <v>0</v>
      </c>
      <c r="E37" s="296">
        <f>$D37*'2.4 Indirect revenue'!$G$42</f>
        <v>0</v>
      </c>
      <c r="F37" s="296">
        <f>$D37*'2.4 Indirect revenue'!$H$42</f>
        <v>0</v>
      </c>
      <c r="G37" s="297">
        <f t="shared" ref="G37:G46" si="11">SUM(E37:F37)</f>
        <v>0</v>
      </c>
      <c r="H37" s="295">
        <v>0</v>
      </c>
      <c r="I37" s="296">
        <f t="shared" ref="I37:I46" si="12">H37*$I$47</f>
        <v>0</v>
      </c>
      <c r="J37" s="296">
        <f t="shared" ref="J37:J46" si="13">H37*$J$47</f>
        <v>0</v>
      </c>
      <c r="K37" s="297">
        <f t="shared" ref="K37:K46" si="14">SUM(I37:J37)</f>
        <v>0</v>
      </c>
      <c r="L37" s="156"/>
      <c r="M37" s="156"/>
    </row>
    <row r="38" spans="2:13" x14ac:dyDescent="0.2">
      <c r="B38" s="292" t="s">
        <v>186</v>
      </c>
      <c r="C38" s="91" t="s">
        <v>95</v>
      </c>
      <c r="D38" s="295">
        <v>0</v>
      </c>
      <c r="E38" s="296">
        <f>$D38*'2.4 Indirect revenue'!$G$42</f>
        <v>0</v>
      </c>
      <c r="F38" s="296">
        <f>$D38*'2.4 Indirect revenue'!$H$42</f>
        <v>0</v>
      </c>
      <c r="G38" s="297">
        <f t="shared" si="11"/>
        <v>0</v>
      </c>
      <c r="H38" s="295">
        <v>0</v>
      </c>
      <c r="I38" s="296">
        <f t="shared" si="12"/>
        <v>0</v>
      </c>
      <c r="J38" s="296">
        <f t="shared" si="13"/>
        <v>0</v>
      </c>
      <c r="K38" s="297">
        <f t="shared" si="14"/>
        <v>0</v>
      </c>
      <c r="L38" s="156"/>
      <c r="M38" s="156"/>
    </row>
    <row r="39" spans="2:13" x14ac:dyDescent="0.2">
      <c r="B39" s="292" t="s">
        <v>186</v>
      </c>
      <c r="C39" s="91" t="s">
        <v>96</v>
      </c>
      <c r="D39" s="295">
        <v>0</v>
      </c>
      <c r="E39" s="296">
        <f>$D39*'2.4 Indirect revenue'!$G$42</f>
        <v>0</v>
      </c>
      <c r="F39" s="296">
        <f>$D39*'2.4 Indirect revenue'!$H$42</f>
        <v>0</v>
      </c>
      <c r="G39" s="297">
        <f t="shared" si="11"/>
        <v>0</v>
      </c>
      <c r="H39" s="295">
        <v>0</v>
      </c>
      <c r="I39" s="296">
        <f t="shared" si="12"/>
        <v>0</v>
      </c>
      <c r="J39" s="296">
        <f t="shared" si="13"/>
        <v>0</v>
      </c>
      <c r="K39" s="297">
        <f t="shared" si="14"/>
        <v>0</v>
      </c>
      <c r="L39" s="156"/>
      <c r="M39" s="156"/>
    </row>
    <row r="40" spans="2:13" x14ac:dyDescent="0.2">
      <c r="B40" s="292" t="s">
        <v>186</v>
      </c>
      <c r="C40" s="91" t="s">
        <v>97</v>
      </c>
      <c r="D40" s="295">
        <v>0</v>
      </c>
      <c r="E40" s="296">
        <f>$D40*'2.4 Indirect revenue'!$G$42</f>
        <v>0</v>
      </c>
      <c r="F40" s="296">
        <f>$D40*'2.4 Indirect revenue'!$H$42</f>
        <v>0</v>
      </c>
      <c r="G40" s="297">
        <f t="shared" si="11"/>
        <v>0</v>
      </c>
      <c r="H40" s="295">
        <v>0</v>
      </c>
      <c r="I40" s="296">
        <f t="shared" si="12"/>
        <v>0</v>
      </c>
      <c r="J40" s="296">
        <f t="shared" si="13"/>
        <v>0</v>
      </c>
      <c r="K40" s="297">
        <f t="shared" si="14"/>
        <v>0</v>
      </c>
      <c r="L40" s="156"/>
      <c r="M40" s="156"/>
    </row>
    <row r="41" spans="2:13" x14ac:dyDescent="0.2">
      <c r="B41" s="292" t="s">
        <v>186</v>
      </c>
      <c r="C41" s="159" t="s">
        <v>98</v>
      </c>
      <c r="D41" s="295">
        <v>0</v>
      </c>
      <c r="E41" s="296">
        <f>$D41*'2.4 Indirect revenue'!$G$42</f>
        <v>0</v>
      </c>
      <c r="F41" s="296">
        <f>$D41*'2.4 Indirect revenue'!$H$42</f>
        <v>0</v>
      </c>
      <c r="G41" s="297">
        <f t="shared" si="11"/>
        <v>0</v>
      </c>
      <c r="H41" s="295">
        <v>0</v>
      </c>
      <c r="I41" s="296">
        <f t="shared" si="12"/>
        <v>0</v>
      </c>
      <c r="J41" s="296">
        <f t="shared" si="13"/>
        <v>0</v>
      </c>
      <c r="K41" s="297">
        <f t="shared" si="14"/>
        <v>0</v>
      </c>
      <c r="L41" s="156"/>
      <c r="M41" s="156"/>
    </row>
    <row r="42" spans="2:13" x14ac:dyDescent="0.2">
      <c r="B42" s="292" t="s">
        <v>186</v>
      </c>
      <c r="C42" s="91" t="s">
        <v>99</v>
      </c>
      <c r="D42" s="295">
        <v>0</v>
      </c>
      <c r="E42" s="296">
        <f>$D42*'2.4 Indirect revenue'!$G$42</f>
        <v>0</v>
      </c>
      <c r="F42" s="296">
        <f>$D42*'2.4 Indirect revenue'!$H$42</f>
        <v>0</v>
      </c>
      <c r="G42" s="297">
        <f t="shared" si="11"/>
        <v>0</v>
      </c>
      <c r="H42" s="295">
        <v>0</v>
      </c>
      <c r="I42" s="296">
        <f t="shared" si="12"/>
        <v>0</v>
      </c>
      <c r="J42" s="296">
        <f t="shared" si="13"/>
        <v>0</v>
      </c>
      <c r="K42" s="297">
        <f t="shared" si="14"/>
        <v>0</v>
      </c>
      <c r="L42" s="156"/>
      <c r="M42" s="156"/>
    </row>
    <row r="43" spans="2:13" x14ac:dyDescent="0.2">
      <c r="B43" s="292" t="s">
        <v>186</v>
      </c>
      <c r="C43" s="91" t="s">
        <v>100</v>
      </c>
      <c r="D43" s="295">
        <v>0</v>
      </c>
      <c r="E43" s="296">
        <f>$D43*'2.4 Indirect revenue'!$G$42</f>
        <v>0</v>
      </c>
      <c r="F43" s="296">
        <f>$D43*'2.4 Indirect revenue'!$H$42</f>
        <v>0</v>
      </c>
      <c r="G43" s="297">
        <f t="shared" si="11"/>
        <v>0</v>
      </c>
      <c r="H43" s="295">
        <v>0</v>
      </c>
      <c r="I43" s="296">
        <f t="shared" si="12"/>
        <v>0</v>
      </c>
      <c r="J43" s="296">
        <f t="shared" si="13"/>
        <v>0</v>
      </c>
      <c r="K43" s="297">
        <f t="shared" si="14"/>
        <v>0</v>
      </c>
      <c r="L43" s="156"/>
      <c r="M43" s="156"/>
    </row>
    <row r="44" spans="2:13" x14ac:dyDescent="0.2">
      <c r="B44" s="292" t="s">
        <v>186</v>
      </c>
      <c r="C44" s="91" t="s">
        <v>101</v>
      </c>
      <c r="D44" s="295">
        <v>0</v>
      </c>
      <c r="E44" s="296">
        <f>$D44*'2.4 Indirect revenue'!$G$42</f>
        <v>0</v>
      </c>
      <c r="F44" s="296">
        <f>$D44*'2.4 Indirect revenue'!$H$42</f>
        <v>0</v>
      </c>
      <c r="G44" s="297">
        <f t="shared" si="11"/>
        <v>0</v>
      </c>
      <c r="H44" s="295">
        <v>0</v>
      </c>
      <c r="I44" s="296">
        <f t="shared" si="12"/>
        <v>0</v>
      </c>
      <c r="J44" s="296">
        <f t="shared" si="13"/>
        <v>0</v>
      </c>
      <c r="K44" s="297">
        <f t="shared" si="14"/>
        <v>0</v>
      </c>
      <c r="L44" s="156"/>
      <c r="M44" s="156"/>
    </row>
    <row r="45" spans="2:13" x14ac:dyDescent="0.2">
      <c r="B45" s="292" t="s">
        <v>186</v>
      </c>
      <c r="C45" s="91" t="s">
        <v>103</v>
      </c>
      <c r="D45" s="295">
        <v>0</v>
      </c>
      <c r="E45" s="296">
        <f>$D45*'2.4 Indirect revenue'!$G$42</f>
        <v>0</v>
      </c>
      <c r="F45" s="296">
        <f>$D45*'2.4 Indirect revenue'!$H$42</f>
        <v>0</v>
      </c>
      <c r="G45" s="297">
        <f t="shared" si="11"/>
        <v>0</v>
      </c>
      <c r="H45" s="295">
        <v>0</v>
      </c>
      <c r="I45" s="296">
        <f t="shared" si="12"/>
        <v>0</v>
      </c>
      <c r="J45" s="296">
        <f t="shared" si="13"/>
        <v>0</v>
      </c>
      <c r="K45" s="297">
        <f t="shared" si="14"/>
        <v>0</v>
      </c>
      <c r="L45" s="156"/>
      <c r="M45" s="156"/>
    </row>
    <row r="46" spans="2:13" x14ac:dyDescent="0.2">
      <c r="B46" s="292" t="s">
        <v>186</v>
      </c>
      <c r="C46" s="91" t="s">
        <v>105</v>
      </c>
      <c r="D46" s="295">
        <v>0</v>
      </c>
      <c r="E46" s="296">
        <f>$D46*'2.4 Indirect revenue'!$G$42</f>
        <v>0</v>
      </c>
      <c r="F46" s="296">
        <f>$D46*'2.4 Indirect revenue'!$H$42</f>
        <v>0</v>
      </c>
      <c r="G46" s="297">
        <f t="shared" si="11"/>
        <v>0</v>
      </c>
      <c r="H46" s="295">
        <v>0</v>
      </c>
      <c r="I46" s="296">
        <f t="shared" si="12"/>
        <v>0</v>
      </c>
      <c r="J46" s="296">
        <f t="shared" si="13"/>
        <v>0</v>
      </c>
      <c r="K46" s="297">
        <f t="shared" si="14"/>
        <v>0</v>
      </c>
      <c r="L46" s="156"/>
      <c r="M46" s="156"/>
    </row>
    <row r="47" spans="2:13" x14ac:dyDescent="0.2">
      <c r="B47" s="231"/>
      <c r="C47" s="151" t="s">
        <v>190</v>
      </c>
      <c r="D47" s="96">
        <f>SUM(D37:D46)</f>
        <v>0</v>
      </c>
      <c r="E47" s="92">
        <f>'2.1 Profit &amp; Loss by component'!D21</f>
        <v>0</v>
      </c>
      <c r="F47" s="92">
        <f>'2.1 Profit &amp; Loss by component'!E21</f>
        <v>0</v>
      </c>
      <c r="G47" s="92">
        <f>SUM(G37:G46)</f>
        <v>0</v>
      </c>
      <c r="H47" s="96">
        <f>SUM(H37:H46)</f>
        <v>0</v>
      </c>
      <c r="I47" s="92">
        <f>'2.1 Profit &amp; Loss by component'!G21</f>
        <v>0</v>
      </c>
      <c r="J47" s="92">
        <f>'2.1 Profit &amp; Loss by component'!H21</f>
        <v>0</v>
      </c>
      <c r="K47" s="92">
        <f>SUM(K37:K46)</f>
        <v>0</v>
      </c>
      <c r="L47" s="156"/>
      <c r="M47" s="156"/>
    </row>
    <row r="48" spans="2:13" ht="14.25" x14ac:dyDescent="0.2">
      <c r="B48" s="231"/>
      <c r="C48" s="151" t="s">
        <v>74</v>
      </c>
      <c r="D48" s="216"/>
      <c r="E48" s="92">
        <f>E47+E35+E23</f>
        <v>10471180.735741159</v>
      </c>
      <c r="F48" s="92">
        <f>F47+F35+F23</f>
        <v>0</v>
      </c>
      <c r="G48" s="92">
        <f>G47+G35+G23</f>
        <v>10471180.735741161</v>
      </c>
      <c r="H48" s="216"/>
      <c r="I48" s="92">
        <f>I47+I35+I23</f>
        <v>9561445.7956801318</v>
      </c>
      <c r="J48" s="92">
        <f>J47+J35+J23</f>
        <v>0</v>
      </c>
      <c r="K48" s="92">
        <f>K47+K35+K23</f>
        <v>9561445.7956801318</v>
      </c>
      <c r="L48" s="156"/>
      <c r="M48" s="156"/>
    </row>
    <row r="49" spans="2:13" x14ac:dyDescent="0.2">
      <c r="B49" s="156"/>
      <c r="C49" s="156"/>
      <c r="D49" s="156"/>
      <c r="E49" s="156"/>
      <c r="F49" s="156"/>
      <c r="G49" s="156"/>
      <c r="H49" s="156"/>
      <c r="I49" s="156"/>
      <c r="J49" s="156"/>
      <c r="K49" s="156"/>
      <c r="L49" s="156"/>
      <c r="M49" s="156"/>
    </row>
    <row r="50" spans="2:13" ht="15.75" x14ac:dyDescent="0.2">
      <c r="B50" s="205" t="s">
        <v>191</v>
      </c>
      <c r="C50" s="156"/>
      <c r="D50" s="156"/>
      <c r="E50" s="156"/>
      <c r="F50" s="156"/>
      <c r="G50" s="156"/>
      <c r="H50" s="156"/>
      <c r="I50" s="156"/>
      <c r="J50" s="156"/>
      <c r="K50" s="156"/>
      <c r="L50" s="156"/>
      <c r="M50" s="156"/>
    </row>
    <row r="51" spans="2:13" x14ac:dyDescent="0.2">
      <c r="B51" s="206"/>
      <c r="C51" s="207"/>
      <c r="D51" s="208"/>
      <c r="E51" s="208"/>
      <c r="F51" s="208"/>
      <c r="G51" s="208"/>
      <c r="H51" s="208"/>
      <c r="I51" s="208"/>
      <c r="J51" s="208"/>
      <c r="K51" s="208"/>
      <c r="L51" s="156"/>
      <c r="M51" s="156"/>
    </row>
    <row r="52" spans="2:13" x14ac:dyDescent="0.2">
      <c r="B52" s="209"/>
      <c r="C52" s="209"/>
      <c r="D52" s="421" t="s">
        <v>182</v>
      </c>
      <c r="E52" s="422"/>
      <c r="F52" s="422"/>
      <c r="G52" s="423"/>
      <c r="H52" s="421" t="s">
        <v>143</v>
      </c>
      <c r="I52" s="422"/>
      <c r="J52" s="422"/>
      <c r="K52" s="423"/>
      <c r="L52" s="156"/>
      <c r="M52" s="156"/>
    </row>
    <row r="53" spans="2:13" ht="38.25" x14ac:dyDescent="0.2">
      <c r="B53" s="46" t="s">
        <v>131</v>
      </c>
      <c r="C53" s="209" t="s">
        <v>132</v>
      </c>
      <c r="D53" s="179" t="s">
        <v>183</v>
      </c>
      <c r="E53" s="179" t="s">
        <v>144</v>
      </c>
      <c r="F53" s="179" t="s">
        <v>145</v>
      </c>
      <c r="G53" s="179" t="s">
        <v>71</v>
      </c>
      <c r="H53" s="179" t="s">
        <v>183</v>
      </c>
      <c r="I53" s="179" t="s">
        <v>144</v>
      </c>
      <c r="J53" s="179" t="s">
        <v>145</v>
      </c>
      <c r="K53" s="179" t="s">
        <v>71</v>
      </c>
      <c r="L53" s="156"/>
      <c r="M53" s="156"/>
    </row>
    <row r="54" spans="2:13" x14ac:dyDescent="0.2">
      <c r="B54" s="46"/>
      <c r="C54" s="209"/>
      <c r="D54" s="90" t="s">
        <v>184</v>
      </c>
      <c r="E54" s="90" t="s">
        <v>134</v>
      </c>
      <c r="F54" s="90" t="s">
        <v>134</v>
      </c>
      <c r="G54" s="90" t="s">
        <v>134</v>
      </c>
      <c r="H54" s="90" t="s">
        <v>184</v>
      </c>
      <c r="I54" s="90" t="s">
        <v>134</v>
      </c>
      <c r="J54" s="90" t="s">
        <v>134</v>
      </c>
      <c r="K54" s="90" t="s">
        <v>134</v>
      </c>
      <c r="L54" s="156"/>
      <c r="M54" s="156"/>
    </row>
    <row r="55" spans="2:13" x14ac:dyDescent="0.2">
      <c r="B55" s="153"/>
      <c r="C55" s="214" t="s">
        <v>192</v>
      </c>
      <c r="D55" s="90"/>
      <c r="E55" s="90"/>
      <c r="F55" s="90"/>
      <c r="G55" s="90"/>
      <c r="H55" s="90"/>
      <c r="I55" s="90"/>
      <c r="J55" s="90"/>
      <c r="K55" s="90"/>
      <c r="L55" s="156"/>
      <c r="M55" s="156"/>
    </row>
    <row r="56" spans="2:13" x14ac:dyDescent="0.2">
      <c r="B56" s="292" t="s">
        <v>186</v>
      </c>
      <c r="C56" s="91" t="s">
        <v>93</v>
      </c>
      <c r="D56" s="295">
        <v>0.97192258798925968</v>
      </c>
      <c r="E56" s="296">
        <f t="shared" ref="E56:E65" si="15">D56*$E$66</f>
        <v>949462.22479967203</v>
      </c>
      <c r="F56" s="296">
        <f t="shared" ref="F56:F65" si="16">D56*$F$66</f>
        <v>0</v>
      </c>
      <c r="G56" s="297">
        <f t="shared" ref="G56:G65" si="17">SUM(E56:F56)</f>
        <v>949462.22479967203</v>
      </c>
      <c r="H56" s="295">
        <v>1</v>
      </c>
      <c r="I56" s="296">
        <f t="shared" ref="I56:I65" si="18">H56*$I$66</f>
        <v>775180.04999999981</v>
      </c>
      <c r="J56" s="296">
        <f t="shared" ref="J56:J65" si="19">H56*$J$66</f>
        <v>0</v>
      </c>
      <c r="K56" s="297">
        <f t="shared" ref="K56:K65" si="20">SUM(I56:J56)</f>
        <v>775180.04999999981</v>
      </c>
      <c r="L56" s="156"/>
      <c r="M56" s="156"/>
    </row>
    <row r="57" spans="2:13" x14ac:dyDescent="0.2">
      <c r="B57" s="292" t="s">
        <v>186</v>
      </c>
      <c r="C57" s="91" t="s">
        <v>95</v>
      </c>
      <c r="D57" s="295">
        <v>0</v>
      </c>
      <c r="E57" s="296">
        <f t="shared" si="15"/>
        <v>0</v>
      </c>
      <c r="F57" s="296">
        <f t="shared" si="16"/>
        <v>0</v>
      </c>
      <c r="G57" s="297">
        <f t="shared" si="17"/>
        <v>0</v>
      </c>
      <c r="H57" s="295">
        <v>0</v>
      </c>
      <c r="I57" s="296">
        <f t="shared" si="18"/>
        <v>0</v>
      </c>
      <c r="J57" s="296">
        <f t="shared" si="19"/>
        <v>0</v>
      </c>
      <c r="K57" s="297">
        <f t="shared" si="20"/>
        <v>0</v>
      </c>
      <c r="L57" s="156"/>
      <c r="M57" s="156"/>
    </row>
    <row r="58" spans="2:13" x14ac:dyDescent="0.2">
      <c r="B58" s="292" t="s">
        <v>186</v>
      </c>
      <c r="C58" s="91" t="s">
        <v>96</v>
      </c>
      <c r="D58" s="295">
        <v>2.021546938176793E-2</v>
      </c>
      <c r="E58" s="296">
        <f t="shared" si="15"/>
        <v>19748.305854576076</v>
      </c>
      <c r="F58" s="296">
        <f t="shared" si="16"/>
        <v>0</v>
      </c>
      <c r="G58" s="297">
        <f t="shared" si="17"/>
        <v>19748.305854576076</v>
      </c>
      <c r="H58" s="295">
        <v>0</v>
      </c>
      <c r="I58" s="296">
        <f t="shared" si="18"/>
        <v>0</v>
      </c>
      <c r="J58" s="296">
        <f t="shared" si="19"/>
        <v>0</v>
      </c>
      <c r="K58" s="297">
        <f t="shared" si="20"/>
        <v>0</v>
      </c>
      <c r="L58" s="156"/>
      <c r="M58" s="156"/>
    </row>
    <row r="59" spans="2:13" x14ac:dyDescent="0.2">
      <c r="B59" s="292" t="s">
        <v>186</v>
      </c>
      <c r="C59" s="91" t="s">
        <v>97</v>
      </c>
      <c r="D59" s="295">
        <v>0</v>
      </c>
      <c r="E59" s="296">
        <f t="shared" si="15"/>
        <v>0</v>
      </c>
      <c r="F59" s="296">
        <f t="shared" si="16"/>
        <v>0</v>
      </c>
      <c r="G59" s="297">
        <f t="shared" si="17"/>
        <v>0</v>
      </c>
      <c r="H59" s="295">
        <v>0</v>
      </c>
      <c r="I59" s="296">
        <f t="shared" si="18"/>
        <v>0</v>
      </c>
      <c r="J59" s="296">
        <f t="shared" si="19"/>
        <v>0</v>
      </c>
      <c r="K59" s="297">
        <f t="shared" si="20"/>
        <v>0</v>
      </c>
      <c r="L59" s="156"/>
      <c r="M59" s="156"/>
    </row>
    <row r="60" spans="2:13" x14ac:dyDescent="0.2">
      <c r="B60" s="292" t="s">
        <v>186</v>
      </c>
      <c r="C60" s="159" t="s">
        <v>98</v>
      </c>
      <c r="D60" s="295">
        <v>0</v>
      </c>
      <c r="E60" s="296">
        <f t="shared" si="15"/>
        <v>0</v>
      </c>
      <c r="F60" s="296">
        <f t="shared" si="16"/>
        <v>0</v>
      </c>
      <c r="G60" s="297">
        <f t="shared" si="17"/>
        <v>0</v>
      </c>
      <c r="H60" s="295">
        <v>0</v>
      </c>
      <c r="I60" s="296">
        <f t="shared" si="18"/>
        <v>0</v>
      </c>
      <c r="J60" s="296">
        <f t="shared" si="19"/>
        <v>0</v>
      </c>
      <c r="K60" s="297">
        <f t="shared" si="20"/>
        <v>0</v>
      </c>
      <c r="L60" s="156"/>
      <c r="M60" s="156"/>
    </row>
    <row r="61" spans="2:13" x14ac:dyDescent="0.2">
      <c r="B61" s="292" t="s">
        <v>186</v>
      </c>
      <c r="C61" s="91" t="s">
        <v>99</v>
      </c>
      <c r="D61" s="295">
        <v>0</v>
      </c>
      <c r="E61" s="296">
        <f t="shared" si="15"/>
        <v>0</v>
      </c>
      <c r="F61" s="296">
        <f t="shared" si="16"/>
        <v>0</v>
      </c>
      <c r="G61" s="297">
        <f t="shared" si="17"/>
        <v>0</v>
      </c>
      <c r="H61" s="295">
        <v>0</v>
      </c>
      <c r="I61" s="296">
        <f t="shared" si="18"/>
        <v>0</v>
      </c>
      <c r="J61" s="296">
        <f t="shared" si="19"/>
        <v>0</v>
      </c>
      <c r="K61" s="297">
        <f t="shared" si="20"/>
        <v>0</v>
      </c>
      <c r="L61" s="156"/>
      <c r="M61" s="156"/>
    </row>
    <row r="62" spans="2:13" x14ac:dyDescent="0.2">
      <c r="B62" s="292" t="s">
        <v>186</v>
      </c>
      <c r="C62" s="91" t="s">
        <v>100</v>
      </c>
      <c r="D62" s="295">
        <v>0</v>
      </c>
      <c r="E62" s="296">
        <f t="shared" si="15"/>
        <v>0</v>
      </c>
      <c r="F62" s="296">
        <f t="shared" si="16"/>
        <v>0</v>
      </c>
      <c r="G62" s="297">
        <f t="shared" si="17"/>
        <v>0</v>
      </c>
      <c r="H62" s="295">
        <v>0</v>
      </c>
      <c r="I62" s="296">
        <f t="shared" si="18"/>
        <v>0</v>
      </c>
      <c r="J62" s="296">
        <f t="shared" si="19"/>
        <v>0</v>
      </c>
      <c r="K62" s="297">
        <f t="shared" si="20"/>
        <v>0</v>
      </c>
      <c r="L62" s="156"/>
      <c r="M62" s="156"/>
    </row>
    <row r="63" spans="2:13" x14ac:dyDescent="0.2">
      <c r="B63" s="292" t="s">
        <v>186</v>
      </c>
      <c r="C63" s="91" t="s">
        <v>101</v>
      </c>
      <c r="D63" s="295">
        <v>9.5911992737281442E-5</v>
      </c>
      <c r="E63" s="296">
        <f t="shared" si="15"/>
        <v>93.695542355597084</v>
      </c>
      <c r="F63" s="296">
        <f t="shared" si="16"/>
        <v>0</v>
      </c>
      <c r="G63" s="297">
        <f t="shared" si="17"/>
        <v>93.695542355597084</v>
      </c>
      <c r="H63" s="295">
        <v>0</v>
      </c>
      <c r="I63" s="296">
        <f t="shared" si="18"/>
        <v>0</v>
      </c>
      <c r="J63" s="296">
        <f t="shared" si="19"/>
        <v>0</v>
      </c>
      <c r="K63" s="297">
        <f t="shared" si="20"/>
        <v>0</v>
      </c>
      <c r="L63" s="156"/>
      <c r="M63" s="156"/>
    </row>
    <row r="64" spans="2:13" x14ac:dyDescent="0.2">
      <c r="B64" s="292" t="s">
        <v>186</v>
      </c>
      <c r="C64" s="91" t="s">
        <v>103</v>
      </c>
      <c r="D64" s="295">
        <v>1.3823066406322112E-3</v>
      </c>
      <c r="E64" s="296">
        <f t="shared" si="15"/>
        <v>1350.3626261894462</v>
      </c>
      <c r="F64" s="296">
        <f t="shared" si="16"/>
        <v>0</v>
      </c>
      <c r="G64" s="297">
        <f t="shared" si="17"/>
        <v>1350.3626261894462</v>
      </c>
      <c r="H64" s="295">
        <v>0</v>
      </c>
      <c r="I64" s="296">
        <f t="shared" si="18"/>
        <v>0</v>
      </c>
      <c r="J64" s="296">
        <f t="shared" si="19"/>
        <v>0</v>
      </c>
      <c r="K64" s="297">
        <f t="shared" si="20"/>
        <v>0</v>
      </c>
      <c r="L64" s="156"/>
      <c r="M64" s="156"/>
    </row>
    <row r="65" spans="2:13" x14ac:dyDescent="0.2">
      <c r="B65" s="292" t="s">
        <v>186</v>
      </c>
      <c r="C65" s="91" t="s">
        <v>105</v>
      </c>
      <c r="D65" s="295">
        <v>6.3837239956030653E-3</v>
      </c>
      <c r="E65" s="296">
        <f t="shared" si="15"/>
        <v>6236.2011772066326</v>
      </c>
      <c r="F65" s="296">
        <f t="shared" si="16"/>
        <v>0</v>
      </c>
      <c r="G65" s="297">
        <f t="shared" si="17"/>
        <v>6236.2011772066326</v>
      </c>
      <c r="H65" s="295">
        <v>0</v>
      </c>
      <c r="I65" s="296">
        <f t="shared" si="18"/>
        <v>0</v>
      </c>
      <c r="J65" s="296">
        <f t="shared" si="19"/>
        <v>0</v>
      </c>
      <c r="K65" s="297">
        <f t="shared" si="20"/>
        <v>0</v>
      </c>
      <c r="L65" s="156"/>
      <c r="M65" s="156"/>
    </row>
    <row r="66" spans="2:13" x14ac:dyDescent="0.2">
      <c r="B66" s="231"/>
      <c r="C66" s="151" t="s">
        <v>193</v>
      </c>
      <c r="D66" s="96">
        <f>SUM(D56:D65)</f>
        <v>1.0000000000000002</v>
      </c>
      <c r="E66" s="92">
        <f>'2.1 Profit &amp; Loss by component'!D32-'2.1 Profit &amp; Loss by component'!D26</f>
        <v>976890.78999999957</v>
      </c>
      <c r="F66" s="92">
        <f>'2.1 Profit &amp; Loss by component'!E32-'2.1 Profit &amp; Loss by component'!E26</f>
        <v>0</v>
      </c>
      <c r="G66" s="92">
        <f>SUM(G56:G65)</f>
        <v>976890.7899999998</v>
      </c>
      <c r="H66" s="96">
        <f>SUM(H56:H65)</f>
        <v>1</v>
      </c>
      <c r="I66" s="92">
        <f>'2.1 Profit &amp; Loss by component'!G32-'2.1 Profit &amp; Loss by component'!G26</f>
        <v>775180.04999999981</v>
      </c>
      <c r="J66" s="92">
        <f>'2.1 Profit &amp; Loss by component'!H32-'2.1 Profit &amp; Loss by component'!H26</f>
        <v>0</v>
      </c>
      <c r="K66" s="92">
        <f>SUM(K56:K65)</f>
        <v>775180.04999999981</v>
      </c>
      <c r="L66" s="156"/>
      <c r="M66" s="156"/>
    </row>
    <row r="67" spans="2:13" x14ac:dyDescent="0.2">
      <c r="B67" s="153"/>
      <c r="C67" s="214" t="s">
        <v>194</v>
      </c>
      <c r="D67" s="90"/>
      <c r="E67" s="90"/>
      <c r="F67" s="90"/>
      <c r="G67" s="90"/>
      <c r="H67" s="90"/>
      <c r="I67" s="90"/>
      <c r="J67" s="90"/>
      <c r="K67" s="90"/>
      <c r="L67" s="156"/>
      <c r="M67" s="156"/>
    </row>
    <row r="68" spans="2:13" x14ac:dyDescent="0.2">
      <c r="B68" s="292" t="s">
        <v>186</v>
      </c>
      <c r="C68" s="91" t="s">
        <v>93</v>
      </c>
      <c r="D68" s="295">
        <v>0.97192258798925968</v>
      </c>
      <c r="E68" s="296">
        <f t="shared" ref="E68:E77" si="21">D68*$E$78</f>
        <v>2806220.3836289984</v>
      </c>
      <c r="F68" s="296">
        <f t="shared" ref="F68:F77" si="22">D68*$F$78</f>
        <v>0</v>
      </c>
      <c r="G68" s="297">
        <f t="shared" ref="G68:G77" si="23">SUM(E68:F68)</f>
        <v>2806220.3836289984</v>
      </c>
      <c r="H68" s="295">
        <v>1</v>
      </c>
      <c r="I68" s="296">
        <f t="shared" ref="I68:I77" si="24">H68*$I$78</f>
        <v>7513314.8794035288</v>
      </c>
      <c r="J68" s="296">
        <f t="shared" ref="J68:J77" si="25">H68*$J$78</f>
        <v>0</v>
      </c>
      <c r="K68" s="297">
        <f t="shared" ref="K68:K77" si="26">SUM(I68:J68)</f>
        <v>7513314.8794035288</v>
      </c>
      <c r="L68" s="156"/>
      <c r="M68" s="156"/>
    </row>
    <row r="69" spans="2:13" x14ac:dyDescent="0.2">
      <c r="B69" s="292" t="s">
        <v>186</v>
      </c>
      <c r="C69" s="91" t="s">
        <v>95</v>
      </c>
      <c r="D69" s="295">
        <v>0</v>
      </c>
      <c r="E69" s="296">
        <f t="shared" si="21"/>
        <v>0</v>
      </c>
      <c r="F69" s="296">
        <f t="shared" si="22"/>
        <v>0</v>
      </c>
      <c r="G69" s="297">
        <f t="shared" si="23"/>
        <v>0</v>
      </c>
      <c r="H69" s="295">
        <v>0</v>
      </c>
      <c r="I69" s="296">
        <f t="shared" si="24"/>
        <v>0</v>
      </c>
      <c r="J69" s="296">
        <f t="shared" si="25"/>
        <v>0</v>
      </c>
      <c r="K69" s="297">
        <f t="shared" si="26"/>
        <v>0</v>
      </c>
      <c r="L69" s="156"/>
      <c r="M69" s="156"/>
    </row>
    <row r="70" spans="2:13" x14ac:dyDescent="0.2">
      <c r="B70" s="292" t="s">
        <v>186</v>
      </c>
      <c r="C70" s="91" t="s">
        <v>96</v>
      </c>
      <c r="D70" s="295">
        <v>2.021546938176793E-2</v>
      </c>
      <c r="E70" s="296">
        <f t="shared" si="21"/>
        <v>58367.881295060462</v>
      </c>
      <c r="F70" s="296">
        <f t="shared" si="22"/>
        <v>0</v>
      </c>
      <c r="G70" s="297">
        <f t="shared" si="23"/>
        <v>58367.881295060462</v>
      </c>
      <c r="H70" s="295">
        <v>0</v>
      </c>
      <c r="I70" s="296">
        <f t="shared" si="24"/>
        <v>0</v>
      </c>
      <c r="J70" s="296">
        <f t="shared" si="25"/>
        <v>0</v>
      </c>
      <c r="K70" s="297">
        <f t="shared" si="26"/>
        <v>0</v>
      </c>
      <c r="L70" s="156"/>
      <c r="M70" s="156"/>
    </row>
    <row r="71" spans="2:13" x14ac:dyDescent="0.2">
      <c r="B71" s="292" t="s">
        <v>186</v>
      </c>
      <c r="C71" s="91" t="s">
        <v>97</v>
      </c>
      <c r="D71" s="295">
        <v>0</v>
      </c>
      <c r="E71" s="296">
        <f t="shared" si="21"/>
        <v>0</v>
      </c>
      <c r="F71" s="296">
        <f t="shared" si="22"/>
        <v>0</v>
      </c>
      <c r="G71" s="297">
        <f t="shared" si="23"/>
        <v>0</v>
      </c>
      <c r="H71" s="295">
        <v>0</v>
      </c>
      <c r="I71" s="296">
        <f t="shared" si="24"/>
        <v>0</v>
      </c>
      <c r="J71" s="296">
        <f t="shared" si="25"/>
        <v>0</v>
      </c>
      <c r="K71" s="297">
        <f t="shared" si="26"/>
        <v>0</v>
      </c>
      <c r="L71" s="156"/>
      <c r="M71" s="156"/>
    </row>
    <row r="72" spans="2:13" x14ac:dyDescent="0.2">
      <c r="B72" s="292" t="s">
        <v>186</v>
      </c>
      <c r="C72" s="159" t="s">
        <v>98</v>
      </c>
      <c r="D72" s="295">
        <v>0</v>
      </c>
      <c r="E72" s="296">
        <f t="shared" si="21"/>
        <v>0</v>
      </c>
      <c r="F72" s="296">
        <f t="shared" si="22"/>
        <v>0</v>
      </c>
      <c r="G72" s="297">
        <f t="shared" si="23"/>
        <v>0</v>
      </c>
      <c r="H72" s="295">
        <v>0</v>
      </c>
      <c r="I72" s="296">
        <f t="shared" si="24"/>
        <v>0</v>
      </c>
      <c r="J72" s="296">
        <f t="shared" si="25"/>
        <v>0</v>
      </c>
      <c r="K72" s="297">
        <f t="shared" si="26"/>
        <v>0</v>
      </c>
      <c r="L72" s="156"/>
      <c r="M72" s="156"/>
    </row>
    <row r="73" spans="2:13" x14ac:dyDescent="0.2">
      <c r="B73" s="292" t="s">
        <v>186</v>
      </c>
      <c r="C73" s="91" t="s">
        <v>99</v>
      </c>
      <c r="D73" s="295">
        <v>0</v>
      </c>
      <c r="E73" s="296">
        <f t="shared" si="21"/>
        <v>0</v>
      </c>
      <c r="F73" s="296">
        <f t="shared" si="22"/>
        <v>0</v>
      </c>
      <c r="G73" s="297">
        <f t="shared" si="23"/>
        <v>0</v>
      </c>
      <c r="H73" s="295">
        <v>0</v>
      </c>
      <c r="I73" s="296">
        <f t="shared" si="24"/>
        <v>0</v>
      </c>
      <c r="J73" s="296">
        <f t="shared" si="25"/>
        <v>0</v>
      </c>
      <c r="K73" s="297">
        <f t="shared" si="26"/>
        <v>0</v>
      </c>
      <c r="L73" s="156"/>
      <c r="M73" s="156"/>
    </row>
    <row r="74" spans="2:13" x14ac:dyDescent="0.2">
      <c r="B74" s="292" t="s">
        <v>186</v>
      </c>
      <c r="C74" s="91" t="s">
        <v>100</v>
      </c>
      <c r="D74" s="295">
        <v>0</v>
      </c>
      <c r="E74" s="296">
        <f t="shared" si="21"/>
        <v>0</v>
      </c>
      <c r="F74" s="296">
        <f t="shared" si="22"/>
        <v>0</v>
      </c>
      <c r="G74" s="297">
        <f t="shared" si="23"/>
        <v>0</v>
      </c>
      <c r="H74" s="295">
        <v>0</v>
      </c>
      <c r="I74" s="296">
        <f t="shared" si="24"/>
        <v>0</v>
      </c>
      <c r="J74" s="296">
        <f t="shared" si="25"/>
        <v>0</v>
      </c>
      <c r="K74" s="297">
        <f t="shared" si="26"/>
        <v>0</v>
      </c>
      <c r="L74" s="156"/>
      <c r="M74" s="156"/>
    </row>
    <row r="75" spans="2:13" x14ac:dyDescent="0.2">
      <c r="B75" s="292" t="s">
        <v>186</v>
      </c>
      <c r="C75" s="91" t="s">
        <v>101</v>
      </c>
      <c r="D75" s="295">
        <v>9.5911992737281442E-5</v>
      </c>
      <c r="E75" s="296">
        <f t="shared" si="21"/>
        <v>276.92554158110573</v>
      </c>
      <c r="F75" s="296">
        <f t="shared" si="22"/>
        <v>0</v>
      </c>
      <c r="G75" s="297">
        <f t="shared" si="23"/>
        <v>276.92554158110573</v>
      </c>
      <c r="H75" s="295">
        <v>0</v>
      </c>
      <c r="I75" s="296">
        <f t="shared" si="24"/>
        <v>0</v>
      </c>
      <c r="J75" s="296">
        <f t="shared" si="25"/>
        <v>0</v>
      </c>
      <c r="K75" s="297">
        <f t="shared" si="26"/>
        <v>0</v>
      </c>
      <c r="L75" s="156"/>
      <c r="M75" s="156"/>
    </row>
    <row r="76" spans="2:13" x14ac:dyDescent="0.2">
      <c r="B76" s="292" t="s">
        <v>186</v>
      </c>
      <c r="C76" s="91" t="s">
        <v>103</v>
      </c>
      <c r="D76" s="295">
        <v>1.3823066406322112E-3</v>
      </c>
      <c r="E76" s="296">
        <f t="shared" si="21"/>
        <v>3991.1173166506355</v>
      </c>
      <c r="F76" s="296">
        <f t="shared" si="22"/>
        <v>0</v>
      </c>
      <c r="G76" s="297">
        <f t="shared" si="23"/>
        <v>3991.1173166506355</v>
      </c>
      <c r="H76" s="295">
        <v>0</v>
      </c>
      <c r="I76" s="296">
        <f t="shared" si="24"/>
        <v>0</v>
      </c>
      <c r="J76" s="296">
        <f t="shared" si="25"/>
        <v>0</v>
      </c>
      <c r="K76" s="297">
        <f t="shared" si="26"/>
        <v>0</v>
      </c>
      <c r="L76" s="156"/>
      <c r="M76" s="156"/>
    </row>
    <row r="77" spans="2:13" x14ac:dyDescent="0.2">
      <c r="B77" s="292" t="s">
        <v>186</v>
      </c>
      <c r="C77" s="91" t="s">
        <v>105</v>
      </c>
      <c r="D77" s="295">
        <v>6.3837239956030653E-3</v>
      </c>
      <c r="E77" s="296">
        <f t="shared" si="21"/>
        <v>18431.649414573374</v>
      </c>
      <c r="F77" s="296">
        <f t="shared" si="22"/>
        <v>0</v>
      </c>
      <c r="G77" s="297">
        <f t="shared" si="23"/>
        <v>18431.649414573374</v>
      </c>
      <c r="H77" s="295">
        <v>0</v>
      </c>
      <c r="I77" s="296">
        <f t="shared" si="24"/>
        <v>0</v>
      </c>
      <c r="J77" s="296">
        <f t="shared" si="25"/>
        <v>0</v>
      </c>
      <c r="K77" s="297">
        <f t="shared" si="26"/>
        <v>0</v>
      </c>
      <c r="L77" s="156"/>
      <c r="M77" s="156"/>
    </row>
    <row r="78" spans="2:13" x14ac:dyDescent="0.2">
      <c r="B78" s="231"/>
      <c r="C78" s="151" t="s">
        <v>195</v>
      </c>
      <c r="D78" s="96">
        <f>SUM(D68:D77)</f>
        <v>1.0000000000000002</v>
      </c>
      <c r="E78" s="92">
        <f>'2.1 Profit &amp; Loss by component'!D26+'2.1 Profit &amp; Loss by component'!D37</f>
        <v>2887287.9571968634</v>
      </c>
      <c r="F78" s="93">
        <f>'2.1 Profit &amp; Loss by component'!E26+'2.1 Profit &amp; Loss by component'!E37</f>
        <v>0</v>
      </c>
      <c r="G78" s="92">
        <f>SUM(G68:G77)</f>
        <v>2887287.9571968638</v>
      </c>
      <c r="H78" s="96">
        <f>SUM(H68:H77)</f>
        <v>1</v>
      </c>
      <c r="I78" s="92">
        <f>'2.1 Profit &amp; Loss by component'!G26+'2.1 Profit &amp; Loss by component'!G37</f>
        <v>7513314.8794035288</v>
      </c>
      <c r="J78" s="92">
        <f>'2.1 Profit &amp; Loss by component'!H26+'2.1 Profit &amp; Loss by component'!H37</f>
        <v>0</v>
      </c>
      <c r="K78" s="92">
        <f>SUM(K68:K77)</f>
        <v>7513314.8794035288</v>
      </c>
      <c r="L78" s="156"/>
      <c r="M78" s="156"/>
    </row>
    <row r="79" spans="2:13" x14ac:dyDescent="0.2">
      <c r="B79" s="153"/>
      <c r="C79" s="214" t="s">
        <v>196</v>
      </c>
      <c r="D79" s="90"/>
      <c r="E79" s="90"/>
      <c r="F79" s="90"/>
      <c r="G79" s="90"/>
      <c r="H79" s="90"/>
      <c r="I79" s="90"/>
      <c r="J79" s="90"/>
      <c r="K79" s="90"/>
      <c r="L79" s="156"/>
      <c r="M79" s="156"/>
    </row>
    <row r="80" spans="2:13" x14ac:dyDescent="0.2">
      <c r="B80" s="292" t="s">
        <v>186</v>
      </c>
      <c r="C80" s="91" t="s">
        <v>93</v>
      </c>
      <c r="D80" s="295">
        <v>0.97192258798925968</v>
      </c>
      <c r="E80" s="296">
        <f t="shared" ref="E80:E89" si="27">D80*$E$90</f>
        <v>1098873.6793620221</v>
      </c>
      <c r="F80" s="296">
        <f t="shared" ref="F80:F89" si="28">D80*$F$90</f>
        <v>0</v>
      </c>
      <c r="G80" s="297">
        <f t="shared" ref="G80:G89" si="29">SUM(E80:F80)</f>
        <v>1098873.6793620221</v>
      </c>
      <c r="H80" s="295">
        <v>1</v>
      </c>
      <c r="I80" s="296">
        <f t="shared" ref="I80:I89" si="30">H80*$I$90</f>
        <v>1184170.4252697914</v>
      </c>
      <c r="J80" s="296">
        <f t="shared" ref="J80:J89" si="31">H80*$J$90</f>
        <v>0</v>
      </c>
      <c r="K80" s="297">
        <f t="shared" ref="K80:K89" si="32">SUM(I80:J80)</f>
        <v>1184170.4252697914</v>
      </c>
      <c r="L80" s="156"/>
      <c r="M80" s="156"/>
    </row>
    <row r="81" spans="2:13" x14ac:dyDescent="0.2">
      <c r="B81" s="292" t="s">
        <v>186</v>
      </c>
      <c r="C81" s="91" t="s">
        <v>95</v>
      </c>
      <c r="D81" s="295">
        <v>0</v>
      </c>
      <c r="E81" s="296">
        <f t="shared" si="27"/>
        <v>0</v>
      </c>
      <c r="F81" s="296">
        <f t="shared" si="28"/>
        <v>0</v>
      </c>
      <c r="G81" s="297">
        <f t="shared" si="29"/>
        <v>0</v>
      </c>
      <c r="H81" s="295">
        <v>0</v>
      </c>
      <c r="I81" s="296">
        <f t="shared" si="30"/>
        <v>0</v>
      </c>
      <c r="J81" s="296">
        <f t="shared" si="31"/>
        <v>0</v>
      </c>
      <c r="K81" s="297">
        <f t="shared" si="32"/>
        <v>0</v>
      </c>
      <c r="L81" s="156"/>
      <c r="M81" s="156"/>
    </row>
    <row r="82" spans="2:13" x14ac:dyDescent="0.2">
      <c r="B82" s="292" t="s">
        <v>186</v>
      </c>
      <c r="C82" s="91" t="s">
        <v>96</v>
      </c>
      <c r="D82" s="295">
        <v>2.021546938176793E-2</v>
      </c>
      <c r="E82" s="296">
        <f t="shared" si="27"/>
        <v>22855.984102119772</v>
      </c>
      <c r="F82" s="296">
        <f t="shared" si="28"/>
        <v>0</v>
      </c>
      <c r="G82" s="297">
        <f t="shared" si="29"/>
        <v>22855.984102119772</v>
      </c>
      <c r="H82" s="295">
        <v>0</v>
      </c>
      <c r="I82" s="296">
        <f t="shared" si="30"/>
        <v>0</v>
      </c>
      <c r="J82" s="296">
        <f t="shared" si="31"/>
        <v>0</v>
      </c>
      <c r="K82" s="297">
        <f t="shared" si="32"/>
        <v>0</v>
      </c>
      <c r="L82" s="156"/>
      <c r="M82" s="156"/>
    </row>
    <row r="83" spans="2:13" x14ac:dyDescent="0.2">
      <c r="B83" s="292" t="s">
        <v>186</v>
      </c>
      <c r="C83" s="91" t="s">
        <v>97</v>
      </c>
      <c r="D83" s="295">
        <v>0</v>
      </c>
      <c r="E83" s="296">
        <f t="shared" si="27"/>
        <v>0</v>
      </c>
      <c r="F83" s="296">
        <f t="shared" si="28"/>
        <v>0</v>
      </c>
      <c r="G83" s="297">
        <f t="shared" si="29"/>
        <v>0</v>
      </c>
      <c r="H83" s="295">
        <v>0</v>
      </c>
      <c r="I83" s="296">
        <f t="shared" si="30"/>
        <v>0</v>
      </c>
      <c r="J83" s="296">
        <f t="shared" si="31"/>
        <v>0</v>
      </c>
      <c r="K83" s="297">
        <f t="shared" si="32"/>
        <v>0</v>
      </c>
      <c r="L83" s="156"/>
      <c r="M83" s="156"/>
    </row>
    <row r="84" spans="2:13" x14ac:dyDescent="0.2">
      <c r="B84" s="292" t="s">
        <v>186</v>
      </c>
      <c r="C84" s="159" t="s">
        <v>98</v>
      </c>
      <c r="D84" s="295">
        <v>0</v>
      </c>
      <c r="E84" s="296">
        <f t="shared" si="27"/>
        <v>0</v>
      </c>
      <c r="F84" s="296">
        <f t="shared" si="28"/>
        <v>0</v>
      </c>
      <c r="G84" s="297">
        <f t="shared" si="29"/>
        <v>0</v>
      </c>
      <c r="H84" s="295">
        <v>0</v>
      </c>
      <c r="I84" s="296">
        <f t="shared" si="30"/>
        <v>0</v>
      </c>
      <c r="J84" s="296">
        <f t="shared" si="31"/>
        <v>0</v>
      </c>
      <c r="K84" s="297">
        <f t="shared" si="32"/>
        <v>0</v>
      </c>
      <c r="L84" s="156"/>
      <c r="M84" s="156"/>
    </row>
    <row r="85" spans="2:13" x14ac:dyDescent="0.2">
      <c r="B85" s="292" t="s">
        <v>186</v>
      </c>
      <c r="C85" s="91" t="s">
        <v>99</v>
      </c>
      <c r="D85" s="295">
        <v>0</v>
      </c>
      <c r="E85" s="296">
        <f t="shared" si="27"/>
        <v>0</v>
      </c>
      <c r="F85" s="296">
        <f t="shared" si="28"/>
        <v>0</v>
      </c>
      <c r="G85" s="297">
        <f t="shared" si="29"/>
        <v>0</v>
      </c>
      <c r="H85" s="295">
        <v>0</v>
      </c>
      <c r="I85" s="296">
        <f t="shared" si="30"/>
        <v>0</v>
      </c>
      <c r="J85" s="296">
        <f t="shared" si="31"/>
        <v>0</v>
      </c>
      <c r="K85" s="297">
        <f t="shared" si="32"/>
        <v>0</v>
      </c>
      <c r="L85" s="156"/>
      <c r="M85" s="156"/>
    </row>
    <row r="86" spans="2:13" x14ac:dyDescent="0.2">
      <c r="B86" s="292" t="s">
        <v>186</v>
      </c>
      <c r="C86" s="91" t="s">
        <v>100</v>
      </c>
      <c r="D86" s="295">
        <v>0</v>
      </c>
      <c r="E86" s="296">
        <f t="shared" si="27"/>
        <v>0</v>
      </c>
      <c r="F86" s="296">
        <f t="shared" si="28"/>
        <v>0</v>
      </c>
      <c r="G86" s="297">
        <f t="shared" si="29"/>
        <v>0</v>
      </c>
      <c r="H86" s="295">
        <v>0</v>
      </c>
      <c r="I86" s="296">
        <f t="shared" si="30"/>
        <v>0</v>
      </c>
      <c r="J86" s="296">
        <f t="shared" si="31"/>
        <v>0</v>
      </c>
      <c r="K86" s="297">
        <f t="shared" si="32"/>
        <v>0</v>
      </c>
      <c r="L86" s="156"/>
      <c r="M86" s="156"/>
    </row>
    <row r="87" spans="2:13" x14ac:dyDescent="0.2">
      <c r="B87" s="292" t="s">
        <v>186</v>
      </c>
      <c r="C87" s="91" t="s">
        <v>101</v>
      </c>
      <c r="D87" s="295">
        <v>9.5911992737281442E-5</v>
      </c>
      <c r="E87" s="296">
        <f t="shared" si="27"/>
        <v>108.43987541456816</v>
      </c>
      <c r="F87" s="296">
        <f t="shared" si="28"/>
        <v>0</v>
      </c>
      <c r="G87" s="297">
        <f t="shared" si="29"/>
        <v>108.43987541456816</v>
      </c>
      <c r="H87" s="295">
        <v>0</v>
      </c>
      <c r="I87" s="296">
        <f t="shared" si="30"/>
        <v>0</v>
      </c>
      <c r="J87" s="296">
        <f t="shared" si="31"/>
        <v>0</v>
      </c>
      <c r="K87" s="297">
        <f t="shared" si="32"/>
        <v>0</v>
      </c>
      <c r="L87" s="156"/>
      <c r="M87" s="156"/>
    </row>
    <row r="88" spans="2:13" x14ac:dyDescent="0.2">
      <c r="B88" s="292" t="s">
        <v>186</v>
      </c>
      <c r="C88" s="91" t="s">
        <v>103</v>
      </c>
      <c r="D88" s="295">
        <v>1.3823066406322112E-3</v>
      </c>
      <c r="E88" s="296">
        <f t="shared" si="27"/>
        <v>1562.861490173392</v>
      </c>
      <c r="F88" s="296">
        <f t="shared" si="28"/>
        <v>0</v>
      </c>
      <c r="G88" s="297">
        <f t="shared" si="29"/>
        <v>1562.861490173392</v>
      </c>
      <c r="H88" s="295">
        <v>0</v>
      </c>
      <c r="I88" s="296">
        <f t="shared" si="30"/>
        <v>0</v>
      </c>
      <c r="J88" s="296">
        <f t="shared" si="31"/>
        <v>0</v>
      </c>
      <c r="K88" s="297">
        <f t="shared" si="32"/>
        <v>0</v>
      </c>
      <c r="L88" s="156"/>
      <c r="M88" s="156"/>
    </row>
    <row r="89" spans="2:13" x14ac:dyDescent="0.2">
      <c r="B89" s="292" t="s">
        <v>186</v>
      </c>
      <c r="C89" s="91" t="s">
        <v>105</v>
      </c>
      <c r="D89" s="295">
        <v>6.3837239956030653E-3</v>
      </c>
      <c r="E89" s="296">
        <f t="shared" si="27"/>
        <v>7217.5565850286503</v>
      </c>
      <c r="F89" s="296">
        <f t="shared" si="28"/>
        <v>0</v>
      </c>
      <c r="G89" s="297">
        <f t="shared" si="29"/>
        <v>7217.5565850286503</v>
      </c>
      <c r="H89" s="295">
        <v>0</v>
      </c>
      <c r="I89" s="296">
        <f t="shared" si="30"/>
        <v>0</v>
      </c>
      <c r="J89" s="296">
        <f t="shared" si="31"/>
        <v>0</v>
      </c>
      <c r="K89" s="297">
        <f t="shared" si="32"/>
        <v>0</v>
      </c>
      <c r="L89" s="156"/>
      <c r="M89" s="156"/>
    </row>
    <row r="90" spans="2:13" x14ac:dyDescent="0.2">
      <c r="B90" s="231"/>
      <c r="C90" s="151" t="s">
        <v>197</v>
      </c>
      <c r="D90" s="96">
        <f>SUM(D80:D89)</f>
        <v>1.0000000000000002</v>
      </c>
      <c r="E90" s="92">
        <f>'2.1 Profit &amp; Loss by component'!D43-'2.1 Profit &amp; Loss by component'!D37</f>
        <v>1130618.5214147582</v>
      </c>
      <c r="F90" s="92">
        <f>'2.1 Profit &amp; Loss by component'!E43-'2.1 Profit &amp; Loss by component'!E37</f>
        <v>0</v>
      </c>
      <c r="G90" s="92">
        <f>SUM(G80:G89)</f>
        <v>1130618.5214147584</v>
      </c>
      <c r="H90" s="96">
        <f>SUM(H80:H89)</f>
        <v>1</v>
      </c>
      <c r="I90" s="92">
        <f>'2.1 Profit &amp; Loss by component'!G43-'2.1 Profit &amp; Loss by component'!G37</f>
        <v>1184170.4252697914</v>
      </c>
      <c r="J90" s="92">
        <f>'2.1 Profit &amp; Loss by component'!H43-'2.1 Profit &amp; Loss by component'!H37</f>
        <v>0</v>
      </c>
      <c r="K90" s="92">
        <f>SUM(K80:K89)</f>
        <v>1184170.4252697914</v>
      </c>
      <c r="L90" s="156"/>
      <c r="M90" s="156"/>
    </row>
    <row r="91" spans="2:13" ht="14.25" x14ac:dyDescent="0.2">
      <c r="B91" s="231"/>
      <c r="C91" s="151" t="s">
        <v>77</v>
      </c>
      <c r="D91" s="216"/>
      <c r="E91" s="92">
        <f>E90+E78+E66</f>
        <v>4994797.2686116211</v>
      </c>
      <c r="F91" s="92">
        <f>F90+F78+F66</f>
        <v>0</v>
      </c>
      <c r="G91" s="92">
        <f>G90+G78+G66</f>
        <v>4994797.268611622</v>
      </c>
      <c r="H91" s="216"/>
      <c r="I91" s="92">
        <f>I90+I78+I66</f>
        <v>9472665.3546733186</v>
      </c>
      <c r="J91" s="92">
        <f>J90+J78+J66</f>
        <v>0</v>
      </c>
      <c r="K91" s="92">
        <f>K90+K78+K66</f>
        <v>9472665.3546733186</v>
      </c>
      <c r="L91" s="156"/>
      <c r="M91" s="156"/>
    </row>
    <row r="92" spans="2:13" x14ac:dyDescent="0.2">
      <c r="B92" s="156"/>
      <c r="C92" s="156"/>
      <c r="D92" s="156"/>
      <c r="E92" s="156"/>
      <c r="F92" s="156"/>
      <c r="G92" s="156"/>
      <c r="H92" s="156"/>
      <c r="I92" s="156"/>
      <c r="J92" s="156"/>
      <c r="K92" s="156"/>
      <c r="L92" s="156"/>
      <c r="M92" s="156"/>
    </row>
    <row r="93" spans="2:13" x14ac:dyDescent="0.2">
      <c r="B93" s="156"/>
      <c r="C93" s="156"/>
      <c r="D93" s="156"/>
      <c r="E93" s="156"/>
      <c r="F93" s="156"/>
      <c r="G93" s="156"/>
      <c r="H93" s="156"/>
      <c r="I93" s="156"/>
      <c r="J93" s="156"/>
      <c r="K93" s="156"/>
      <c r="L93" s="156"/>
      <c r="M93" s="156"/>
    </row>
  </sheetData>
  <sheetProtection sheet="1"/>
  <mergeCells count="4">
    <mergeCell ref="D52:G52"/>
    <mergeCell ref="H52:K52"/>
    <mergeCell ref="D9:G9"/>
    <mergeCell ref="H9:K9"/>
  </mergeCells>
  <conditionalFormatting sqref="D23">
    <cfRule type="cellIs" dxfId="82" priority="23" stopIfTrue="1" operator="lessThan">
      <formula>1</formula>
    </cfRule>
    <cfRule type="cellIs" dxfId="81" priority="26" stopIfTrue="1" operator="greaterThan">
      <formula>1</formula>
    </cfRule>
  </conditionalFormatting>
  <conditionalFormatting sqref="D35">
    <cfRule type="cellIs" dxfId="80" priority="21" stopIfTrue="1" operator="lessThan">
      <formula>1</formula>
    </cfRule>
    <cfRule type="cellIs" dxfId="79" priority="22" stopIfTrue="1" operator="greaterThan">
      <formula>1</formula>
    </cfRule>
  </conditionalFormatting>
  <conditionalFormatting sqref="D47">
    <cfRule type="cellIs" dxfId="78" priority="19" stopIfTrue="1" operator="lessThan">
      <formula>1</formula>
    </cfRule>
    <cfRule type="cellIs" dxfId="77" priority="20" stopIfTrue="1" operator="greaterThan">
      <formula>1</formula>
    </cfRule>
  </conditionalFormatting>
  <conditionalFormatting sqref="D66">
    <cfRule type="cellIs" dxfId="76" priority="17" stopIfTrue="1" operator="lessThan">
      <formula>1</formula>
    </cfRule>
    <cfRule type="cellIs" dxfId="75" priority="18" stopIfTrue="1" operator="greaterThan">
      <formula>1</formula>
    </cfRule>
  </conditionalFormatting>
  <conditionalFormatting sqref="D78">
    <cfRule type="cellIs" dxfId="74" priority="15" stopIfTrue="1" operator="lessThan">
      <formula>1</formula>
    </cfRule>
    <cfRule type="cellIs" dxfId="73" priority="16" stopIfTrue="1" operator="greaterThan">
      <formula>1</formula>
    </cfRule>
  </conditionalFormatting>
  <conditionalFormatting sqref="D90">
    <cfRule type="cellIs" dxfId="72" priority="13" stopIfTrue="1" operator="lessThan">
      <formula>1</formula>
    </cfRule>
    <cfRule type="cellIs" dxfId="71" priority="14" stopIfTrue="1" operator="greaterThan">
      <formula>1</formula>
    </cfRule>
  </conditionalFormatting>
  <conditionalFormatting sqref="H23">
    <cfRule type="cellIs" dxfId="70" priority="1" stopIfTrue="1" operator="lessThan">
      <formula>1</formula>
    </cfRule>
    <cfRule type="cellIs" dxfId="69" priority="2" stopIfTrue="1" operator="greaterThan">
      <formula>1</formula>
    </cfRule>
  </conditionalFormatting>
  <conditionalFormatting sqref="H35">
    <cfRule type="cellIs" dxfId="68" priority="3" stopIfTrue="1" operator="lessThan">
      <formula>1</formula>
    </cfRule>
    <cfRule type="cellIs" dxfId="67" priority="4" stopIfTrue="1" operator="greaterThan">
      <formula>1</formula>
    </cfRule>
  </conditionalFormatting>
  <conditionalFormatting sqref="H47">
    <cfRule type="cellIs" dxfId="66" priority="5" stopIfTrue="1" operator="lessThan">
      <formula>1</formula>
    </cfRule>
    <cfRule type="cellIs" dxfId="65" priority="6" stopIfTrue="1" operator="greaterThan">
      <formula>1</formula>
    </cfRule>
  </conditionalFormatting>
  <conditionalFormatting sqref="H66">
    <cfRule type="cellIs" dxfId="64" priority="7" stopIfTrue="1" operator="lessThan">
      <formula>1</formula>
    </cfRule>
    <cfRule type="cellIs" dxfId="63" priority="8" stopIfTrue="1" operator="greaterThan">
      <formula>1</formula>
    </cfRule>
  </conditionalFormatting>
  <conditionalFormatting sqref="H78">
    <cfRule type="cellIs" dxfId="62" priority="9" stopIfTrue="1" operator="lessThan">
      <formula>1</formula>
    </cfRule>
    <cfRule type="cellIs" dxfId="61" priority="10" stopIfTrue="1" operator="greaterThan">
      <formula>1</formula>
    </cfRule>
  </conditionalFormatting>
  <conditionalFormatting sqref="H90">
    <cfRule type="cellIs" dxfId="60" priority="11" stopIfTrue="1" operator="lessThan">
      <formula>1</formula>
    </cfRule>
    <cfRule type="cellIs" dxfId="59" priority="12" stopIfTrue="1" operator="greaterThan">
      <formula>1</formula>
    </cfRule>
  </conditionalFormatting>
  <pageMargins left="0.75" right="0.75" top="1" bottom="1" header="0.5" footer="0.5"/>
  <pageSetup paperSize="9" scale="59" orientation="landscape" verticalDpi="2" r:id="rId1"/>
  <headerFooter alignWithMargins="0">
    <oddFooter>&amp;C_x000D_&amp;1#&amp;"Aptos"&amp;10&amp;K008000 APA-INTERNAL</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AAB3A-359F-47C0-82F0-288368417277}">
  <sheetPr codeName="Sheet8">
    <tabColor rgb="FF17415D"/>
  </sheetPr>
  <dimension ref="B1:J2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7.5703125" style="4" customWidth="1"/>
    <col min="3" max="3" width="42.5703125" style="4" customWidth="1"/>
    <col min="4" max="5" width="27.42578125" style="4" customWidth="1"/>
    <col min="6" max="6" width="18.42578125" style="4" customWidth="1"/>
    <col min="7" max="7" width="6.5703125" style="4" customWidth="1"/>
    <col min="8" max="10" width="19.5703125" style="4" customWidth="1"/>
    <col min="11" max="11" width="18.42578125" style="4" customWidth="1"/>
    <col min="12" max="16384" width="9.42578125" style="4"/>
  </cols>
  <sheetData>
    <row r="1" spans="2:10" ht="20.25" customHeight="1" x14ac:dyDescent="0.3">
      <c r="B1" s="103" t="s">
        <v>68</v>
      </c>
      <c r="C1" s="103"/>
      <c r="D1" s="168"/>
      <c r="E1" s="168"/>
      <c r="F1" s="168"/>
      <c r="G1" s="168"/>
      <c r="H1" s="168"/>
      <c r="I1" s="168"/>
      <c r="J1" s="168"/>
    </row>
    <row r="2" spans="2:10" ht="20.25" customHeight="1" x14ac:dyDescent="0.2">
      <c r="B2" s="103" t="str">
        <f>IF(Tradingname=0," ",Tradingname)</f>
        <v>APA Reedy Creek Wallumbilla Pty Limited</v>
      </c>
      <c r="C2" s="103"/>
    </row>
    <row r="3" spans="2:10" ht="20.25" customHeight="1" x14ac:dyDescent="0.45">
      <c r="B3" s="103" t="s">
        <v>46</v>
      </c>
      <c r="C3" s="80">
        <f>IF(Yearending=0, "01/01/2000", Yearending)</f>
        <v>45838</v>
      </c>
      <c r="F3" s="202"/>
    </row>
    <row r="4" spans="2:10" ht="20.25" x14ac:dyDescent="0.2">
      <c r="B4" s="72" t="s">
        <v>198</v>
      </c>
      <c r="C4" s="72"/>
    </row>
    <row r="6" spans="2:10" ht="20.25" x14ac:dyDescent="0.3">
      <c r="B6" s="203"/>
      <c r="G6" s="276"/>
      <c r="H6" s="277"/>
    </row>
    <row r="7" spans="2:10" ht="15.75" x14ac:dyDescent="0.25">
      <c r="B7" s="175" t="s">
        <v>199</v>
      </c>
    </row>
    <row r="8" spans="2:10" ht="14.1" customHeight="1" x14ac:dyDescent="0.2">
      <c r="B8" s="176"/>
      <c r="C8" s="275"/>
      <c r="D8" s="275"/>
      <c r="E8" s="275"/>
    </row>
    <row r="9" spans="2:10" ht="14.1" customHeight="1" x14ac:dyDescent="0.2">
      <c r="B9" s="37" t="s">
        <v>132</v>
      </c>
      <c r="C9" s="32" t="s">
        <v>144</v>
      </c>
      <c r="D9" s="32" t="s">
        <v>145</v>
      </c>
      <c r="E9" s="32" t="s">
        <v>71</v>
      </c>
      <c r="F9" s="275"/>
    </row>
    <row r="10" spans="2:10" ht="14.1" customHeight="1" x14ac:dyDescent="0.2">
      <c r="B10" s="31"/>
      <c r="C10" s="33" t="s">
        <v>134</v>
      </c>
      <c r="D10" s="33" t="s">
        <v>134</v>
      </c>
      <c r="E10" s="33" t="s">
        <v>134</v>
      </c>
    </row>
    <row r="11" spans="2:10" ht="14.1" customHeight="1" x14ac:dyDescent="0.2">
      <c r="B11" s="298"/>
      <c r="C11" s="282"/>
      <c r="D11" s="282"/>
      <c r="E11" s="15">
        <f t="shared" ref="E11:E17" si="0">SUM(C11:D11)</f>
        <v>0</v>
      </c>
    </row>
    <row r="12" spans="2:10" ht="14.1" customHeight="1" x14ac:dyDescent="0.2">
      <c r="B12" s="298"/>
      <c r="C12" s="282"/>
      <c r="D12" s="282"/>
      <c r="E12" s="15">
        <f t="shared" si="0"/>
        <v>0</v>
      </c>
    </row>
    <row r="13" spans="2:10" ht="14.1" customHeight="1" x14ac:dyDescent="0.2">
      <c r="B13" s="298"/>
      <c r="C13" s="282"/>
      <c r="D13" s="282"/>
      <c r="E13" s="15">
        <f t="shared" si="0"/>
        <v>0</v>
      </c>
    </row>
    <row r="14" spans="2:10" ht="14.1" customHeight="1" x14ac:dyDescent="0.2">
      <c r="B14" s="298"/>
      <c r="C14" s="282"/>
      <c r="D14" s="282"/>
      <c r="E14" s="15">
        <f t="shared" si="0"/>
        <v>0</v>
      </c>
    </row>
    <row r="15" spans="2:10" x14ac:dyDescent="0.2">
      <c r="B15" s="298"/>
      <c r="C15" s="282"/>
      <c r="D15" s="282"/>
      <c r="E15" s="15">
        <f t="shared" si="0"/>
        <v>0</v>
      </c>
    </row>
    <row r="16" spans="2:10" x14ac:dyDescent="0.2">
      <c r="B16" s="298"/>
      <c r="C16" s="282"/>
      <c r="D16" s="282"/>
      <c r="E16" s="15">
        <f t="shared" si="0"/>
        <v>0</v>
      </c>
    </row>
    <row r="17" spans="2:6" x14ac:dyDescent="0.2">
      <c r="B17" s="104" t="s">
        <v>71</v>
      </c>
      <c r="C17" s="15">
        <f>SUM(C11:C16)</f>
        <v>0</v>
      </c>
      <c r="D17" s="15">
        <f>SUM(D11:D16)</f>
        <v>0</v>
      </c>
      <c r="E17" s="15">
        <f t="shared" si="0"/>
        <v>0</v>
      </c>
    </row>
    <row r="18" spans="2:6" ht="19.5" customHeight="1" x14ac:dyDescent="0.2"/>
    <row r="19" spans="2:6" ht="15.75" x14ac:dyDescent="0.25">
      <c r="B19" s="175" t="s">
        <v>200</v>
      </c>
    </row>
    <row r="20" spans="2:6" x14ac:dyDescent="0.2">
      <c r="B20" s="176"/>
      <c r="C20" s="275"/>
      <c r="D20" s="275"/>
      <c r="E20" s="275"/>
    </row>
    <row r="21" spans="2:6" x14ac:dyDescent="0.2">
      <c r="B21" s="31" t="s">
        <v>201</v>
      </c>
      <c r="C21" s="38" t="s">
        <v>132</v>
      </c>
      <c r="D21" s="32" t="s">
        <v>71</v>
      </c>
      <c r="F21" s="275"/>
    </row>
    <row r="22" spans="2:6" x14ac:dyDescent="0.2">
      <c r="B22" s="31"/>
      <c r="C22" s="33"/>
      <c r="D22" s="33" t="s">
        <v>134</v>
      </c>
    </row>
    <row r="23" spans="2:6" x14ac:dyDescent="0.2">
      <c r="B23" s="298"/>
      <c r="C23" s="280"/>
      <c r="D23" s="282"/>
    </row>
    <row r="24" spans="2:6" x14ac:dyDescent="0.2">
      <c r="B24" s="298"/>
      <c r="C24" s="280"/>
      <c r="D24" s="282"/>
    </row>
    <row r="25" spans="2:6" x14ac:dyDescent="0.2">
      <c r="B25" s="298"/>
      <c r="C25" s="280"/>
      <c r="D25" s="282"/>
    </row>
    <row r="26" spans="2:6" x14ac:dyDescent="0.2">
      <c r="B26" s="298"/>
      <c r="C26" s="280"/>
      <c r="D26" s="282"/>
    </row>
    <row r="27" spans="2:6" x14ac:dyDescent="0.2">
      <c r="B27" s="298"/>
      <c r="C27" s="280"/>
      <c r="D27" s="282"/>
    </row>
    <row r="28" spans="2:6" x14ac:dyDescent="0.2">
      <c r="B28" s="298"/>
      <c r="C28" s="280"/>
      <c r="D28" s="282"/>
    </row>
    <row r="29" spans="2:6" x14ac:dyDescent="0.2">
      <c r="B29" s="424" t="s">
        <v>202</v>
      </c>
      <c r="C29" s="425"/>
      <c r="D29" s="15">
        <f>SUM(D23:D28)</f>
        <v>0</v>
      </c>
    </row>
  </sheetData>
  <sheetProtection sheet="1" insertRows="0"/>
  <mergeCells count="1">
    <mergeCell ref="B29:C29"/>
  </mergeCells>
  <pageMargins left="0.75" right="0.75" top="1" bottom="1" header="0.5" footer="0.5"/>
  <pageSetup paperSize="9" scale="59" orientation="landscape" r:id="rId1"/>
  <headerFooter alignWithMargins="0">
    <oddFooter>&amp;C_x000D_&amp;1#&amp;"Aptos"&amp;10&amp;K008000 APA-INTERNAL</oddFooter>
  </headerFooter>
  <colBreaks count="1" manualBreakCount="1">
    <brk id="7" max="22"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1359F-201A-4BA9-9516-5F34ACBB3701}">
  <sheetPr codeName="Sheet10">
    <tabColor rgb="FF17415D"/>
  </sheetPr>
  <dimension ref="B1:I42"/>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169" customWidth="1"/>
    <col min="2" max="2" width="22.5703125" style="169" customWidth="1"/>
    <col min="3" max="3" width="42.42578125" style="169" customWidth="1"/>
    <col min="4" max="4" width="26.5703125" style="169" customWidth="1"/>
    <col min="5" max="5" width="22.5703125" style="169" customWidth="1"/>
    <col min="6" max="6" width="20.5703125" style="169" customWidth="1"/>
    <col min="7" max="8" width="22.5703125" style="169" customWidth="1"/>
    <col min="9" max="9" width="35.42578125" style="169" customWidth="1"/>
    <col min="10" max="10" width="25.42578125" style="169" customWidth="1"/>
    <col min="11" max="16384" width="9.42578125" style="169"/>
  </cols>
  <sheetData>
    <row r="1" spans="2:9" ht="20.25" customHeight="1" x14ac:dyDescent="0.3">
      <c r="B1" s="103" t="s">
        <v>68</v>
      </c>
      <c r="C1" s="103"/>
      <c r="D1" s="168"/>
      <c r="E1" s="168"/>
      <c r="F1" s="168"/>
      <c r="G1" s="168"/>
      <c r="H1" s="168"/>
    </row>
    <row r="2" spans="2:9" ht="20.25" customHeight="1" x14ac:dyDescent="0.3">
      <c r="B2" s="103" t="str">
        <f>IF(Tradingname=0," ",Tradingname)</f>
        <v>APA Reedy Creek Wallumbilla Pty Limited</v>
      </c>
      <c r="C2" s="103"/>
      <c r="H2" s="170"/>
    </row>
    <row r="3" spans="2:9" ht="20.25" customHeight="1" x14ac:dyDescent="0.3">
      <c r="B3" s="103" t="s">
        <v>46</v>
      </c>
      <c r="C3" s="80">
        <f>IF(Yearending=0, "01/01/2000", Yearending)</f>
        <v>45838</v>
      </c>
    </row>
    <row r="4" spans="2:9" ht="20.25" x14ac:dyDescent="0.2">
      <c r="B4" s="72" t="s">
        <v>203</v>
      </c>
      <c r="C4" s="72"/>
    </row>
    <row r="6" spans="2:9" x14ac:dyDescent="0.2">
      <c r="B6" s="426" t="s">
        <v>204</v>
      </c>
      <c r="C6" s="426"/>
      <c r="D6" s="426"/>
    </row>
    <row r="7" spans="2:9" ht="15.75" customHeight="1" x14ac:dyDescent="0.2">
      <c r="B7" s="426"/>
      <c r="C7" s="426"/>
      <c r="D7" s="426"/>
    </row>
    <row r="8" spans="2:9" ht="15.75" customHeight="1" x14ac:dyDescent="0.2">
      <c r="B8" s="426"/>
      <c r="C8" s="426"/>
      <c r="D8" s="426"/>
    </row>
    <row r="11" spans="2:9" s="217" customFormat="1" ht="15.75" x14ac:dyDescent="0.25">
      <c r="B11" s="171" t="s">
        <v>205</v>
      </c>
      <c r="C11" s="274"/>
      <c r="D11" s="274"/>
      <c r="E11" s="274"/>
      <c r="F11" s="299"/>
      <c r="G11" s="274"/>
      <c r="H11" s="274"/>
      <c r="I11" s="169"/>
    </row>
    <row r="12" spans="2:9" s="217" customFormat="1" ht="15.75" x14ac:dyDescent="0.25">
      <c r="B12" s="171"/>
      <c r="C12" s="274"/>
      <c r="D12" s="274"/>
      <c r="E12" s="274"/>
      <c r="F12" s="299"/>
      <c r="G12" s="274"/>
      <c r="H12" s="274"/>
      <c r="I12" s="169"/>
    </row>
    <row r="13" spans="2:9" ht="38.25" x14ac:dyDescent="0.2">
      <c r="B13" s="39" t="s">
        <v>131</v>
      </c>
      <c r="C13" s="39" t="s">
        <v>206</v>
      </c>
      <c r="D13" s="51" t="s">
        <v>207</v>
      </c>
      <c r="E13" s="51" t="s">
        <v>208</v>
      </c>
      <c r="F13" s="51" t="s">
        <v>209</v>
      </c>
      <c r="G13" s="51" t="s">
        <v>210</v>
      </c>
      <c r="H13" s="51" t="s">
        <v>211</v>
      </c>
      <c r="I13" s="51" t="s">
        <v>212</v>
      </c>
    </row>
    <row r="14" spans="2:9" x14ac:dyDescent="0.2">
      <c r="B14" s="71"/>
      <c r="C14" s="39" t="s">
        <v>213</v>
      </c>
      <c r="D14" s="55" t="s">
        <v>134</v>
      </c>
      <c r="E14" s="55" t="s">
        <v>134</v>
      </c>
      <c r="F14" s="55"/>
      <c r="G14" s="55" t="s">
        <v>134</v>
      </c>
      <c r="H14" s="55" t="s">
        <v>134</v>
      </c>
      <c r="I14" s="55" t="s">
        <v>134</v>
      </c>
    </row>
    <row r="15" spans="2:9" x14ac:dyDescent="0.2">
      <c r="B15" s="266" t="s">
        <v>214</v>
      </c>
      <c r="C15" s="300"/>
      <c r="D15" s="301">
        <v>0</v>
      </c>
      <c r="E15" s="301"/>
      <c r="F15" s="295"/>
      <c r="G15" s="302">
        <f>D15*F15</f>
        <v>0</v>
      </c>
      <c r="H15" s="302">
        <f t="shared" ref="H15:H41" si="0">E15*F15</f>
        <v>0</v>
      </c>
      <c r="I15" s="291">
        <f t="shared" ref="I15:I41" si="1">G15+H15</f>
        <v>0</v>
      </c>
    </row>
    <row r="16" spans="2:9" x14ac:dyDescent="0.2">
      <c r="B16" s="303"/>
      <c r="C16" s="300"/>
      <c r="D16" s="301"/>
      <c r="E16" s="301"/>
      <c r="F16" s="295"/>
      <c r="G16" s="302">
        <f>D16*F16</f>
        <v>0</v>
      </c>
      <c r="H16" s="302">
        <f t="shared" si="0"/>
        <v>0</v>
      </c>
      <c r="I16" s="291">
        <f t="shared" si="1"/>
        <v>0</v>
      </c>
    </row>
    <row r="17" spans="2:9" x14ac:dyDescent="0.2">
      <c r="B17" s="303"/>
      <c r="C17" s="300"/>
      <c r="D17" s="301"/>
      <c r="E17" s="301"/>
      <c r="F17" s="295"/>
      <c r="G17" s="302">
        <f>D17*F17</f>
        <v>0</v>
      </c>
      <c r="H17" s="302">
        <f t="shared" si="0"/>
        <v>0</v>
      </c>
      <c r="I17" s="291">
        <f t="shared" si="1"/>
        <v>0</v>
      </c>
    </row>
    <row r="18" spans="2:9" x14ac:dyDescent="0.2">
      <c r="B18" s="303"/>
      <c r="C18" s="300"/>
      <c r="D18" s="301"/>
      <c r="E18" s="301"/>
      <c r="F18" s="295"/>
      <c r="G18" s="302">
        <f>D18*F18</f>
        <v>0</v>
      </c>
      <c r="H18" s="291">
        <f t="shared" si="0"/>
        <v>0</v>
      </c>
      <c r="I18" s="291">
        <f t="shared" si="1"/>
        <v>0</v>
      </c>
    </row>
    <row r="19" spans="2:9" x14ac:dyDescent="0.2">
      <c r="B19" s="303"/>
      <c r="C19" s="300"/>
      <c r="D19" s="301"/>
      <c r="E19" s="301"/>
      <c r="F19" s="295"/>
      <c r="G19" s="302">
        <f t="shared" ref="G19:G41" si="2">D19*F19</f>
        <v>0</v>
      </c>
      <c r="H19" s="302">
        <f t="shared" si="0"/>
        <v>0</v>
      </c>
      <c r="I19" s="291">
        <f t="shared" si="1"/>
        <v>0</v>
      </c>
    </row>
    <row r="20" spans="2:9" x14ac:dyDescent="0.2">
      <c r="B20" s="303"/>
      <c r="C20" s="300"/>
      <c r="D20" s="301"/>
      <c r="E20" s="301"/>
      <c r="F20" s="295"/>
      <c r="G20" s="302">
        <f t="shared" si="2"/>
        <v>0</v>
      </c>
      <c r="H20" s="302">
        <f t="shared" si="0"/>
        <v>0</v>
      </c>
      <c r="I20" s="291">
        <f t="shared" si="1"/>
        <v>0</v>
      </c>
    </row>
    <row r="21" spans="2:9" x14ac:dyDescent="0.2">
      <c r="B21" s="303"/>
      <c r="C21" s="300"/>
      <c r="D21" s="301"/>
      <c r="E21" s="301"/>
      <c r="F21" s="295"/>
      <c r="G21" s="302">
        <f t="shared" si="2"/>
        <v>0</v>
      </c>
      <c r="H21" s="302">
        <f t="shared" si="0"/>
        <v>0</v>
      </c>
      <c r="I21" s="291">
        <f t="shared" si="1"/>
        <v>0</v>
      </c>
    </row>
    <row r="22" spans="2:9" x14ac:dyDescent="0.2">
      <c r="B22" s="303"/>
      <c r="C22" s="300"/>
      <c r="D22" s="301"/>
      <c r="E22" s="301"/>
      <c r="F22" s="295"/>
      <c r="G22" s="302">
        <f t="shared" si="2"/>
        <v>0</v>
      </c>
      <c r="H22" s="302">
        <f t="shared" si="0"/>
        <v>0</v>
      </c>
      <c r="I22" s="291">
        <f t="shared" si="1"/>
        <v>0</v>
      </c>
    </row>
    <row r="23" spans="2:9" x14ac:dyDescent="0.2">
      <c r="B23" s="303"/>
      <c r="C23" s="300"/>
      <c r="D23" s="301"/>
      <c r="E23" s="301"/>
      <c r="F23" s="295"/>
      <c r="G23" s="302">
        <f t="shared" si="2"/>
        <v>0</v>
      </c>
      <c r="H23" s="302">
        <f t="shared" si="0"/>
        <v>0</v>
      </c>
      <c r="I23" s="291">
        <f t="shared" si="1"/>
        <v>0</v>
      </c>
    </row>
    <row r="24" spans="2:9" x14ac:dyDescent="0.2">
      <c r="B24" s="303"/>
      <c r="C24" s="300"/>
      <c r="D24" s="301"/>
      <c r="E24" s="301"/>
      <c r="F24" s="295"/>
      <c r="G24" s="302">
        <f t="shared" si="2"/>
        <v>0</v>
      </c>
      <c r="H24" s="302">
        <f t="shared" si="0"/>
        <v>0</v>
      </c>
      <c r="I24" s="291">
        <f t="shared" si="1"/>
        <v>0</v>
      </c>
    </row>
    <row r="25" spans="2:9" x14ac:dyDescent="0.2">
      <c r="B25" s="303"/>
      <c r="C25" s="300"/>
      <c r="D25" s="301"/>
      <c r="E25" s="301"/>
      <c r="F25" s="295"/>
      <c r="G25" s="302">
        <f t="shared" si="2"/>
        <v>0</v>
      </c>
      <c r="H25" s="302">
        <f t="shared" si="0"/>
        <v>0</v>
      </c>
      <c r="I25" s="291">
        <f t="shared" si="1"/>
        <v>0</v>
      </c>
    </row>
    <row r="26" spans="2:9" x14ac:dyDescent="0.2">
      <c r="B26" s="303"/>
      <c r="C26" s="300"/>
      <c r="D26" s="301"/>
      <c r="E26" s="301"/>
      <c r="F26" s="295"/>
      <c r="G26" s="302">
        <f t="shared" si="2"/>
        <v>0</v>
      </c>
      <c r="H26" s="302">
        <f t="shared" si="0"/>
        <v>0</v>
      </c>
      <c r="I26" s="291">
        <f t="shared" si="1"/>
        <v>0</v>
      </c>
    </row>
    <row r="27" spans="2:9" x14ac:dyDescent="0.2">
      <c r="B27" s="303"/>
      <c r="C27" s="300"/>
      <c r="D27" s="301"/>
      <c r="E27" s="301"/>
      <c r="F27" s="295"/>
      <c r="G27" s="302">
        <f t="shared" si="2"/>
        <v>0</v>
      </c>
      <c r="H27" s="302">
        <f t="shared" si="0"/>
        <v>0</v>
      </c>
      <c r="I27" s="291">
        <f t="shared" si="1"/>
        <v>0</v>
      </c>
    </row>
    <row r="28" spans="2:9" x14ac:dyDescent="0.2">
      <c r="B28" s="303"/>
      <c r="C28" s="300"/>
      <c r="D28" s="301"/>
      <c r="E28" s="301"/>
      <c r="F28" s="295"/>
      <c r="G28" s="302">
        <f t="shared" si="2"/>
        <v>0</v>
      </c>
      <c r="H28" s="302">
        <f t="shared" si="0"/>
        <v>0</v>
      </c>
      <c r="I28" s="291">
        <f t="shared" si="1"/>
        <v>0</v>
      </c>
    </row>
    <row r="29" spans="2:9" x14ac:dyDescent="0.2">
      <c r="B29" s="303"/>
      <c r="C29" s="300"/>
      <c r="D29" s="301"/>
      <c r="E29" s="301"/>
      <c r="F29" s="295"/>
      <c r="G29" s="302">
        <f t="shared" si="2"/>
        <v>0</v>
      </c>
      <c r="H29" s="302">
        <f t="shared" si="0"/>
        <v>0</v>
      </c>
      <c r="I29" s="291">
        <f t="shared" si="1"/>
        <v>0</v>
      </c>
    </row>
    <row r="30" spans="2:9" x14ac:dyDescent="0.2">
      <c r="B30" s="303"/>
      <c r="C30" s="300"/>
      <c r="D30" s="301"/>
      <c r="E30" s="301"/>
      <c r="F30" s="295"/>
      <c r="G30" s="302">
        <f t="shared" si="2"/>
        <v>0</v>
      </c>
      <c r="H30" s="302">
        <f t="shared" si="0"/>
        <v>0</v>
      </c>
      <c r="I30" s="291">
        <f t="shared" si="1"/>
        <v>0</v>
      </c>
    </row>
    <row r="31" spans="2:9" x14ac:dyDescent="0.2">
      <c r="B31" s="303"/>
      <c r="C31" s="300"/>
      <c r="D31" s="301"/>
      <c r="E31" s="301"/>
      <c r="F31" s="295"/>
      <c r="G31" s="302">
        <f t="shared" si="2"/>
        <v>0</v>
      </c>
      <c r="H31" s="302">
        <f t="shared" si="0"/>
        <v>0</v>
      </c>
      <c r="I31" s="291">
        <f t="shared" si="1"/>
        <v>0</v>
      </c>
    </row>
    <row r="32" spans="2:9" x14ac:dyDescent="0.2">
      <c r="B32" s="303"/>
      <c r="C32" s="300"/>
      <c r="D32" s="301"/>
      <c r="E32" s="301"/>
      <c r="F32" s="295"/>
      <c r="G32" s="302">
        <f t="shared" si="2"/>
        <v>0</v>
      </c>
      <c r="H32" s="302">
        <f t="shared" si="0"/>
        <v>0</v>
      </c>
      <c r="I32" s="291">
        <f t="shared" si="1"/>
        <v>0</v>
      </c>
    </row>
    <row r="33" spans="2:9" x14ac:dyDescent="0.2">
      <c r="B33" s="303"/>
      <c r="C33" s="300"/>
      <c r="D33" s="301"/>
      <c r="E33" s="301"/>
      <c r="F33" s="295"/>
      <c r="G33" s="302">
        <f t="shared" si="2"/>
        <v>0</v>
      </c>
      <c r="H33" s="302">
        <f t="shared" si="0"/>
        <v>0</v>
      </c>
      <c r="I33" s="291">
        <f t="shared" si="1"/>
        <v>0</v>
      </c>
    </row>
    <row r="34" spans="2:9" x14ac:dyDescent="0.2">
      <c r="B34" s="303"/>
      <c r="C34" s="300"/>
      <c r="D34" s="301"/>
      <c r="E34" s="301"/>
      <c r="F34" s="295"/>
      <c r="G34" s="302">
        <f t="shared" si="2"/>
        <v>0</v>
      </c>
      <c r="H34" s="302">
        <f t="shared" si="0"/>
        <v>0</v>
      </c>
      <c r="I34" s="291">
        <f t="shared" si="1"/>
        <v>0</v>
      </c>
    </row>
    <row r="35" spans="2:9" x14ac:dyDescent="0.2">
      <c r="B35" s="303"/>
      <c r="C35" s="300"/>
      <c r="D35" s="301"/>
      <c r="E35" s="301"/>
      <c r="F35" s="295"/>
      <c r="G35" s="302">
        <f t="shared" si="2"/>
        <v>0</v>
      </c>
      <c r="H35" s="302">
        <f t="shared" si="0"/>
        <v>0</v>
      </c>
      <c r="I35" s="291">
        <f t="shared" si="1"/>
        <v>0</v>
      </c>
    </row>
    <row r="36" spans="2:9" x14ac:dyDescent="0.2">
      <c r="B36" s="303"/>
      <c r="C36" s="300"/>
      <c r="D36" s="301"/>
      <c r="E36" s="301"/>
      <c r="F36" s="295"/>
      <c r="G36" s="302">
        <f t="shared" si="2"/>
        <v>0</v>
      </c>
      <c r="H36" s="302">
        <f t="shared" si="0"/>
        <v>0</v>
      </c>
      <c r="I36" s="291">
        <f t="shared" si="1"/>
        <v>0</v>
      </c>
    </row>
    <row r="37" spans="2:9" x14ac:dyDescent="0.2">
      <c r="B37" s="303"/>
      <c r="C37" s="300"/>
      <c r="D37" s="301"/>
      <c r="E37" s="301"/>
      <c r="F37" s="295"/>
      <c r="G37" s="302">
        <f t="shared" si="2"/>
        <v>0</v>
      </c>
      <c r="H37" s="302">
        <f t="shared" si="0"/>
        <v>0</v>
      </c>
      <c r="I37" s="291">
        <f t="shared" si="1"/>
        <v>0</v>
      </c>
    </row>
    <row r="38" spans="2:9" x14ac:dyDescent="0.2">
      <c r="B38" s="303"/>
      <c r="C38" s="300"/>
      <c r="D38" s="301"/>
      <c r="E38" s="301"/>
      <c r="F38" s="295"/>
      <c r="G38" s="302">
        <f t="shared" si="2"/>
        <v>0</v>
      </c>
      <c r="H38" s="302">
        <f t="shared" si="0"/>
        <v>0</v>
      </c>
      <c r="I38" s="291">
        <f t="shared" si="1"/>
        <v>0</v>
      </c>
    </row>
    <row r="39" spans="2:9" x14ac:dyDescent="0.2">
      <c r="B39" s="303"/>
      <c r="C39" s="300"/>
      <c r="D39" s="301"/>
      <c r="E39" s="301"/>
      <c r="F39" s="295"/>
      <c r="G39" s="302">
        <f t="shared" si="2"/>
        <v>0</v>
      </c>
      <c r="H39" s="302">
        <f t="shared" si="0"/>
        <v>0</v>
      </c>
      <c r="I39" s="291">
        <f t="shared" si="1"/>
        <v>0</v>
      </c>
    </row>
    <row r="40" spans="2:9" x14ac:dyDescent="0.2">
      <c r="B40" s="303"/>
      <c r="C40" s="300"/>
      <c r="D40" s="301"/>
      <c r="E40" s="301"/>
      <c r="F40" s="295"/>
      <c r="G40" s="302">
        <f t="shared" si="2"/>
        <v>0</v>
      </c>
      <c r="H40" s="302">
        <f t="shared" si="0"/>
        <v>0</v>
      </c>
      <c r="I40" s="291">
        <f t="shared" si="1"/>
        <v>0</v>
      </c>
    </row>
    <row r="41" spans="2:9" x14ac:dyDescent="0.2">
      <c r="B41" s="303"/>
      <c r="C41" s="300"/>
      <c r="D41" s="301"/>
      <c r="E41" s="301"/>
      <c r="F41" s="295"/>
      <c r="G41" s="302">
        <f t="shared" si="2"/>
        <v>0</v>
      </c>
      <c r="H41" s="302">
        <f t="shared" si="0"/>
        <v>0</v>
      </c>
      <c r="I41" s="291">
        <f t="shared" si="1"/>
        <v>0</v>
      </c>
    </row>
    <row r="42" spans="2:9" x14ac:dyDescent="0.2">
      <c r="B42" s="232"/>
      <c r="C42" s="100" t="s">
        <v>71</v>
      </c>
      <c r="D42" s="302">
        <f>SUM(D15:D41)</f>
        <v>0</v>
      </c>
      <c r="E42" s="302">
        <f>SUM(E15:E41)</f>
        <v>0</v>
      </c>
      <c r="F42" s="16"/>
      <c r="G42" s="302">
        <f>SUM(G15:G41)</f>
        <v>0</v>
      </c>
      <c r="H42" s="302">
        <f>SUM(H15:H41)</f>
        <v>0</v>
      </c>
      <c r="I42" s="291">
        <f>SUM(I15:I41)</f>
        <v>0</v>
      </c>
    </row>
  </sheetData>
  <sheetProtection sheet="1" insertRows="0"/>
  <mergeCells count="1">
    <mergeCell ref="B6:D8"/>
  </mergeCells>
  <conditionalFormatting sqref="F15:F41">
    <cfRule type="cellIs" dxfId="58" priority="1" stopIfTrue="1" operator="greaterThan">
      <formula>1</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283B4-73CB-482A-87EA-45D0069CAB02}">
  <sheetPr codeName="Sheet11">
    <tabColor rgb="FF17415D"/>
  </sheetPr>
  <dimension ref="B1:J36"/>
  <sheetViews>
    <sheetView zoomScale="93" zoomScaleNormal="93"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1.42578125" style="169" customWidth="1"/>
    <col min="2" max="2" width="21" style="169" customWidth="1"/>
    <col min="3" max="3" width="36.42578125" style="169" customWidth="1"/>
    <col min="4" max="4" width="26.5703125" style="169" customWidth="1"/>
    <col min="5" max="5" width="23.5703125" style="169" customWidth="1"/>
    <col min="6" max="6" width="22.5703125" style="169" customWidth="1"/>
    <col min="7" max="7" width="20.5703125" style="169" customWidth="1"/>
    <col min="8" max="9" width="22.5703125" style="169" customWidth="1"/>
    <col min="10" max="10" width="35.42578125" style="169" customWidth="1"/>
    <col min="11" max="11" width="25.42578125" style="169" customWidth="1"/>
    <col min="12" max="16384" width="9.42578125" style="169"/>
  </cols>
  <sheetData>
    <row r="1" spans="2:10" ht="20.25" customHeight="1" x14ac:dyDescent="0.3">
      <c r="B1" s="103" t="s">
        <v>68</v>
      </c>
      <c r="C1" s="103"/>
      <c r="D1" s="168"/>
      <c r="E1" s="168"/>
      <c r="F1" s="168"/>
      <c r="G1" s="168"/>
      <c r="H1" s="168"/>
      <c r="I1" s="168"/>
    </row>
    <row r="2" spans="2:10" ht="20.25" customHeight="1" x14ac:dyDescent="0.3">
      <c r="B2" s="103" t="str">
        <f>IF(Tradingname=0," ",Tradingname)</f>
        <v>APA Reedy Creek Wallumbilla Pty Limited</v>
      </c>
      <c r="C2" s="103"/>
      <c r="H2" s="170"/>
      <c r="I2" s="170"/>
    </row>
    <row r="3" spans="2:10" ht="20.25" customHeight="1" x14ac:dyDescent="0.3">
      <c r="B3" s="103" t="s">
        <v>46</v>
      </c>
      <c r="C3" s="80">
        <f>IF(Yearending=0, "01/01/2000", Yearending)</f>
        <v>45838</v>
      </c>
    </row>
    <row r="4" spans="2:10" ht="20.25" x14ac:dyDescent="0.2">
      <c r="B4" s="72" t="s">
        <v>215</v>
      </c>
      <c r="C4" s="72"/>
    </row>
    <row r="6" spans="2:10" x14ac:dyDescent="0.2">
      <c r="B6" s="426" t="s">
        <v>204</v>
      </c>
      <c r="C6" s="426"/>
      <c r="D6" s="426"/>
    </row>
    <row r="7" spans="2:10" ht="15.75" customHeight="1" x14ac:dyDescent="0.2">
      <c r="B7" s="426"/>
      <c r="C7" s="426"/>
      <c r="D7" s="426"/>
    </row>
    <row r="8" spans="2:10" ht="24" customHeight="1" x14ac:dyDescent="0.2">
      <c r="B8" s="426"/>
      <c r="C8" s="426"/>
      <c r="D8" s="426"/>
    </row>
    <row r="11" spans="2:10" ht="15.75" x14ac:dyDescent="0.25">
      <c r="B11" s="171" t="s">
        <v>216</v>
      </c>
      <c r="C11" s="274"/>
      <c r="D11" s="274"/>
      <c r="E11" s="274"/>
      <c r="F11" s="274"/>
      <c r="G11" s="299"/>
      <c r="H11" s="274"/>
      <c r="I11" s="274"/>
    </row>
    <row r="12" spans="2:10" ht="15.75" x14ac:dyDescent="0.25">
      <c r="B12" s="171"/>
      <c r="C12" s="274"/>
      <c r="D12" s="274"/>
      <c r="E12" s="274"/>
      <c r="F12" s="274"/>
      <c r="G12" s="299"/>
      <c r="H12" s="274"/>
      <c r="I12" s="274"/>
    </row>
    <row r="13" spans="2:10" ht="38.25" x14ac:dyDescent="0.2">
      <c r="B13" s="39" t="s">
        <v>131</v>
      </c>
      <c r="C13" s="39" t="s">
        <v>132</v>
      </c>
      <c r="D13" s="43" t="s">
        <v>217</v>
      </c>
      <c r="E13" s="40" t="s">
        <v>218</v>
      </c>
      <c r="F13" s="40" t="s">
        <v>219</v>
      </c>
      <c r="G13" s="40" t="s">
        <v>209</v>
      </c>
      <c r="H13" s="40" t="s">
        <v>210</v>
      </c>
      <c r="I13" s="40" t="s">
        <v>211</v>
      </c>
      <c r="J13" s="40" t="s">
        <v>212</v>
      </c>
    </row>
    <row r="14" spans="2:10" x14ac:dyDescent="0.2">
      <c r="B14" s="41"/>
      <c r="C14" s="41" t="s">
        <v>220</v>
      </c>
      <c r="D14" s="44"/>
      <c r="E14" s="42" t="s">
        <v>134</v>
      </c>
      <c r="F14" s="42" t="s">
        <v>134</v>
      </c>
      <c r="G14" s="42"/>
      <c r="H14" s="42" t="s">
        <v>134</v>
      </c>
      <c r="I14" s="42" t="s">
        <v>134</v>
      </c>
      <c r="J14" s="42" t="s">
        <v>134</v>
      </c>
    </row>
    <row r="15" spans="2:10" x14ac:dyDescent="0.2">
      <c r="B15" s="303"/>
      <c r="C15" s="36" t="s">
        <v>169</v>
      </c>
      <c r="D15" s="304"/>
      <c r="E15" s="301"/>
      <c r="F15" s="301"/>
      <c r="G15" s="295"/>
      <c r="H15" s="302">
        <f t="shared" ref="H15:H22" si="0">E15*G15</f>
        <v>0</v>
      </c>
      <c r="I15" s="302">
        <f t="shared" ref="I15:I22" si="1">F15*G15</f>
        <v>0</v>
      </c>
      <c r="J15" s="291">
        <f t="shared" ref="J15:J35" si="2">H15+I15</f>
        <v>0</v>
      </c>
    </row>
    <row r="16" spans="2:10" ht="25.5" x14ac:dyDescent="0.2">
      <c r="B16" s="303"/>
      <c r="C16" s="36" t="s">
        <v>170</v>
      </c>
      <c r="D16" s="304"/>
      <c r="E16" s="301"/>
      <c r="F16" s="301"/>
      <c r="G16" s="295"/>
      <c r="H16" s="302">
        <f t="shared" si="0"/>
        <v>0</v>
      </c>
      <c r="I16" s="302">
        <f t="shared" si="1"/>
        <v>0</v>
      </c>
      <c r="J16" s="291">
        <f t="shared" si="2"/>
        <v>0</v>
      </c>
    </row>
    <row r="17" spans="2:10" x14ac:dyDescent="0.2">
      <c r="B17" s="303"/>
      <c r="C17" s="45" t="s">
        <v>171</v>
      </c>
      <c r="D17" s="304"/>
      <c r="E17" s="301"/>
      <c r="F17" s="301"/>
      <c r="G17" s="295"/>
      <c r="H17" s="302">
        <f t="shared" si="0"/>
        <v>0</v>
      </c>
      <c r="I17" s="302">
        <f t="shared" si="1"/>
        <v>0</v>
      </c>
      <c r="J17" s="291">
        <f t="shared" si="2"/>
        <v>0</v>
      </c>
    </row>
    <row r="18" spans="2:10" x14ac:dyDescent="0.2">
      <c r="B18" s="303" t="s">
        <v>221</v>
      </c>
      <c r="C18" s="36" t="s">
        <v>172</v>
      </c>
      <c r="D18" s="304"/>
      <c r="E18" s="301">
        <v>55278031</v>
      </c>
      <c r="F18" s="301"/>
      <c r="G18" s="295">
        <v>5.5136934453555997E-3</v>
      </c>
      <c r="H18" s="302">
        <f t="shared" si="0"/>
        <v>304786.11719686363</v>
      </c>
      <c r="I18" s="302">
        <f t="shared" si="1"/>
        <v>0</v>
      </c>
      <c r="J18" s="291">
        <f t="shared" si="2"/>
        <v>304786.11719686363</v>
      </c>
    </row>
    <row r="19" spans="2:10" x14ac:dyDescent="0.2">
      <c r="B19" s="303"/>
      <c r="C19" s="36" t="s">
        <v>173</v>
      </c>
      <c r="D19" s="304"/>
      <c r="E19" s="301"/>
      <c r="F19" s="301"/>
      <c r="G19" s="295"/>
      <c r="H19" s="302">
        <f t="shared" si="0"/>
        <v>0</v>
      </c>
      <c r="I19" s="302">
        <f t="shared" si="1"/>
        <v>0</v>
      </c>
      <c r="J19" s="291">
        <f t="shared" si="2"/>
        <v>0</v>
      </c>
    </row>
    <row r="20" spans="2:10" x14ac:dyDescent="0.2">
      <c r="B20" s="303"/>
      <c r="C20" s="45" t="s">
        <v>174</v>
      </c>
      <c r="D20" s="304"/>
      <c r="E20" s="301"/>
      <c r="F20" s="301"/>
      <c r="G20" s="295"/>
      <c r="H20" s="302">
        <f t="shared" si="0"/>
        <v>0</v>
      </c>
      <c r="I20" s="302">
        <f t="shared" si="1"/>
        <v>0</v>
      </c>
      <c r="J20" s="291">
        <f t="shared" si="2"/>
        <v>0</v>
      </c>
    </row>
    <row r="21" spans="2:10" x14ac:dyDescent="0.2">
      <c r="B21" s="303"/>
      <c r="C21" s="45" t="s">
        <v>175</v>
      </c>
      <c r="D21" s="304"/>
      <c r="E21" s="301"/>
      <c r="F21" s="301"/>
      <c r="G21" s="295"/>
      <c r="H21" s="302">
        <f t="shared" si="0"/>
        <v>0</v>
      </c>
      <c r="I21" s="302">
        <f t="shared" si="1"/>
        <v>0</v>
      </c>
      <c r="J21" s="291">
        <f t="shared" si="2"/>
        <v>0</v>
      </c>
    </row>
    <row r="22" spans="2:10" ht="25.5" x14ac:dyDescent="0.2">
      <c r="B22" s="303"/>
      <c r="C22" s="45" t="s">
        <v>176</v>
      </c>
      <c r="D22" s="304"/>
      <c r="E22" s="301"/>
      <c r="F22" s="301"/>
      <c r="G22" s="295"/>
      <c r="H22" s="302">
        <f t="shared" si="0"/>
        <v>0</v>
      </c>
      <c r="I22" s="302">
        <f t="shared" si="1"/>
        <v>0</v>
      </c>
      <c r="J22" s="291">
        <f t="shared" si="2"/>
        <v>0</v>
      </c>
    </row>
    <row r="23" spans="2:10" x14ac:dyDescent="0.2">
      <c r="B23" s="303"/>
      <c r="C23" s="36" t="s">
        <v>177</v>
      </c>
      <c r="D23" s="304"/>
      <c r="E23" s="305">
        <f>SUM(E24:E35)</f>
        <v>205056471.24199873</v>
      </c>
      <c r="F23" s="305">
        <f>SUM(F24:F35)</f>
        <v>0</v>
      </c>
      <c r="G23" s="306"/>
      <c r="H23" s="305">
        <f>SUM(H24:H35)</f>
        <v>1130618.5214147579</v>
      </c>
      <c r="I23" s="305">
        <f>SUM(I24:I35)</f>
        <v>0</v>
      </c>
      <c r="J23" s="291">
        <f t="shared" si="2"/>
        <v>1130618.5214147579</v>
      </c>
    </row>
    <row r="24" spans="2:10" x14ac:dyDescent="0.2">
      <c r="B24" s="351" t="s">
        <v>221</v>
      </c>
      <c r="C24" s="300" t="s">
        <v>222</v>
      </c>
      <c r="D24" s="304"/>
      <c r="E24" s="301">
        <v>190714348.27999875</v>
      </c>
      <c r="F24" s="301"/>
      <c r="G24" s="295">
        <v>5.5136934453556014E-3</v>
      </c>
      <c r="H24" s="302">
        <f t="shared" ref="H24:H35" si="3">E24*G24</f>
        <v>1051540.4520466945</v>
      </c>
      <c r="I24" s="302">
        <f t="shared" ref="I24:I35" si="4">F24*G24</f>
        <v>0</v>
      </c>
      <c r="J24" s="291">
        <f t="shared" si="2"/>
        <v>1051540.4520466945</v>
      </c>
    </row>
    <row r="25" spans="2:10" x14ac:dyDescent="0.2">
      <c r="B25" s="303" t="s">
        <v>221</v>
      </c>
      <c r="C25" s="300" t="s">
        <v>223</v>
      </c>
      <c r="D25" s="304"/>
      <c r="E25" s="301">
        <v>1942424.69</v>
      </c>
      <c r="F25" s="301"/>
      <c r="G25" s="295">
        <v>5.5136934453556014E-3</v>
      </c>
      <c r="H25" s="302">
        <f t="shared" si="3"/>
        <v>10709.934281349886</v>
      </c>
      <c r="I25" s="302">
        <f t="shared" si="4"/>
        <v>0</v>
      </c>
      <c r="J25" s="291">
        <f t="shared" si="2"/>
        <v>10709.934281349886</v>
      </c>
    </row>
    <row r="26" spans="2:10" x14ac:dyDescent="0.2">
      <c r="B26" s="303" t="s">
        <v>221</v>
      </c>
      <c r="C26" s="300" t="s">
        <v>224</v>
      </c>
      <c r="D26" s="304"/>
      <c r="E26" s="301">
        <v>12399698.271999989</v>
      </c>
      <c r="F26" s="301"/>
      <c r="G26" s="295">
        <v>5.5136934453556014E-3</v>
      </c>
      <c r="H26" s="302">
        <f t="shared" si="3"/>
        <v>68368.135086713519</v>
      </c>
      <c r="I26" s="302">
        <f t="shared" si="4"/>
        <v>0</v>
      </c>
      <c r="J26" s="291">
        <f t="shared" si="2"/>
        <v>68368.135086713519</v>
      </c>
    </row>
    <row r="27" spans="2:10" x14ac:dyDescent="0.2">
      <c r="B27" s="303"/>
      <c r="C27" s="300"/>
      <c r="D27" s="304"/>
      <c r="E27" s="301"/>
      <c r="F27" s="301"/>
      <c r="G27" s="295"/>
      <c r="H27" s="302">
        <f t="shared" si="3"/>
        <v>0</v>
      </c>
      <c r="I27" s="302">
        <f t="shared" si="4"/>
        <v>0</v>
      </c>
      <c r="J27" s="291">
        <f t="shared" si="2"/>
        <v>0</v>
      </c>
    </row>
    <row r="28" spans="2:10" x14ac:dyDescent="0.2">
      <c r="B28" s="303"/>
      <c r="C28" s="300"/>
      <c r="D28" s="304"/>
      <c r="E28" s="301"/>
      <c r="F28" s="301"/>
      <c r="G28" s="295"/>
      <c r="H28" s="302">
        <f t="shared" si="3"/>
        <v>0</v>
      </c>
      <c r="I28" s="302">
        <f t="shared" si="4"/>
        <v>0</v>
      </c>
      <c r="J28" s="291">
        <f t="shared" si="2"/>
        <v>0</v>
      </c>
    </row>
    <row r="29" spans="2:10" x14ac:dyDescent="0.2">
      <c r="B29" s="303"/>
      <c r="C29" s="300"/>
      <c r="D29" s="304"/>
      <c r="E29" s="301"/>
      <c r="F29" s="301"/>
      <c r="G29" s="295"/>
      <c r="H29" s="302">
        <f t="shared" si="3"/>
        <v>0</v>
      </c>
      <c r="I29" s="302">
        <f t="shared" si="4"/>
        <v>0</v>
      </c>
      <c r="J29" s="291">
        <f t="shared" si="2"/>
        <v>0</v>
      </c>
    </row>
    <row r="30" spans="2:10" x14ac:dyDescent="0.2">
      <c r="B30" s="303"/>
      <c r="C30" s="300"/>
      <c r="D30" s="304"/>
      <c r="E30" s="301"/>
      <c r="F30" s="301"/>
      <c r="G30" s="295"/>
      <c r="H30" s="302">
        <f t="shared" si="3"/>
        <v>0</v>
      </c>
      <c r="I30" s="302">
        <f t="shared" si="4"/>
        <v>0</v>
      </c>
      <c r="J30" s="291">
        <f t="shared" si="2"/>
        <v>0</v>
      </c>
    </row>
    <row r="31" spans="2:10" x14ac:dyDescent="0.2">
      <c r="B31" s="303"/>
      <c r="C31" s="300"/>
      <c r="D31" s="304"/>
      <c r="E31" s="301"/>
      <c r="F31" s="301"/>
      <c r="G31" s="295"/>
      <c r="H31" s="302">
        <f t="shared" si="3"/>
        <v>0</v>
      </c>
      <c r="I31" s="302">
        <f t="shared" si="4"/>
        <v>0</v>
      </c>
      <c r="J31" s="291">
        <f t="shared" si="2"/>
        <v>0</v>
      </c>
    </row>
    <row r="32" spans="2:10" x14ac:dyDescent="0.2">
      <c r="B32" s="303"/>
      <c r="C32" s="300"/>
      <c r="D32" s="304"/>
      <c r="E32" s="301"/>
      <c r="F32" s="301"/>
      <c r="G32" s="295"/>
      <c r="H32" s="302">
        <f t="shared" si="3"/>
        <v>0</v>
      </c>
      <c r="I32" s="302">
        <f t="shared" si="4"/>
        <v>0</v>
      </c>
      <c r="J32" s="291">
        <f t="shared" si="2"/>
        <v>0</v>
      </c>
    </row>
    <row r="33" spans="2:10" x14ac:dyDescent="0.2">
      <c r="B33" s="303"/>
      <c r="C33" s="300"/>
      <c r="D33" s="304"/>
      <c r="E33" s="301"/>
      <c r="F33" s="301"/>
      <c r="G33" s="295"/>
      <c r="H33" s="302">
        <f t="shared" si="3"/>
        <v>0</v>
      </c>
      <c r="I33" s="302">
        <f t="shared" si="4"/>
        <v>0</v>
      </c>
      <c r="J33" s="291">
        <f t="shared" si="2"/>
        <v>0</v>
      </c>
    </row>
    <row r="34" spans="2:10" x14ac:dyDescent="0.2">
      <c r="B34" s="303"/>
      <c r="C34" s="300"/>
      <c r="D34" s="304"/>
      <c r="E34" s="301"/>
      <c r="F34" s="301"/>
      <c r="G34" s="295"/>
      <c r="H34" s="302">
        <f t="shared" si="3"/>
        <v>0</v>
      </c>
      <c r="I34" s="302">
        <f t="shared" si="4"/>
        <v>0</v>
      </c>
      <c r="J34" s="291">
        <f t="shared" si="2"/>
        <v>0</v>
      </c>
    </row>
    <row r="35" spans="2:10" x14ac:dyDescent="0.2">
      <c r="B35" s="303"/>
      <c r="C35" s="300"/>
      <c r="D35" s="304"/>
      <c r="E35" s="301"/>
      <c r="F35" s="301"/>
      <c r="G35" s="295"/>
      <c r="H35" s="302">
        <f t="shared" si="3"/>
        <v>0</v>
      </c>
      <c r="I35" s="302">
        <f t="shared" si="4"/>
        <v>0</v>
      </c>
      <c r="J35" s="291">
        <f t="shared" si="2"/>
        <v>0</v>
      </c>
    </row>
    <row r="36" spans="2:10" x14ac:dyDescent="0.2">
      <c r="B36" s="232"/>
      <c r="C36" s="427" t="s">
        <v>202</v>
      </c>
      <c r="D36" s="428"/>
      <c r="E36" s="302">
        <f>SUM(E15:E23)</f>
        <v>260334502.24199873</v>
      </c>
      <c r="F36" s="302">
        <f>SUM(F15:F23)</f>
        <v>0</v>
      </c>
      <c r="G36" s="307"/>
      <c r="H36" s="302">
        <f>SUM(H15:H23)</f>
        <v>1435404.6386116217</v>
      </c>
      <c r="I36" s="302">
        <f>SUM(I15:I23)</f>
        <v>0</v>
      </c>
      <c r="J36" s="291">
        <f>SUM(J15:J23)</f>
        <v>1435404.6386116217</v>
      </c>
    </row>
  </sheetData>
  <sheetProtection sheet="1"/>
  <mergeCells count="2">
    <mergeCell ref="B6:D8"/>
    <mergeCell ref="C36:D36"/>
  </mergeCells>
  <phoneticPr fontId="29" type="noConversion"/>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4D30E-37A7-497D-97AF-3D65009AA24F}">
  <sheetPr codeName="Sheet3">
    <tabColor rgb="FF17415D"/>
    <pageSetUpPr fitToPage="1"/>
  </sheetPr>
  <dimension ref="B1:H132"/>
  <sheetViews>
    <sheetView zoomScaleNormal="100" workbookViewId="0">
      <pane xSplit="1" ySplit="10" topLeftCell="B11" activePane="bottomRight" state="frozen"/>
      <selection pane="topRight" activeCell="B1" sqref="B1"/>
      <selection pane="bottomLeft" activeCell="A11" sqref="A11"/>
      <selection pane="bottomRight"/>
    </sheetView>
  </sheetViews>
  <sheetFormatPr defaultColWidth="9.42578125" defaultRowHeight="12.75" x14ac:dyDescent="0.2"/>
  <cols>
    <col min="1" max="1" width="12" style="4" customWidth="1"/>
    <col min="2" max="2" width="18.5703125" style="4" customWidth="1"/>
    <col min="3" max="3" width="67.42578125" style="4" customWidth="1"/>
    <col min="4" max="5" width="20.5703125" style="4" customWidth="1"/>
    <col min="6" max="6" width="9.42578125" style="4"/>
    <col min="7" max="7" width="13.42578125" style="4" customWidth="1"/>
    <col min="8" max="8" width="15.42578125" style="4" customWidth="1"/>
    <col min="9" max="16384" width="9.42578125" style="4"/>
  </cols>
  <sheetData>
    <row r="1" spans="2:6" ht="20.25" x14ac:dyDescent="0.2">
      <c r="B1" s="103" t="s">
        <v>68</v>
      </c>
      <c r="C1" s="103"/>
    </row>
    <row r="2" spans="2:6" ht="20.25" x14ac:dyDescent="0.2">
      <c r="B2" s="103" t="str">
        <f>IF(Tradingname=0," ",Tradingname)</f>
        <v>APA Reedy Creek Wallumbilla Pty Limited</v>
      </c>
      <c r="C2" s="103"/>
      <c r="E2" s="218"/>
    </row>
    <row r="3" spans="2:6" ht="20.25" x14ac:dyDescent="0.3">
      <c r="B3" s="103" t="s">
        <v>46</v>
      </c>
      <c r="C3" s="80">
        <f>IF(Yearending=0, "01/01/2000", Yearending)</f>
        <v>45838</v>
      </c>
    </row>
    <row r="4" spans="2:6" ht="45" customHeight="1" x14ac:dyDescent="0.2">
      <c r="B4" s="430" t="s">
        <v>225</v>
      </c>
      <c r="C4" s="430"/>
      <c r="D4" s="286"/>
    </row>
    <row r="5" spans="2:6" x14ac:dyDescent="0.2">
      <c r="D5" s="308"/>
    </row>
    <row r="6" spans="2:6" ht="12.75" customHeight="1" x14ac:dyDescent="0.2">
      <c r="B6" s="426" t="s">
        <v>226</v>
      </c>
      <c r="C6" s="426"/>
      <c r="D6" s="426"/>
      <c r="E6" s="426"/>
      <c r="F6" s="426"/>
    </row>
    <row r="7" spans="2:6" ht="12.75" customHeight="1" x14ac:dyDescent="0.2">
      <c r="B7" s="426"/>
      <c r="C7" s="426"/>
      <c r="D7" s="426"/>
      <c r="E7" s="426"/>
      <c r="F7" s="426"/>
    </row>
    <row r="8" spans="2:6" ht="12.75" customHeight="1" x14ac:dyDescent="0.2">
      <c r="B8" s="426"/>
      <c r="C8" s="426"/>
      <c r="D8" s="426"/>
      <c r="E8" s="426"/>
      <c r="F8" s="426"/>
    </row>
    <row r="9" spans="2:6" ht="12.75" customHeight="1" x14ac:dyDescent="0.2">
      <c r="B9" s="426"/>
      <c r="C9" s="426"/>
      <c r="D9" s="426"/>
      <c r="E9" s="426"/>
      <c r="F9" s="426"/>
    </row>
    <row r="10" spans="2:6" ht="12.75" customHeight="1" x14ac:dyDescent="0.2">
      <c r="B10" s="426"/>
      <c r="C10" s="426"/>
      <c r="D10" s="426"/>
      <c r="E10" s="426"/>
      <c r="F10" s="426"/>
    </row>
    <row r="11" spans="2:6" x14ac:dyDescent="0.2">
      <c r="D11" s="308"/>
    </row>
    <row r="12" spans="2:6" x14ac:dyDescent="0.2">
      <c r="D12" s="308"/>
    </row>
    <row r="13" spans="2:6" ht="15.75" x14ac:dyDescent="0.2">
      <c r="B13" s="429" t="s">
        <v>227</v>
      </c>
      <c r="C13" s="429"/>
      <c r="D13" s="308"/>
    </row>
    <row r="15" spans="2:6" ht="25.5" x14ac:dyDescent="0.2">
      <c r="B15" s="46" t="s">
        <v>131</v>
      </c>
      <c r="C15" s="47" t="s">
        <v>132</v>
      </c>
      <c r="D15" s="47" t="s">
        <v>182</v>
      </c>
      <c r="E15" s="179" t="s">
        <v>143</v>
      </c>
    </row>
    <row r="16" spans="2:6" x14ac:dyDescent="0.2">
      <c r="B16" s="46"/>
      <c r="C16" s="48" t="s">
        <v>228</v>
      </c>
      <c r="D16" s="179"/>
      <c r="E16" s="179"/>
    </row>
    <row r="17" spans="2:7" x14ac:dyDescent="0.2">
      <c r="B17" s="233"/>
      <c r="C17" s="50" t="s">
        <v>229</v>
      </c>
      <c r="D17" s="47"/>
      <c r="E17" s="179"/>
    </row>
    <row r="18" spans="2:7" x14ac:dyDescent="0.2">
      <c r="B18" s="292" t="s">
        <v>230</v>
      </c>
      <c r="C18" s="49" t="s">
        <v>231</v>
      </c>
      <c r="D18" s="101">
        <f>IF(Cover!C23="Scheme pipeline","-",SUMIF('3.5 Depreciation amortisation'!$D$15:$D$58,'3.1 Depreciated Book Value'!C17,'3.5 Depreciation amortisation'!$H$15:$H$58))</f>
        <v>47019497.340000004</v>
      </c>
      <c r="E18" s="290">
        <v>46242166.340000004</v>
      </c>
    </row>
    <row r="19" spans="2:7" x14ac:dyDescent="0.2">
      <c r="B19" s="292" t="s">
        <v>230</v>
      </c>
      <c r="C19" s="49" t="s">
        <v>232</v>
      </c>
      <c r="D19" s="101">
        <f>IF(Cover!C23="Scheme pipeline","-",SUMIF('3.5 Depreciation amortisation'!$D$15:$D$58,'3.1 Depreciated Book Value'!C17,'3.5 Depreciation amortisation'!$I$15:$I$58))</f>
        <v>1245006.95</v>
      </c>
      <c r="E19" s="290">
        <v>777331</v>
      </c>
    </row>
    <row r="20" spans="2:7" x14ac:dyDescent="0.2">
      <c r="B20" s="292" t="s">
        <v>230</v>
      </c>
      <c r="C20" s="49" t="s">
        <v>233</v>
      </c>
      <c r="D20" s="101">
        <f>IF(Cover!C23="Scheme pipeline","-",SUMIF('3.5 Depreciation amortisation'!$D$15:$D$58,'3.1 Depreciated Book Value'!C17,'3.5 Depreciation amortisation'!$J$15:$J$58))</f>
        <v>0</v>
      </c>
      <c r="E20" s="290">
        <v>0</v>
      </c>
    </row>
    <row r="21" spans="2:7" x14ac:dyDescent="0.2">
      <c r="B21" s="267"/>
      <c r="C21" s="66" t="s">
        <v>234</v>
      </c>
      <c r="D21" s="101">
        <f>IF(Cover!C23="Scheme pipeline","-",SUM(D18:D20))</f>
        <v>48264504.290000007</v>
      </c>
      <c r="E21" s="101">
        <f>SUM(E18:E20)</f>
        <v>47019497.340000004</v>
      </c>
    </row>
    <row r="22" spans="2:7" x14ac:dyDescent="0.2">
      <c r="B22" s="292" t="s">
        <v>230</v>
      </c>
      <c r="C22" s="49" t="s">
        <v>235</v>
      </c>
      <c r="D22" s="101">
        <f>IF(Cover!C23="Scheme pipeline","-",-ABS(SUMIF('3.5 Depreciation amortisation'!$D$15:$D$58,'3.1 Depreciated Book Value'!C17,'3.5 Depreciation amortisation'!$O$15:$O$58)+SUMIF('3.5 Depreciation amortisation'!$D$15:$D$58,'3.1 Depreciated Book Value'!C17,'3.5 Depreciation amortisation'!$P$15:$P$58))-D23)</f>
        <v>-12123459.059999999</v>
      </c>
      <c r="E22" s="290">
        <v>-10381339.689999999</v>
      </c>
    </row>
    <row r="23" spans="2:7" x14ac:dyDescent="0.2">
      <c r="B23" s="292" t="s">
        <v>230</v>
      </c>
      <c r="C23" s="49" t="s">
        <v>236</v>
      </c>
      <c r="D23" s="101">
        <f>IF(Cover!C23="Scheme pipeline","-",-ABS(SUMIF('3.4 Asset impairment'!$C$10:$C$24,'3.1 Depreciated Book Value'!C17,'3.4 Asset impairment'!$D$10:$D$24))+SUMIF('3.4 Asset impairment'!$C$30:$C$56,'3.1 Depreciated Book Value'!C17,'3.4 Asset impairment'!$G$30:$G$56))</f>
        <v>0</v>
      </c>
      <c r="E23" s="290"/>
    </row>
    <row r="24" spans="2:7" x14ac:dyDescent="0.2">
      <c r="B24" s="292" t="s">
        <v>230</v>
      </c>
      <c r="C24" s="49" t="s">
        <v>237</v>
      </c>
      <c r="D24" s="101">
        <f>IF(Cover!C23="Scheme pipeline","-",SUMIF('3.5 Depreciation amortisation'!$D$15:$D$58,'3.1 Depreciated Book Value'!C17,'3.5 Depreciation amortisation'!$K$15:$K$58))</f>
        <v>0</v>
      </c>
      <c r="E24" s="290">
        <v>0</v>
      </c>
    </row>
    <row r="25" spans="2:7" x14ac:dyDescent="0.2">
      <c r="B25" s="267"/>
      <c r="C25" s="66" t="s">
        <v>238</v>
      </c>
      <c r="D25" s="101">
        <f>IF(Cover!C23="Scheme pipeline","-",SUM(D21:D24))</f>
        <v>36141045.230000004</v>
      </c>
      <c r="E25" s="101">
        <f>SUM(E21:E24)</f>
        <v>36638157.650000006</v>
      </c>
    </row>
    <row r="26" spans="2:7" x14ac:dyDescent="0.2">
      <c r="B26" s="267"/>
      <c r="C26" s="50" t="s">
        <v>239</v>
      </c>
      <c r="D26" s="309"/>
      <c r="E26" s="309"/>
      <c r="G26" s="126"/>
    </row>
    <row r="27" spans="2:7" x14ac:dyDescent="0.2">
      <c r="B27" s="292" t="s">
        <v>230</v>
      </c>
      <c r="C27" s="49" t="s">
        <v>231</v>
      </c>
      <c r="D27" s="101">
        <f>IF(Cover!C23="Scheme pipeline","-",SUMIF('3.5 Depreciation amortisation'!$D$15:$D$58,'3.1 Depreciated Book Value'!C26,'3.5 Depreciation amortisation'!$H$15:$H$58))</f>
        <v>12598953.199999999</v>
      </c>
      <c r="E27" s="290">
        <v>12598953.199999999</v>
      </c>
      <c r="G27" s="126"/>
    </row>
    <row r="28" spans="2:7" x14ac:dyDescent="0.2">
      <c r="B28" s="292" t="s">
        <v>230</v>
      </c>
      <c r="C28" s="49" t="s">
        <v>232</v>
      </c>
      <c r="D28" s="101">
        <f>IF(Cover!C23="Scheme pipeline","-",SUMIF('3.5 Depreciation amortisation'!$D$15:$D$58,'3.1 Depreciated Book Value'!C26,'3.5 Depreciation amortisation'!$I$15:$I$58))</f>
        <v>0</v>
      </c>
      <c r="E28" s="290">
        <v>0</v>
      </c>
      <c r="G28" s="126"/>
    </row>
    <row r="29" spans="2:7" x14ac:dyDescent="0.2">
      <c r="B29" s="292" t="s">
        <v>230</v>
      </c>
      <c r="C29" s="49" t="s">
        <v>233</v>
      </c>
      <c r="D29" s="101">
        <f>IF(Cover!C23="Scheme pipeline","-",SUMIF('3.5 Depreciation amortisation'!$D$15:$D$58,'3.1 Depreciated Book Value'!C26,'3.5 Depreciation amortisation'!$J$15:$J$58))</f>
        <v>0</v>
      </c>
      <c r="E29" s="290">
        <v>0</v>
      </c>
      <c r="G29" s="126"/>
    </row>
    <row r="30" spans="2:7" x14ac:dyDescent="0.2">
      <c r="B30" s="292" t="s">
        <v>230</v>
      </c>
      <c r="C30" s="49" t="s">
        <v>235</v>
      </c>
      <c r="D30" s="101">
        <f>IF(Cover!C23="Scheme pipeline","-",-ABS(SUMIF('3.5 Depreciation amortisation'!$D$15:$D$58,'3.1 Depreciated Book Value'!C26,'3.5 Depreciation amortisation'!$O$15:$O$58)+SUMIF('3.5 Depreciation amortisation'!$D$15:$D$58,'3.1 Depreciated Book Value'!C26,'3.5 Depreciation amortisation'!$P$15:$P$58))-D31)</f>
        <v>-3005738.21</v>
      </c>
      <c r="E30" s="290">
        <v>-2527281.62</v>
      </c>
      <c r="G30" s="126"/>
    </row>
    <row r="31" spans="2:7" x14ac:dyDescent="0.2">
      <c r="B31" s="292" t="s">
        <v>230</v>
      </c>
      <c r="C31" s="49" t="s">
        <v>236</v>
      </c>
      <c r="D31" s="101">
        <f>IF(Cover!C23="Scheme pipeline","-",-ABS(SUMIF('3.4 Asset impairment'!$C$10:$C$24,'3.1 Depreciated Book Value'!C26,'3.4 Asset impairment'!$D$10:$D$24))+SUMIF('3.4 Asset impairment'!$C$30:$C$56,C26,'3.4 Asset impairment'!$G$30:$G$56))</f>
        <v>0</v>
      </c>
      <c r="E31" s="290"/>
      <c r="G31" s="126"/>
    </row>
    <row r="32" spans="2:7" ht="11.25" customHeight="1" x14ac:dyDescent="0.2">
      <c r="B32" s="292" t="s">
        <v>230</v>
      </c>
      <c r="C32" s="49" t="s">
        <v>237</v>
      </c>
      <c r="D32" s="101">
        <f>IF(Cover!C23="Scheme pipeline","-",SUMIF('3.5 Depreciation amortisation'!$D$15:$D$58,'3.1 Depreciated Book Value'!C26,'3.5 Depreciation amortisation'!$K$15:$K$58))</f>
        <v>0</v>
      </c>
      <c r="E32" s="290">
        <v>0</v>
      </c>
      <c r="G32" s="126"/>
    </row>
    <row r="33" spans="2:7" x14ac:dyDescent="0.2">
      <c r="B33" s="267"/>
      <c r="C33" s="66" t="s">
        <v>240</v>
      </c>
      <c r="D33" s="101">
        <f>IF(Cover!C23="Scheme pipeline","-",SUM(D27:D32))</f>
        <v>9593214.9899999984</v>
      </c>
      <c r="E33" s="101">
        <f>SUM(E27:E32)</f>
        <v>10071671.579999998</v>
      </c>
      <c r="G33" s="126"/>
    </row>
    <row r="34" spans="2:7" x14ac:dyDescent="0.2">
      <c r="B34" s="267"/>
      <c r="C34" s="50" t="s">
        <v>241</v>
      </c>
      <c r="D34" s="309"/>
      <c r="E34" s="309"/>
      <c r="G34" s="125"/>
    </row>
    <row r="35" spans="2:7" x14ac:dyDescent="0.2">
      <c r="B35" s="292" t="s">
        <v>230</v>
      </c>
      <c r="C35" s="49" t="s">
        <v>231</v>
      </c>
      <c r="D35" s="101">
        <f>IF(Cover!C23="Scheme pipeline","-",SUMIF('3.5 Depreciation amortisation'!$D$15:$D$58,'3.1 Depreciated Book Value'!C34,'3.5 Depreciation amortisation'!$H$15:$H$58))</f>
        <v>0</v>
      </c>
      <c r="E35" s="290">
        <v>0</v>
      </c>
    </row>
    <row r="36" spans="2:7" x14ac:dyDescent="0.2">
      <c r="B36" s="292" t="s">
        <v>230</v>
      </c>
      <c r="C36" s="49" t="s">
        <v>232</v>
      </c>
      <c r="D36" s="101">
        <f>IF(Cover!C23="Scheme pipeline","-",SUMIF('3.5 Depreciation amortisation'!$D$15:$D$58,'3.1 Depreciated Book Value'!C34,'3.5 Depreciation amortisation'!$I$15:$I$58))</f>
        <v>4160626.6700000004</v>
      </c>
      <c r="E36" s="290">
        <v>0</v>
      </c>
    </row>
    <row r="37" spans="2:7" x14ac:dyDescent="0.2">
      <c r="B37" s="292" t="s">
        <v>230</v>
      </c>
      <c r="C37" s="49" t="s">
        <v>233</v>
      </c>
      <c r="D37" s="101">
        <f>IF(Cover!C23="Scheme pipeline","-",SUMIF('3.5 Depreciation amortisation'!$D$15:$D$58,'3.1 Depreciated Book Value'!C34,'3.5 Depreciation amortisation'!$J$15:$J$58))</f>
        <v>0</v>
      </c>
      <c r="E37" s="290">
        <v>0</v>
      </c>
    </row>
    <row r="38" spans="2:7" x14ac:dyDescent="0.2">
      <c r="B38" s="292" t="s">
        <v>230</v>
      </c>
      <c r="C38" s="49" t="s">
        <v>235</v>
      </c>
      <c r="D38" s="101">
        <f>IF(Cover!C23="Scheme pipeline","-",-ABS(SUMIF('3.5 Depreciation amortisation'!$D$15:$D$58,'3.1 Depreciated Book Value'!C34,'3.5 Depreciation amortisation'!$O$15:$O$58)+SUMIF('3.5 Depreciation amortisation'!$D$15:$D$58,'3.1 Depreciated Book Value'!C34,'3.5 Depreciation amortisation'!$P$15:$P$58))-D39)</f>
        <v>-77382.149999999994</v>
      </c>
      <c r="E38" s="290">
        <v>0</v>
      </c>
    </row>
    <row r="39" spans="2:7" x14ac:dyDescent="0.2">
      <c r="B39" s="292" t="s">
        <v>230</v>
      </c>
      <c r="C39" s="49" t="s">
        <v>236</v>
      </c>
      <c r="D39" s="101">
        <f>IF(Cover!C23="Scheme pipeline","-",-ABS(SUMIF('3.4 Asset impairment'!$C$10:$C$24,'3.1 Depreciated Book Value'!C34,'3.4 Asset impairment'!$D$10:$D$24))+SUMIF('3.4 Asset impairment'!$C$30:$C$56,'3.1 Depreciated Book Value'!C34,'3.4 Asset impairment'!$G$30:$G$56))</f>
        <v>0</v>
      </c>
      <c r="E39" s="290">
        <v>0</v>
      </c>
    </row>
    <row r="40" spans="2:7" ht="11.25" customHeight="1" x14ac:dyDescent="0.2">
      <c r="B40" s="292" t="s">
        <v>230</v>
      </c>
      <c r="C40" s="49" t="s">
        <v>237</v>
      </c>
      <c r="D40" s="101">
        <f>IF(Cover!C23="Scheme pipeline","-",SUMIF('3.5 Depreciation amortisation'!$D$15:$D$58,'3.1 Depreciated Book Value'!C34,'3.5 Depreciation amortisation'!$K$15:$K$58))</f>
        <v>0</v>
      </c>
      <c r="E40" s="290">
        <v>0</v>
      </c>
    </row>
    <row r="41" spans="2:7" x14ac:dyDescent="0.2">
      <c r="B41" s="267"/>
      <c r="C41" s="66" t="s">
        <v>242</v>
      </c>
      <c r="D41" s="101">
        <f>SUM(D35:D40)</f>
        <v>4083244.5200000005</v>
      </c>
      <c r="E41" s="101">
        <f>SUM(E35:E40)</f>
        <v>0</v>
      </c>
    </row>
    <row r="42" spans="2:7" x14ac:dyDescent="0.2">
      <c r="B42" s="267"/>
      <c r="C42" s="50" t="s">
        <v>243</v>
      </c>
      <c r="D42" s="309"/>
      <c r="E42" s="309"/>
    </row>
    <row r="43" spans="2:7" x14ac:dyDescent="0.2">
      <c r="B43" s="292" t="s">
        <v>230</v>
      </c>
      <c r="C43" s="49" t="s">
        <v>231</v>
      </c>
      <c r="D43" s="101">
        <f>IF(Cover!C23="Scheme pipeline","-",SUMIF('3.5 Depreciation amortisation'!$D$15:$D$58,'3.1 Depreciated Book Value'!C42,'3.5 Depreciation amortisation'!$H$15:$H$58))</f>
        <v>0</v>
      </c>
      <c r="E43" s="290">
        <v>0</v>
      </c>
    </row>
    <row r="44" spans="2:7" x14ac:dyDescent="0.2">
      <c r="B44" s="292" t="s">
        <v>230</v>
      </c>
      <c r="C44" s="49" t="s">
        <v>244</v>
      </c>
      <c r="D44" s="101">
        <f>IF(Cover!C23="Scheme pipeline","-",SUMIF('3.5 Depreciation amortisation'!$D$15:$D$58,'3.1 Depreciated Book Value'!C42,'3.5 Depreciation amortisation'!$I$15:$I$58))</f>
        <v>12598935.239999998</v>
      </c>
      <c r="E44" s="290">
        <v>0</v>
      </c>
    </row>
    <row r="45" spans="2:7" x14ac:dyDescent="0.2">
      <c r="B45" s="292" t="s">
        <v>230</v>
      </c>
      <c r="C45" s="49" t="s">
        <v>233</v>
      </c>
      <c r="D45" s="101">
        <f>IF(Cover!C23="Scheme pipeline","-",SUMIF('3.5 Depreciation amortisation'!$D$15:$D$58,'3.1 Depreciated Book Value'!C42,'3.5 Depreciation amortisation'!$J$15:$J$58))</f>
        <v>0</v>
      </c>
      <c r="E45" s="290">
        <v>0</v>
      </c>
    </row>
    <row r="46" spans="2:7" x14ac:dyDescent="0.2">
      <c r="B46" s="292" t="s">
        <v>230</v>
      </c>
      <c r="C46" s="49" t="s">
        <v>235</v>
      </c>
      <c r="D46" s="101">
        <f>IF(Cover!C23="Scheme pipeline","-",-ABS(SUMIF('3.5 Depreciation amortisation'!$D$15:$D$58,'3.1 Depreciated Book Value'!C42,'3.5 Depreciation amortisation'!$O$15:$O$58)+SUMIF('3.5 Depreciation amortisation'!$D$15:$D$58,'3.1 Depreciated Book Value'!C42,'3.5 Depreciation amortisation'!$P$15:$P$58))-D47)</f>
        <v>-266129.5</v>
      </c>
      <c r="E46" s="290">
        <v>0</v>
      </c>
    </row>
    <row r="47" spans="2:7" x14ac:dyDescent="0.2">
      <c r="B47" s="292" t="s">
        <v>230</v>
      </c>
      <c r="C47" s="49" t="s">
        <v>236</v>
      </c>
      <c r="D47" s="101">
        <f>IF(Cover!C23="Scheme pipeline","-",-ABS(SUMIF('3.4 Asset impairment'!$C$10:$C$24,'3.1 Depreciated Book Value'!C42,'3.4 Asset impairment'!$D$10:$D$24))+SUMIF('3.4 Asset impairment'!$C$30:$C$56,'3.1 Depreciated Book Value'!C42,'3.4 Asset impairment'!$G$30:$G$56))</f>
        <v>0</v>
      </c>
      <c r="E47" s="290">
        <v>0</v>
      </c>
    </row>
    <row r="48" spans="2:7" ht="11.25" customHeight="1" x14ac:dyDescent="0.2">
      <c r="B48" s="292" t="s">
        <v>230</v>
      </c>
      <c r="C48" s="49" t="s">
        <v>237</v>
      </c>
      <c r="D48" s="101">
        <f>IF(Cover!C23="Scheme pipeline","-",SUMIF('3.5 Depreciation amortisation'!$D$15:$D$58,'3.1 Depreciated Book Value'!C42,'3.5 Depreciation amortisation'!$K$15:$K$58))</f>
        <v>0</v>
      </c>
      <c r="E48" s="290">
        <v>0</v>
      </c>
    </row>
    <row r="49" spans="2:5" x14ac:dyDescent="0.2">
      <c r="B49" s="267"/>
      <c r="C49" s="66" t="s">
        <v>245</v>
      </c>
      <c r="D49" s="101">
        <f>SUM(D43:D48)</f>
        <v>12332805.739999998</v>
      </c>
      <c r="E49" s="101">
        <f>SUM(E43:E48)</f>
        <v>0</v>
      </c>
    </row>
    <row r="50" spans="2:5" x14ac:dyDescent="0.2">
      <c r="B50" s="267"/>
      <c r="C50" s="50" t="s">
        <v>246</v>
      </c>
      <c r="D50" s="309"/>
      <c r="E50" s="309"/>
    </row>
    <row r="51" spans="2:5" x14ac:dyDescent="0.2">
      <c r="B51" s="292" t="s">
        <v>230</v>
      </c>
      <c r="C51" s="49" t="s">
        <v>231</v>
      </c>
      <c r="D51" s="101">
        <f>IF(Cover!C23="Scheme pipeline","-",SUMIF('3.5 Depreciation amortisation'!$D$15:$D$58,'3.1 Depreciated Book Value'!C50,'3.5 Depreciation amortisation'!$H$15:$H$58))</f>
        <v>0</v>
      </c>
      <c r="E51" s="290">
        <v>0</v>
      </c>
    </row>
    <row r="52" spans="2:5" x14ac:dyDescent="0.2">
      <c r="B52" s="292" t="s">
        <v>230</v>
      </c>
      <c r="C52" s="49" t="s">
        <v>232</v>
      </c>
      <c r="D52" s="101">
        <f>IF(Cover!C23="Scheme pipeline","-",SUMIF('3.5 Depreciation amortisation'!$D$15:$D$58,'3.1 Depreciated Book Value'!C50,'3.5 Depreciation amortisation'!$I$15:$I$58))</f>
        <v>0</v>
      </c>
      <c r="E52" s="290">
        <v>0</v>
      </c>
    </row>
    <row r="53" spans="2:5" x14ac:dyDescent="0.2">
      <c r="B53" s="292" t="s">
        <v>230</v>
      </c>
      <c r="C53" s="49" t="s">
        <v>233</v>
      </c>
      <c r="D53" s="101">
        <f>IF(Cover!C23="Scheme pipeline","-",SUMIF('3.5 Depreciation amortisation'!$D$15:$D$58,'3.1 Depreciated Book Value'!C50,'3.5 Depreciation amortisation'!$J$15:$J$58))</f>
        <v>0</v>
      </c>
      <c r="E53" s="290">
        <v>0</v>
      </c>
    </row>
    <row r="54" spans="2:5" x14ac:dyDescent="0.2">
      <c r="B54" s="292" t="s">
        <v>230</v>
      </c>
      <c r="C54" s="49" t="s">
        <v>235</v>
      </c>
      <c r="D54" s="101">
        <f>IF(Cover!C23="Scheme pipeline","-",-ABS(SUMIF('3.5 Depreciation amortisation'!$D$15:$D$58,'3.1 Depreciated Book Value'!C50,'3.5 Depreciation amortisation'!$O$15:$O$58)+SUMIF('3.5 Depreciation amortisation'!$D$15:$D$58,'3.1 Depreciated Book Value'!C50,'3.5 Depreciation amortisation'!$P$15:$P$58))-D55)</f>
        <v>0</v>
      </c>
      <c r="E54" s="290">
        <v>0</v>
      </c>
    </row>
    <row r="55" spans="2:5" x14ac:dyDescent="0.2">
      <c r="B55" s="292" t="s">
        <v>230</v>
      </c>
      <c r="C55" s="49" t="s">
        <v>236</v>
      </c>
      <c r="D55" s="101">
        <f>IF(Cover!C23="Scheme pipeline","-",-ABS(SUMIF('3.4 Asset impairment'!$C$10:$C$24,'3.1 Depreciated Book Value'!C50,'3.4 Asset impairment'!$D$10:$D$24))+SUMIF('3.4 Asset impairment'!$C$30:$C$56,'3.1 Depreciated Book Value'!C50,'3.4 Asset impairment'!$G$30:$G$56))</f>
        <v>0</v>
      </c>
      <c r="E55" s="290">
        <v>0</v>
      </c>
    </row>
    <row r="56" spans="2:5" ht="11.25" customHeight="1" x14ac:dyDescent="0.2">
      <c r="B56" s="292" t="s">
        <v>230</v>
      </c>
      <c r="C56" s="49" t="s">
        <v>237</v>
      </c>
      <c r="D56" s="101">
        <f>IF(Cover!C23="Scheme pipeline","-",SUMIF('3.5 Depreciation amortisation'!$D$15:$D$58,'3.1 Depreciated Book Value'!C50,'3.5 Depreciation amortisation'!$K$15:$K$58))</f>
        <v>0</v>
      </c>
      <c r="E56" s="290">
        <v>0</v>
      </c>
    </row>
    <row r="57" spans="2:5" x14ac:dyDescent="0.2">
      <c r="B57" s="267"/>
      <c r="C57" s="66" t="s">
        <v>247</v>
      </c>
      <c r="D57" s="101">
        <f>SUM(D51:D56)</f>
        <v>0</v>
      </c>
      <c r="E57" s="101">
        <f>SUM(E51:E56)</f>
        <v>0</v>
      </c>
    </row>
    <row r="58" spans="2:5" x14ac:dyDescent="0.2">
      <c r="B58" s="267"/>
      <c r="C58" s="50" t="s">
        <v>248</v>
      </c>
      <c r="D58" s="309"/>
      <c r="E58" s="309"/>
    </row>
    <row r="59" spans="2:5" x14ac:dyDescent="0.2">
      <c r="B59" s="292" t="s">
        <v>230</v>
      </c>
      <c r="C59" s="49" t="s">
        <v>231</v>
      </c>
      <c r="D59" s="101">
        <f>IF(Cover!C23="Scheme pipeline","-",SUMIF('3.5 Depreciation amortisation'!$D$15:$D$58,'3.1 Depreciated Book Value'!C58,'3.5 Depreciation amortisation'!$H$15:$H$58))</f>
        <v>0</v>
      </c>
      <c r="E59" s="290">
        <v>0</v>
      </c>
    </row>
    <row r="60" spans="2:5" x14ac:dyDescent="0.2">
      <c r="B60" s="292" t="s">
        <v>230</v>
      </c>
      <c r="C60" s="49" t="s">
        <v>232</v>
      </c>
      <c r="D60" s="101">
        <f>IF(Cover!C23="Scheme pipeline","-",SUMIF('3.5 Depreciation amortisation'!$D$15:$D$58,'3.1 Depreciated Book Value'!C58,'3.5 Depreciation amortisation'!$I$15:$I$58))</f>
        <v>145007.56</v>
      </c>
      <c r="E60" s="290">
        <v>0</v>
      </c>
    </row>
    <row r="61" spans="2:5" x14ac:dyDescent="0.2">
      <c r="B61" s="292" t="s">
        <v>230</v>
      </c>
      <c r="C61" s="49" t="s">
        <v>233</v>
      </c>
      <c r="D61" s="101">
        <f>IF(Cover!C23="Scheme pipeline","-",SUMIF('3.5 Depreciation amortisation'!$D$15:$D$58,'3.1 Depreciated Book Value'!C58,'3.5 Depreciation amortisation'!$J$15:$J$58))</f>
        <v>0</v>
      </c>
      <c r="E61" s="290">
        <v>0</v>
      </c>
    </row>
    <row r="62" spans="2:5" ht="11.25" customHeight="1" x14ac:dyDescent="0.2">
      <c r="B62" s="292" t="s">
        <v>230</v>
      </c>
      <c r="C62" s="49" t="s">
        <v>235</v>
      </c>
      <c r="D62" s="101">
        <f>IF(Cover!C23="Scheme pipeline","-",-ABS(SUMIF('3.5 Depreciation amortisation'!$D$15:$D$58,'3.1 Depreciated Book Value'!C58,'3.5 Depreciation amortisation'!$O$15:$O$58)+SUMIF('3.5 Depreciation amortisation'!$D$15:$D$58,'3.1 Depreciated Book Value'!C58,'3.5 Depreciation amortisation'!$P$15:$P$58))-D63)</f>
        <v>-6041.98</v>
      </c>
      <c r="E62" s="290">
        <v>0</v>
      </c>
    </row>
    <row r="63" spans="2:5" ht="11.25" customHeight="1" x14ac:dyDescent="0.2">
      <c r="B63" s="292" t="s">
        <v>230</v>
      </c>
      <c r="C63" s="49" t="s">
        <v>236</v>
      </c>
      <c r="D63" s="101">
        <f>IF(Cover!C23="Scheme pipeline","-",-ABS(SUMIF('3.4 Asset impairment'!$C$10:$C$24,'3.1 Depreciated Book Value'!C58,'3.4 Asset impairment'!$D$10:$D$24))+SUMIF('3.4 Asset impairment'!$C$30:$C$56,'3.1 Depreciated Book Value'!C58,'3.4 Asset impairment'!$G$30:$G$56))</f>
        <v>0</v>
      </c>
      <c r="E63" s="290">
        <v>0</v>
      </c>
    </row>
    <row r="64" spans="2:5" ht="11.25" customHeight="1" x14ac:dyDescent="0.2">
      <c r="B64" s="292" t="s">
        <v>230</v>
      </c>
      <c r="C64" s="49" t="s">
        <v>237</v>
      </c>
      <c r="D64" s="101">
        <f>IF(Cover!C23="Scheme pipeline","-",SUMIF('3.5 Depreciation amortisation'!$D$15:$D$58,'3.1 Depreciated Book Value'!C58,'3.5 Depreciation amortisation'!$K$15:$K$58))</f>
        <v>0</v>
      </c>
      <c r="E64" s="290">
        <v>0</v>
      </c>
    </row>
    <row r="65" spans="2:5" x14ac:dyDescent="0.2">
      <c r="B65" s="267"/>
      <c r="C65" s="66" t="s">
        <v>249</v>
      </c>
      <c r="D65" s="101">
        <f>SUM(D59:D64)</f>
        <v>138965.57999999999</v>
      </c>
      <c r="E65" s="101">
        <f>SUM(E59:E64)</f>
        <v>0</v>
      </c>
    </row>
    <row r="66" spans="2:5" x14ac:dyDescent="0.2">
      <c r="B66" s="267"/>
      <c r="C66" s="50" t="s">
        <v>250</v>
      </c>
      <c r="D66" s="309"/>
      <c r="E66" s="309"/>
    </row>
    <row r="67" spans="2:5" x14ac:dyDescent="0.2">
      <c r="B67" s="292" t="s">
        <v>230</v>
      </c>
      <c r="C67" s="49" t="s">
        <v>231</v>
      </c>
      <c r="D67" s="101">
        <f>IF(Cover!C23="Scheme pipeline","-",SUMIF('3.5 Depreciation amortisation'!$D$15:$D$58,'3.1 Depreciated Book Value'!C66,'3.5 Depreciation amortisation'!$H$15:$H$58))</f>
        <v>0</v>
      </c>
      <c r="E67" s="290">
        <v>0</v>
      </c>
    </row>
    <row r="68" spans="2:5" x14ac:dyDescent="0.2">
      <c r="B68" s="292" t="s">
        <v>230</v>
      </c>
      <c r="C68" s="49" t="s">
        <v>232</v>
      </c>
      <c r="D68" s="101">
        <f>IF(Cover!C23="Scheme pipeline","-",SUMIF('3.5 Depreciation amortisation'!$D$15:$D$58,'3.1 Depreciated Book Value'!C66,'3.5 Depreciation amortisation'!$I$15:$I$58))</f>
        <v>0</v>
      </c>
      <c r="E68" s="290">
        <v>0</v>
      </c>
    </row>
    <row r="69" spans="2:5" x14ac:dyDescent="0.2">
      <c r="B69" s="292" t="s">
        <v>230</v>
      </c>
      <c r="C69" s="49" t="s">
        <v>233</v>
      </c>
      <c r="D69" s="101">
        <f>IF(Cover!C23="Scheme pipeline","-",SUMIF('3.5 Depreciation amortisation'!$D$15:$D$58,'3.1 Depreciated Book Value'!C66,'3.5 Depreciation amortisation'!$J$15:$J$58))</f>
        <v>0</v>
      </c>
      <c r="E69" s="290">
        <v>0</v>
      </c>
    </row>
    <row r="70" spans="2:5" x14ac:dyDescent="0.2">
      <c r="B70" s="292" t="s">
        <v>230</v>
      </c>
      <c r="C70" s="49" t="s">
        <v>235</v>
      </c>
      <c r="D70" s="101">
        <f>IF(Cover!C23="Scheme pipeline","-",-ABS(SUMIF('3.5 Depreciation amortisation'!$D$15:$D$58,'3.1 Depreciated Book Value'!C66,'3.5 Depreciation amortisation'!$O$15:$O$58)+SUMIF('3.5 Depreciation amortisation'!$D$15:$D$58,'3.1 Depreciated Book Value'!C66,'3.5 Depreciation amortisation'!$P$15:$P$58))-D71)</f>
        <v>0</v>
      </c>
      <c r="E70" s="290">
        <v>0</v>
      </c>
    </row>
    <row r="71" spans="2:5" x14ac:dyDescent="0.2">
      <c r="B71" s="292" t="s">
        <v>230</v>
      </c>
      <c r="C71" s="49" t="s">
        <v>236</v>
      </c>
      <c r="D71" s="101">
        <f>IF(Cover!C23="Scheme pipeline","-",-ABS(SUMIF('3.4 Asset impairment'!$C$10:$C$24,'3.1 Depreciated Book Value'!C66,'3.4 Asset impairment'!$D$10:$D$24))+SUMIF('3.4 Asset impairment'!$C$30:$C$56,'3.1 Depreciated Book Value'!C66,'3.4 Asset impairment'!$G$30:$G$56))</f>
        <v>0</v>
      </c>
      <c r="E71" s="290">
        <v>0</v>
      </c>
    </row>
    <row r="72" spans="2:5" ht="11.25" customHeight="1" x14ac:dyDescent="0.2">
      <c r="B72" s="292" t="s">
        <v>230</v>
      </c>
      <c r="C72" s="49" t="s">
        <v>237</v>
      </c>
      <c r="D72" s="101">
        <f>IF(Cover!C23="Scheme pipeline","-",SUMIF('3.5 Depreciation amortisation'!$D$15:$D$58,'3.1 Depreciated Book Value'!C66,'3.5 Depreciation amortisation'!$K$15:$K$58))</f>
        <v>0</v>
      </c>
      <c r="E72" s="290">
        <v>0</v>
      </c>
    </row>
    <row r="73" spans="2:5" x14ac:dyDescent="0.2">
      <c r="B73" s="267"/>
      <c r="C73" s="66" t="s">
        <v>251</v>
      </c>
      <c r="D73" s="101">
        <f>SUM(D67:D72)</f>
        <v>0</v>
      </c>
      <c r="E73" s="101">
        <f>SUM(E67:E72)</f>
        <v>0</v>
      </c>
    </row>
    <row r="74" spans="2:5" x14ac:dyDescent="0.2">
      <c r="B74" s="267"/>
      <c r="C74" s="50" t="s">
        <v>252</v>
      </c>
      <c r="D74" s="309"/>
      <c r="E74" s="309"/>
    </row>
    <row r="75" spans="2:5" x14ac:dyDescent="0.2">
      <c r="B75" s="292" t="s">
        <v>230</v>
      </c>
      <c r="C75" s="49" t="s">
        <v>231</v>
      </c>
      <c r="D75" s="101">
        <f>IF(Cover!C23="Scheme pipeline","-",SUMIF('3.5 Depreciation amortisation'!$D$15:$D$58,'3.1 Depreciated Book Value'!C74,'3.5 Depreciation amortisation'!$H$15:$H$58))</f>
        <v>3959276.07</v>
      </c>
      <c r="E75" s="290">
        <v>3959276.07</v>
      </c>
    </row>
    <row r="76" spans="2:5" x14ac:dyDescent="0.2">
      <c r="B76" s="292" t="s">
        <v>230</v>
      </c>
      <c r="C76" s="49" t="s">
        <v>232</v>
      </c>
      <c r="D76" s="101">
        <f>IF(Cover!C23="Scheme pipeline","-",SUMIF('3.5 Depreciation amortisation'!$D$15:$D$58,'3.1 Depreciated Book Value'!C74,'3.5 Depreciation amortisation'!$I$15:$I$58))</f>
        <v>0</v>
      </c>
      <c r="E76" s="290">
        <v>0</v>
      </c>
    </row>
    <row r="77" spans="2:5" x14ac:dyDescent="0.2">
      <c r="B77" s="292" t="s">
        <v>230</v>
      </c>
      <c r="C77" s="49" t="s">
        <v>233</v>
      </c>
      <c r="D77" s="101">
        <f>IF(Cover!C23="Scheme pipeline","-",SUMIF('3.5 Depreciation amortisation'!$D$15:$D$58,'3.1 Depreciated Book Value'!C74,'3.5 Depreciation amortisation'!$J$15:$J$58))</f>
        <v>0</v>
      </c>
      <c r="E77" s="290">
        <v>0</v>
      </c>
    </row>
    <row r="78" spans="2:5" x14ac:dyDescent="0.2">
      <c r="B78" s="292" t="s">
        <v>230</v>
      </c>
      <c r="C78" s="49" t="s">
        <v>236</v>
      </c>
      <c r="D78" s="101">
        <f>IF(Cover!C23="Scheme pipeline","-",-ABS(SUMIF('3.4 Asset impairment'!$C$10:$C$24,'3.1 Depreciated Book Value'!C74,'3.4 Asset impairment'!$D$10:$D$24))+SUMIF('3.4 Asset impairment'!$C$30:$C$56,'3.1 Depreciated Book Value'!C74,'3.4 Asset impairment'!$G$30:$G$56))</f>
        <v>0</v>
      </c>
      <c r="E78" s="290">
        <v>0</v>
      </c>
    </row>
    <row r="79" spans="2:5" ht="11.25" customHeight="1" x14ac:dyDescent="0.2">
      <c r="B79" s="292" t="s">
        <v>230</v>
      </c>
      <c r="C79" s="49" t="s">
        <v>237</v>
      </c>
      <c r="D79" s="101">
        <f>IF(Cover!C23="Scheme pipeline","-",SUMIF('3.5 Depreciation amortisation'!$D$15:$D$58,'3.1 Depreciated Book Value'!C74,'3.5 Depreciation amortisation'!$K$15:$K$58))</f>
        <v>0</v>
      </c>
      <c r="E79" s="290">
        <v>0</v>
      </c>
    </row>
    <row r="80" spans="2:5" x14ac:dyDescent="0.2">
      <c r="B80" s="267"/>
      <c r="C80" s="66" t="s">
        <v>253</v>
      </c>
      <c r="D80" s="101">
        <f>SUM(D75:D79)</f>
        <v>3959276.07</v>
      </c>
      <c r="E80" s="101">
        <f>SUM(E75:E79)</f>
        <v>3959276.07</v>
      </c>
    </row>
    <row r="81" spans="2:8" x14ac:dyDescent="0.2">
      <c r="B81" s="267"/>
      <c r="C81" s="50" t="s">
        <v>254</v>
      </c>
      <c r="D81" s="309"/>
      <c r="E81" s="309"/>
      <c r="G81" s="219"/>
      <c r="H81" s="219"/>
    </row>
    <row r="82" spans="2:8" s="219" customFormat="1" x14ac:dyDescent="0.2">
      <c r="B82" s="292" t="s">
        <v>230</v>
      </c>
      <c r="C82" s="49" t="s">
        <v>231</v>
      </c>
      <c r="D82" s="101">
        <f>IF(Cover!C23="Scheme pipeline","-",SUMIF('3.5 Depreciation amortisation'!$D$15:$D$58,'3.1 Depreciated Book Value'!C81,'3.5 Depreciation amortisation'!$H$15:$H$58))</f>
        <v>19307.219999999998</v>
      </c>
      <c r="E82" s="310">
        <v>19307.219999999998</v>
      </c>
    </row>
    <row r="83" spans="2:8" s="219" customFormat="1" x14ac:dyDescent="0.2">
      <c r="B83" s="292" t="s">
        <v>230</v>
      </c>
      <c r="C83" s="49" t="s">
        <v>232</v>
      </c>
      <c r="D83" s="101">
        <f>IF(Cover!C23="Scheme pipeline","-",SUMIF('3.5 Depreciation amortisation'!$D$15:$D$58,'3.1 Depreciated Book Value'!C81,'3.5 Depreciation amortisation'!$I$15:$I$58))</f>
        <v>256977.56</v>
      </c>
      <c r="E83" s="310">
        <v>0</v>
      </c>
    </row>
    <row r="84" spans="2:8" s="219" customFormat="1" x14ac:dyDescent="0.2">
      <c r="B84" s="292" t="s">
        <v>230</v>
      </c>
      <c r="C84" s="49" t="s">
        <v>233</v>
      </c>
      <c r="D84" s="101">
        <f>IF(Cover!C23="Scheme pipeline","-",SUMIF('3.5 Depreciation amortisation'!$D$15:$D$58,'3.1 Depreciated Book Value'!C81,'3.5 Depreciation amortisation'!$J$15:$J$58))</f>
        <v>0</v>
      </c>
      <c r="E84" s="310">
        <v>0</v>
      </c>
    </row>
    <row r="85" spans="2:8" s="219" customFormat="1" x14ac:dyDescent="0.2">
      <c r="B85" s="292" t="s">
        <v>230</v>
      </c>
      <c r="C85" s="49" t="s">
        <v>235</v>
      </c>
      <c r="D85" s="101">
        <f>IF(Cover!C23="Scheme pipeline","-",-ABS(SUMIF('3.5 Depreciation amortisation'!$D$15:$D$58,'3.1 Depreciated Book Value'!C81,'3.5 Depreciation amortisation'!$O$15:$O$58)+SUMIF('3.5 Depreciation amortisation'!$D$15:$D$58,'3.1 Depreciated Book Value'!C81,'3.5 Depreciation amortisation'!$P$15:$P$58))-D86)</f>
        <v>-31353.8</v>
      </c>
      <c r="E85" s="310">
        <v>-18981.55</v>
      </c>
    </row>
    <row r="86" spans="2:8" s="219" customFormat="1" x14ac:dyDescent="0.2">
      <c r="B86" s="292" t="s">
        <v>230</v>
      </c>
      <c r="C86" s="49" t="s">
        <v>236</v>
      </c>
      <c r="D86" s="101">
        <f>IF(Cover!C23="Scheme pipeline","-",-ABS(SUMIF('3.4 Asset impairment'!$C$10:$C$24,'3.1 Depreciated Book Value'!C81,'3.4 Asset impairment'!$D$10:$D$24))+SUMIF('3.4 Asset impairment'!$C$30:$C$56,'3.1 Depreciated Book Value'!C81,'3.4 Asset impairment'!$G$30:$G$56))</f>
        <v>0</v>
      </c>
      <c r="E86" s="310">
        <v>0</v>
      </c>
    </row>
    <row r="87" spans="2:8" s="219" customFormat="1" x14ac:dyDescent="0.2">
      <c r="B87" s="292" t="s">
        <v>230</v>
      </c>
      <c r="C87" s="49" t="s">
        <v>237</v>
      </c>
      <c r="D87" s="101">
        <f>IF(Cover!C23="Scheme pipeline","-",SUMIF('3.5 Depreciation amortisation'!$D$15:$D$58,'3.1 Depreciated Book Value'!C81,'3.5 Depreciation amortisation'!$K$15:$K$58))</f>
        <v>0</v>
      </c>
      <c r="E87" s="310">
        <v>0</v>
      </c>
      <c r="G87" s="4"/>
      <c r="H87" s="4"/>
    </row>
    <row r="88" spans="2:8" x14ac:dyDescent="0.2">
      <c r="B88" s="267"/>
      <c r="C88" s="66" t="s">
        <v>255</v>
      </c>
      <c r="D88" s="101">
        <f>SUM(D82:D87)</f>
        <v>244930.97999999998</v>
      </c>
      <c r="E88" s="101">
        <f>SUM(E82:E87)</f>
        <v>325.66999999999825</v>
      </c>
    </row>
    <row r="89" spans="2:8" x14ac:dyDescent="0.2">
      <c r="B89" s="267"/>
      <c r="C89" s="50" t="s">
        <v>256</v>
      </c>
      <c r="D89" s="309"/>
      <c r="E89" s="309"/>
      <c r="F89" s="81"/>
    </row>
    <row r="90" spans="2:8" x14ac:dyDescent="0.2">
      <c r="B90" s="292" t="s">
        <v>230</v>
      </c>
      <c r="C90" s="49" t="s">
        <v>231</v>
      </c>
      <c r="D90" s="101">
        <f>IF(Cover!C23="Scheme pipeline","-",SUMIF('3.5 Depreciation amortisation'!$D$15:$D$58,'3.1 Depreciated Book Value'!C89,'3.5 Depreciation amortisation'!$H$15:$H$58))</f>
        <v>0</v>
      </c>
      <c r="E90" s="290">
        <v>0</v>
      </c>
      <c r="F90" s="81"/>
    </row>
    <row r="91" spans="2:8" x14ac:dyDescent="0.2">
      <c r="B91" s="292" t="s">
        <v>230</v>
      </c>
      <c r="C91" s="49" t="s">
        <v>232</v>
      </c>
      <c r="D91" s="101">
        <f>IF(Cover!C23="Scheme pipeline","-",SUMIF('3.5 Depreciation amortisation'!$D$15:$D$58,'3.1 Depreciated Book Value'!C89,'3.5 Depreciation amortisation'!$I$15:$I$58))</f>
        <v>0</v>
      </c>
      <c r="E91" s="290">
        <v>0</v>
      </c>
      <c r="F91" s="81"/>
    </row>
    <row r="92" spans="2:8" x14ac:dyDescent="0.2">
      <c r="B92" s="292" t="s">
        <v>230</v>
      </c>
      <c r="C92" s="49" t="s">
        <v>233</v>
      </c>
      <c r="D92" s="101">
        <f>IF(Cover!C23="Scheme pipeline","-",SUMIF('3.5 Depreciation amortisation'!$D$15:$D$58,'3.1 Depreciated Book Value'!C89,'3.5 Depreciation amortisation'!$J$15:$J$58))</f>
        <v>0</v>
      </c>
      <c r="E92" s="290">
        <v>0</v>
      </c>
      <c r="F92" s="81"/>
    </row>
    <row r="93" spans="2:8" x14ac:dyDescent="0.2">
      <c r="B93" s="292" t="s">
        <v>230</v>
      </c>
      <c r="C93" s="49" t="s">
        <v>257</v>
      </c>
      <c r="D93" s="101">
        <f>IF(Cover!C23="Scheme pipeline","-",-ABS(SUMIF('3.5 Depreciation amortisation'!$D$15:$D$58,'3.1 Depreciated Book Value'!C89,'3.5 Depreciation amortisation'!$O$15:$O$58)+SUMIF('3.5 Depreciation amortisation'!$D$15:$D$58,'3.1 Depreciated Book Value'!C89,'3.5 Depreciation amortisation'!$P$15:$P$58))-D94)</f>
        <v>0</v>
      </c>
      <c r="E93" s="290">
        <v>0</v>
      </c>
      <c r="F93" s="81"/>
      <c r="G93" s="81"/>
    </row>
    <row r="94" spans="2:8" x14ac:dyDescent="0.2">
      <c r="B94" s="292" t="s">
        <v>230</v>
      </c>
      <c r="C94" s="49" t="s">
        <v>236</v>
      </c>
      <c r="D94" s="101">
        <f>IF(Cover!C23="Scheme pipeline","-",-ABS(SUMIF('3.4 Asset impairment'!$C$10:$C$24,'3.1 Depreciated Book Value'!C89,'3.4 Asset impairment'!$D$10:$D$24))+SUMIF('3.4 Asset impairment'!$C$30:$C$56,'3.1 Depreciated Book Value'!C89,'3.4 Asset impairment'!$G$30:$G$56))</f>
        <v>0</v>
      </c>
      <c r="E94" s="290">
        <v>0</v>
      </c>
      <c r="F94" s="81"/>
      <c r="G94" s="81"/>
    </row>
    <row r="95" spans="2:8" ht="11.25" customHeight="1" x14ac:dyDescent="0.2">
      <c r="B95" s="292" t="s">
        <v>230</v>
      </c>
      <c r="C95" s="49" t="s">
        <v>237</v>
      </c>
      <c r="D95" s="101">
        <f>IF(Cover!C23="Scheme pipeline","-",SUMIF('3.5 Depreciation amortisation'!$D$15:$D$58,'3.1 Depreciated Book Value'!C89,'3.5 Depreciation amortisation'!$K$15:$K$58))</f>
        <v>0</v>
      </c>
      <c r="E95" s="290">
        <v>0</v>
      </c>
      <c r="F95" s="81"/>
    </row>
    <row r="96" spans="2:8" x14ac:dyDescent="0.2">
      <c r="B96" s="267"/>
      <c r="C96" s="66" t="s">
        <v>258</v>
      </c>
      <c r="D96" s="101">
        <f>SUM(D90:D95)</f>
        <v>0</v>
      </c>
      <c r="E96" s="101">
        <f>SUM(E90:E95)</f>
        <v>0</v>
      </c>
      <c r="F96" s="81"/>
    </row>
    <row r="97" spans="2:7" x14ac:dyDescent="0.2">
      <c r="B97" s="292" t="s">
        <v>230</v>
      </c>
      <c r="C97" s="50" t="s">
        <v>259</v>
      </c>
      <c r="D97" s="309"/>
      <c r="E97" s="309"/>
    </row>
    <row r="98" spans="2:7" x14ac:dyDescent="0.2">
      <c r="B98" s="292" t="s">
        <v>230</v>
      </c>
      <c r="C98" s="49" t="s">
        <v>231</v>
      </c>
      <c r="D98" s="290">
        <v>0</v>
      </c>
      <c r="E98" s="290">
        <v>0</v>
      </c>
      <c r="F98" s="81"/>
    </row>
    <row r="99" spans="2:7" x14ac:dyDescent="0.2">
      <c r="B99" s="292" t="s">
        <v>230</v>
      </c>
      <c r="C99" s="49" t="s">
        <v>232</v>
      </c>
      <c r="D99" s="290">
        <v>0</v>
      </c>
      <c r="E99" s="290">
        <v>0</v>
      </c>
      <c r="F99" s="81"/>
    </row>
    <row r="100" spans="2:7" x14ac:dyDescent="0.2">
      <c r="B100" s="292" t="s">
        <v>230</v>
      </c>
      <c r="C100" s="49" t="s">
        <v>233</v>
      </c>
      <c r="D100" s="290">
        <v>0</v>
      </c>
      <c r="E100" s="290">
        <v>0</v>
      </c>
      <c r="F100" s="81"/>
    </row>
    <row r="101" spans="2:7" x14ac:dyDescent="0.2">
      <c r="B101" s="292" t="s">
        <v>230</v>
      </c>
      <c r="C101" s="49" t="s">
        <v>237</v>
      </c>
      <c r="D101" s="290">
        <v>0</v>
      </c>
      <c r="E101" s="290">
        <v>0</v>
      </c>
      <c r="F101" s="81"/>
      <c r="G101" s="81"/>
    </row>
    <row r="102" spans="2:7" x14ac:dyDescent="0.2">
      <c r="B102" s="267"/>
      <c r="C102" s="66" t="s">
        <v>260</v>
      </c>
      <c r="D102" s="101">
        <f>SUM(D98:D101)</f>
        <v>0</v>
      </c>
      <c r="E102" s="101">
        <f>SUM(E98:E101)</f>
        <v>0</v>
      </c>
      <c r="F102" s="81"/>
    </row>
    <row r="103" spans="2:7" x14ac:dyDescent="0.2">
      <c r="B103" s="267"/>
      <c r="C103" s="67" t="s">
        <v>261</v>
      </c>
      <c r="D103" s="101">
        <f>SUM(D25,D33,D41,D49,D57,D65,D73,D80,D88,D102,D96)</f>
        <v>66493483.109999999</v>
      </c>
      <c r="E103" s="101">
        <f>SUM(E25,E33,E41,E49,E57,E65,E73,E80,E88,E102,E96)</f>
        <v>50669430.970000006</v>
      </c>
      <c r="F103" s="81"/>
    </row>
    <row r="104" spans="2:7" x14ac:dyDescent="0.2">
      <c r="B104" s="267"/>
      <c r="C104" s="48" t="s">
        <v>262</v>
      </c>
      <c r="D104" s="309"/>
      <c r="E104" s="309"/>
    </row>
    <row r="105" spans="2:7" x14ac:dyDescent="0.2">
      <c r="B105" s="267"/>
      <c r="C105" s="50" t="s">
        <v>263</v>
      </c>
      <c r="D105" s="309"/>
      <c r="E105" s="309"/>
    </row>
    <row r="106" spans="2:7" x14ac:dyDescent="0.2">
      <c r="B106" s="292" t="s">
        <v>230</v>
      </c>
      <c r="C106" s="49" t="s">
        <v>231</v>
      </c>
      <c r="D106" s="101">
        <f>IF(Cover!C23="Scheme pipeline","-",SUMIF('3.5 Depreciation amortisation'!$D$66:$D$83,$C$105,'3.5 Depreciation amortisation'!$G$66:$G$83))</f>
        <v>2098699.5809737528</v>
      </c>
      <c r="E106" s="290">
        <v>2072165.5152799999</v>
      </c>
      <c r="F106" s="81"/>
    </row>
    <row r="107" spans="2:7" x14ac:dyDescent="0.2">
      <c r="B107" s="292" t="s">
        <v>230</v>
      </c>
      <c r="C107" s="49" t="s">
        <v>232</v>
      </c>
      <c r="D107" s="101">
        <f>IF(Cover!C23="Scheme pipeline","-",SUMIF('3.5 Depreciation amortisation'!$D$66:$D$83,$C$105,'3.5 Depreciation amortisation'!$H$66:$H$83))</f>
        <v>534097.2103674165</v>
      </c>
      <c r="E107" s="290">
        <v>109967.4316693828</v>
      </c>
      <c r="F107" s="81"/>
    </row>
    <row r="108" spans="2:7" x14ac:dyDescent="0.2">
      <c r="B108" s="292" t="s">
        <v>230</v>
      </c>
      <c r="C108" s="49" t="s">
        <v>233</v>
      </c>
      <c r="D108" s="101">
        <f>IF(Cover!C23="Scheme pipeline","-",SUMIF('3.5 Depreciation amortisation'!$D$66:$D$83,$C$105,'3.5 Depreciation amortisation'!$I$66:$I$83))</f>
        <v>0</v>
      </c>
      <c r="E108" s="290"/>
    </row>
    <row r="109" spans="2:7" x14ac:dyDescent="0.2">
      <c r="B109" s="292" t="s">
        <v>230</v>
      </c>
      <c r="C109" s="49" t="s">
        <v>235</v>
      </c>
      <c r="D109" s="101">
        <f>IF(Cover!C23="Scheme pipeline","-",-ABS(SUMIF('3.5 Depreciation amortisation'!$D$66:$D$83,$C$105,'3.5 Depreciation amortisation'!$N$66:$N$83)+SUMIF('3.5 Depreciation amortisation'!$D$66:$D$83,$C$105,'3.5 Depreciation amortisation'!$O$66:$O$83))-D110)</f>
        <v>-1874253.1944137253</v>
      </c>
      <c r="E109" s="290">
        <v>-1569467.0772168618</v>
      </c>
      <c r="F109" s="81"/>
    </row>
    <row r="110" spans="2:7" x14ac:dyDescent="0.2">
      <c r="B110" s="292" t="s">
        <v>230</v>
      </c>
      <c r="C110" s="49" t="s">
        <v>236</v>
      </c>
      <c r="D110" s="101">
        <f>IF(Cover!C23="Scheme pipeline","-",-ABS(SUMIF('3.4 Asset impairment'!$C$10:$C$24,'3.1 Depreciated Book Value'!C105,'3.4 Asset impairment'!$D$10:$D$24))+SUMIF('3.4 Asset impairment'!$C$30:$C$56,'3.1 Depreciated Book Value'!C105,'3.4 Asset impairment'!$G$30:$G$56))</f>
        <v>0</v>
      </c>
      <c r="E110" s="290"/>
      <c r="F110" s="81"/>
    </row>
    <row r="111" spans="2:7" x14ac:dyDescent="0.2">
      <c r="B111" s="292" t="s">
        <v>230</v>
      </c>
      <c r="C111" s="49" t="s">
        <v>237</v>
      </c>
      <c r="D111" s="101">
        <f>IF(Cover!C23="Scheme pipeline","-",SUMIF('3.5 Depreciation amortisation'!$D$66:$D$83,$C$105,'3.5 Depreciation amortisation'!$J$66:$J$83))</f>
        <v>-5867.9186406858944</v>
      </c>
      <c r="E111" s="290">
        <v>-83433.365975629989</v>
      </c>
      <c r="F111" s="81"/>
    </row>
    <row r="112" spans="2:7" x14ac:dyDescent="0.2">
      <c r="B112" s="267"/>
      <c r="C112" s="66" t="s">
        <v>264</v>
      </c>
      <c r="D112" s="101">
        <f>SUM(D106:D111)</f>
        <v>752675.67828675814</v>
      </c>
      <c r="E112" s="101">
        <f>SUM(E106:E111)</f>
        <v>529232.503756891</v>
      </c>
    </row>
    <row r="113" spans="2:7" x14ac:dyDescent="0.2">
      <c r="B113" s="267"/>
      <c r="C113" s="50" t="s">
        <v>265</v>
      </c>
      <c r="D113" s="309"/>
      <c r="E113" s="309"/>
      <c r="F113" s="81"/>
    </row>
    <row r="114" spans="2:7" x14ac:dyDescent="0.2">
      <c r="B114" s="292" t="s">
        <v>230</v>
      </c>
      <c r="C114" s="49" t="s">
        <v>231</v>
      </c>
      <c r="D114" s="101">
        <f>IF(Cover!C23="Scheme pipeline","-",SUMIF('3.5 Depreciation amortisation'!$D$66:$D$83,$C$113,'3.5 Depreciation amortisation'!$G$66:$G$83))</f>
        <v>418096.75890015374</v>
      </c>
      <c r="E114" s="290">
        <v>324629.521635418</v>
      </c>
      <c r="F114" s="81"/>
    </row>
    <row r="115" spans="2:7" x14ac:dyDescent="0.2">
      <c r="B115" s="292" t="s">
        <v>230</v>
      </c>
      <c r="C115" s="49" t="s">
        <v>232</v>
      </c>
      <c r="D115" s="101">
        <f>IF(Cover!C23="Scheme pipeline","-",SUMIF('3.5 Depreciation amortisation'!$D$66:$D$83,$C$113,'3.5 Depreciation amortisation'!$H$66:$H$83))</f>
        <v>71691.935948333194</v>
      </c>
      <c r="E115" s="290">
        <v>93285.863687669538</v>
      </c>
      <c r="F115" s="81"/>
    </row>
    <row r="116" spans="2:7" x14ac:dyDescent="0.2">
      <c r="B116" s="292" t="s">
        <v>230</v>
      </c>
      <c r="C116" s="49" t="s">
        <v>233</v>
      </c>
      <c r="D116" s="101">
        <f>IF(Cover!C23="Scheme pipeline","-",SUMIF('3.5 Depreciation amortisation'!$D$66:$D$83,$C$113,'3.5 Depreciation amortisation'!$I$66:$I$83))</f>
        <v>0</v>
      </c>
      <c r="E116" s="290"/>
      <c r="F116" s="81"/>
    </row>
    <row r="117" spans="2:7" x14ac:dyDescent="0.2">
      <c r="B117" s="292" t="s">
        <v>230</v>
      </c>
      <c r="C117" s="49" t="s">
        <v>257</v>
      </c>
      <c r="D117" s="101">
        <f>IF(Cover!C23="Scheme pipeline","-",-ABS(SUMIF('3.5 Depreciation amortisation'!$D$66:$D$83,$C$113,'3.5 Depreciation amortisation'!$N$66:$N$83)+SUMIF('3.5 Depreciation amortisation'!$D$66:$D$83,$C$113,'3.5 Depreciation amortisation'!$O$66:$O$83))-D118)</f>
        <v>-281698.17313880095</v>
      </c>
      <c r="E117" s="290">
        <v>-213330.03805208742</v>
      </c>
      <c r="F117" s="81"/>
      <c r="G117" s="81"/>
    </row>
    <row r="118" spans="2:7" x14ac:dyDescent="0.2">
      <c r="B118" s="292" t="s">
        <v>230</v>
      </c>
      <c r="C118" s="49" t="s">
        <v>236</v>
      </c>
      <c r="D118" s="101">
        <f>IF(Cover!C23="Scheme pipeline","-",-ABS(SUMIF('3.4 Asset impairment'!$C$10:$C$24,'3.1 Depreciated Book Value'!C113,'3.4 Asset impairment'!$D$10:$D$24))+SUMIF('3.4 Asset impairment'!$C$30:$C$56,'3.1 Depreciated Book Value'!C113,'3.4 Asset impairment'!$G$30:$G$56))</f>
        <v>0</v>
      </c>
      <c r="E118" s="290"/>
      <c r="F118" s="81"/>
      <c r="G118" s="81"/>
    </row>
    <row r="119" spans="2:7" ht="11.25" customHeight="1" x14ac:dyDescent="0.2">
      <c r="B119" s="292" t="s">
        <v>230</v>
      </c>
      <c r="C119" s="49" t="s">
        <v>237</v>
      </c>
      <c r="D119" s="101">
        <f>IF(Cover!C23="Scheme pipeline","-",SUMIF('3.5 Depreciation amortisation'!$D$66:$D$83,$C$113,'3.5 Depreciation amortisation'!$J$66:$J$83))</f>
        <v>-1619.8643031364145</v>
      </c>
      <c r="E119" s="290">
        <v>181.37357706616072</v>
      </c>
      <c r="F119" s="81"/>
    </row>
    <row r="120" spans="2:7" x14ac:dyDescent="0.2">
      <c r="B120" s="267"/>
      <c r="C120" s="66" t="s">
        <v>266</v>
      </c>
      <c r="D120" s="101">
        <f>SUM(D114:D119)</f>
        <v>206470.65740654955</v>
      </c>
      <c r="E120" s="101">
        <f>SUM(E114:E119)</f>
        <v>204766.72084806632</v>
      </c>
      <c r="F120" s="81"/>
    </row>
    <row r="121" spans="2:7" x14ac:dyDescent="0.2">
      <c r="B121" s="292" t="s">
        <v>230</v>
      </c>
      <c r="C121" s="50" t="s">
        <v>267</v>
      </c>
      <c r="D121" s="290">
        <v>0</v>
      </c>
      <c r="E121" s="290">
        <v>0</v>
      </c>
      <c r="F121" s="81"/>
    </row>
    <row r="122" spans="2:7" x14ac:dyDescent="0.2">
      <c r="B122" s="292" t="s">
        <v>230</v>
      </c>
      <c r="C122" s="50" t="s">
        <v>268</v>
      </c>
      <c r="D122" s="290">
        <v>0</v>
      </c>
      <c r="E122" s="290">
        <v>0</v>
      </c>
    </row>
    <row r="123" spans="2:7" x14ac:dyDescent="0.2">
      <c r="B123" s="292" t="s">
        <v>230</v>
      </c>
      <c r="C123" s="50" t="s">
        <v>269</v>
      </c>
      <c r="D123" s="290">
        <v>1769187.3800000001</v>
      </c>
      <c r="E123" s="290">
        <v>995997.7</v>
      </c>
    </row>
    <row r="124" spans="2:7" x14ac:dyDescent="0.2">
      <c r="B124" s="231"/>
      <c r="C124" s="68" t="s">
        <v>270</v>
      </c>
      <c r="D124" s="101">
        <f>SUM(D112,D120:D123)</f>
        <v>2728333.715693308</v>
      </c>
      <c r="E124" s="101">
        <f>SUM(E112,E120:E123)</f>
        <v>1729996.9246049572</v>
      </c>
      <c r="F124" s="81"/>
    </row>
    <row r="125" spans="2:7" ht="12.75" customHeight="1" x14ac:dyDescent="0.2">
      <c r="B125" s="231"/>
      <c r="C125" s="68" t="s">
        <v>271</v>
      </c>
      <c r="D125" s="102">
        <f>SUM(D103,D124)</f>
        <v>69221816.825693309</v>
      </c>
      <c r="E125" s="102">
        <f>SUM(E103,E124)</f>
        <v>52399427.894604966</v>
      </c>
    </row>
    <row r="128" spans="2:7" ht="15.75" x14ac:dyDescent="0.25">
      <c r="B128" s="175" t="s">
        <v>272</v>
      </c>
    </row>
    <row r="129" spans="2:4" ht="12.75" customHeight="1" x14ac:dyDescent="0.25">
      <c r="B129" s="175"/>
    </row>
    <row r="130" spans="2:4" ht="25.5" x14ac:dyDescent="0.2">
      <c r="B130" s="46" t="s">
        <v>131</v>
      </c>
      <c r="C130" s="47" t="s">
        <v>132</v>
      </c>
      <c r="D130" s="179" t="str">
        <f>IFERROR(VLOOKUP(C132,rInitialyears,2,FALSE),"")</f>
        <v>Construction year</v>
      </c>
    </row>
    <row r="131" spans="2:4" x14ac:dyDescent="0.2">
      <c r="B131" s="46"/>
      <c r="C131" s="68" t="s">
        <v>271</v>
      </c>
      <c r="D131" s="179"/>
    </row>
    <row r="132" spans="2:4" x14ac:dyDescent="0.2">
      <c r="B132" s="292" t="s">
        <v>230</v>
      </c>
      <c r="C132" s="237" t="s">
        <v>273</v>
      </c>
      <c r="D132" s="311">
        <v>62472100.110000014</v>
      </c>
    </row>
  </sheetData>
  <sheetProtection sheet="1"/>
  <mergeCells count="3">
    <mergeCell ref="B13:C13"/>
    <mergeCell ref="B4:C4"/>
    <mergeCell ref="B6:F10"/>
  </mergeCells>
  <phoneticPr fontId="29" type="noConversion"/>
  <dataValidations count="1">
    <dataValidation type="list" allowBlank="1" showInputMessage="1" showErrorMessage="1" sqref="C132" xr:uid="{7141C923-9172-4F13-A2F4-7671E1B3CAC0}">
      <formula1>rInitialcosts</formula1>
    </dataValidation>
  </dataValidations>
  <pageMargins left="0.75" right="0.75" top="1" bottom="1" header="0.5" footer="0.5"/>
  <pageSetup paperSize="9" scale="47" orientation="landscape" verticalDpi="2" r:id="rId1"/>
  <headerFooter alignWithMargins="0">
    <oddFooter>&amp;C_x000D_&amp;1#&amp;"Aptos"&amp;10&amp;K008000 APA-INTERNAL</oddFooter>
  </headerFooter>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02180-ADA5-46B1-8481-761874CD45FB}">
  <sheetPr codeName="Sheet20">
    <tabColor rgb="FF17415D"/>
    <pageSetUpPr fitToPage="1"/>
  </sheetPr>
  <dimension ref="B1:L119"/>
  <sheetViews>
    <sheetView zoomScale="80" zoomScaleNormal="80"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 style="4" customWidth="1"/>
    <col min="2" max="2" width="34.5703125" style="4" customWidth="1"/>
    <col min="3" max="3" width="70.5703125" style="4" customWidth="1"/>
    <col min="4" max="8" width="20.5703125" style="4" customWidth="1"/>
    <col min="9" max="16384" width="9.42578125" style="4"/>
  </cols>
  <sheetData>
    <row r="1" spans="2:8" ht="20.25" x14ac:dyDescent="0.2">
      <c r="B1" s="103" t="s">
        <v>68</v>
      </c>
      <c r="C1" s="103"/>
    </row>
    <row r="2" spans="2:8" ht="20.25" x14ac:dyDescent="0.2">
      <c r="B2" s="103" t="str">
        <f>IF(Tradingname=0," ",Tradingname)</f>
        <v>APA Reedy Creek Wallumbilla Pty Limited</v>
      </c>
      <c r="C2" s="103"/>
      <c r="E2" s="218"/>
    </row>
    <row r="3" spans="2:8" ht="20.25" x14ac:dyDescent="0.3">
      <c r="B3" s="103" t="s">
        <v>46</v>
      </c>
      <c r="C3" s="80">
        <f>IF(Yearending=0, "01/01/2000", Yearending)</f>
        <v>45838</v>
      </c>
    </row>
    <row r="4" spans="2:8" ht="20.25" x14ac:dyDescent="0.3">
      <c r="B4" s="103" t="s">
        <v>274</v>
      </c>
      <c r="C4" s="80">
        <f>'1. Pipeline information'!C15</f>
        <v>0</v>
      </c>
    </row>
    <row r="5" spans="2:8" ht="20.25" x14ac:dyDescent="0.2">
      <c r="B5" s="72" t="s">
        <v>275</v>
      </c>
      <c r="C5" s="72"/>
      <c r="D5" s="286"/>
    </row>
    <row r="6" spans="2:8" x14ac:dyDescent="0.2">
      <c r="D6" s="308"/>
    </row>
    <row r="7" spans="2:8" x14ac:dyDescent="0.2">
      <c r="B7" s="426" t="s">
        <v>276</v>
      </c>
      <c r="C7" s="426"/>
      <c r="D7" s="426"/>
    </row>
    <row r="8" spans="2:8" x14ac:dyDescent="0.2">
      <c r="B8" s="426"/>
      <c r="C8" s="426"/>
      <c r="D8" s="426"/>
    </row>
    <row r="9" spans="2:8" x14ac:dyDescent="0.2">
      <c r="B9" s="426"/>
      <c r="C9" s="426"/>
      <c r="D9" s="426"/>
    </row>
    <row r="12" spans="2:8" ht="15.75" x14ac:dyDescent="0.2">
      <c r="B12" s="429" t="s">
        <v>277</v>
      </c>
      <c r="C12" s="429"/>
      <c r="D12" s="308"/>
    </row>
    <row r="14" spans="2:8" x14ac:dyDescent="0.2">
      <c r="B14" s="308"/>
      <c r="C14" s="308"/>
      <c r="D14" s="431" t="s">
        <v>278</v>
      </c>
      <c r="E14" s="431"/>
      <c r="F14" s="431"/>
      <c r="G14" s="431"/>
      <c r="H14" s="431"/>
    </row>
    <row r="15" spans="2:8" x14ac:dyDescent="0.2">
      <c r="B15" s="46" t="s">
        <v>131</v>
      </c>
      <c r="C15" s="179" t="s">
        <v>132</v>
      </c>
      <c r="D15" s="179" t="str">
        <f>YEAR(Yearstart)-4&amp;"-"&amp;RIGHT(YEAR(Yearstart)-3,2)</f>
        <v>2020-21</v>
      </c>
      <c r="E15" s="179" t="str">
        <f>YEAR(Yearstart)-3&amp;"-"&amp;RIGHT(YEAR(Yearstart)-2,2)</f>
        <v>2021-22</v>
      </c>
      <c r="F15" s="47" t="str">
        <f>YEAR(Yearstart)-2&amp;"-"&amp;RIGHT(YEAR(Yearstart)-1,2)</f>
        <v>2022-23</v>
      </c>
      <c r="G15" s="47" t="str">
        <f>YEAR(Yearstart)-1&amp;"-"&amp;RIGHT(YEAR(Yearstart),2)</f>
        <v>2023-24</v>
      </c>
      <c r="H15" s="179" t="str">
        <f>YEAR(Yearstart)&amp;"-"&amp;RIGHT(YEAR(Yearstart)+1,2)</f>
        <v>2024-25</v>
      </c>
    </row>
    <row r="16" spans="2:8" x14ac:dyDescent="0.2">
      <c r="B16" s="234"/>
      <c r="C16" s="47"/>
      <c r="D16" s="47"/>
      <c r="E16" s="47"/>
      <c r="F16" s="47"/>
      <c r="G16" s="47"/>
      <c r="H16" s="179"/>
    </row>
    <row r="17" spans="2:12" x14ac:dyDescent="0.2">
      <c r="B17" s="233"/>
      <c r="C17" s="50" t="s">
        <v>279</v>
      </c>
      <c r="D17" s="127" t="s">
        <v>280</v>
      </c>
      <c r="E17" s="127" t="s">
        <v>280</v>
      </c>
      <c r="F17" s="127" t="s">
        <v>280</v>
      </c>
      <c r="G17" s="127" t="s">
        <v>280</v>
      </c>
      <c r="H17" s="127" t="s">
        <v>280</v>
      </c>
    </row>
    <row r="18" spans="2:12" x14ac:dyDescent="0.2">
      <c r="B18" s="292" t="s">
        <v>281</v>
      </c>
      <c r="C18" s="128" t="s">
        <v>282</v>
      </c>
      <c r="D18" s="290"/>
      <c r="E18" s="101">
        <f>D23</f>
        <v>0</v>
      </c>
      <c r="F18" s="101">
        <f>E23</f>
        <v>0</v>
      </c>
      <c r="G18" s="101">
        <f>F23</f>
        <v>0</v>
      </c>
      <c r="H18" s="101">
        <f>G23</f>
        <v>0</v>
      </c>
    </row>
    <row r="19" spans="2:12" x14ac:dyDescent="0.2">
      <c r="B19" s="292" t="s">
        <v>281</v>
      </c>
      <c r="C19" s="128" t="s">
        <v>283</v>
      </c>
      <c r="D19" s="290"/>
      <c r="E19" s="290"/>
      <c r="F19" s="290"/>
      <c r="G19" s="290"/>
      <c r="H19" s="290"/>
    </row>
    <row r="20" spans="2:12" x14ac:dyDescent="0.2">
      <c r="B20" s="233"/>
      <c r="C20" s="66" t="s">
        <v>284</v>
      </c>
      <c r="D20" s="101">
        <f>SUM(D18:D19)</f>
        <v>0</v>
      </c>
      <c r="E20" s="101">
        <f>SUM(E18:E19)</f>
        <v>0</v>
      </c>
      <c r="F20" s="101">
        <f>SUM(F18:F19)</f>
        <v>0</v>
      </c>
      <c r="G20" s="101">
        <f>SUM(G18:G19)</f>
        <v>0</v>
      </c>
      <c r="H20" s="101">
        <f>SUM(H18:H19)</f>
        <v>0</v>
      </c>
    </row>
    <row r="21" spans="2:12" x14ac:dyDescent="0.2">
      <c r="B21" s="292" t="s">
        <v>281</v>
      </c>
      <c r="C21" s="128" t="s">
        <v>285</v>
      </c>
      <c r="D21" s="290"/>
      <c r="E21" s="290"/>
      <c r="F21" s="290"/>
      <c r="G21" s="290"/>
      <c r="H21" s="290"/>
    </row>
    <row r="22" spans="2:12" x14ac:dyDescent="0.2">
      <c r="B22" s="292" t="s">
        <v>281</v>
      </c>
      <c r="C22" s="128" t="s">
        <v>286</v>
      </c>
      <c r="D22" s="290"/>
      <c r="E22" s="290"/>
      <c r="F22" s="290"/>
      <c r="G22" s="290"/>
      <c r="H22" s="290"/>
      <c r="L22" s="14"/>
    </row>
    <row r="23" spans="2:12" x14ac:dyDescent="0.2">
      <c r="B23" s="233"/>
      <c r="C23" s="66" t="s">
        <v>287</v>
      </c>
      <c r="D23" s="101">
        <f>SUM(D20:D22)</f>
        <v>0</v>
      </c>
      <c r="E23" s="101">
        <f>SUM(E20:E22)</f>
        <v>0</v>
      </c>
      <c r="F23" s="101">
        <f>SUM(F20:F22)</f>
        <v>0</v>
      </c>
      <c r="G23" s="101">
        <f>SUM(G20:G22)</f>
        <v>0</v>
      </c>
      <c r="H23" s="101">
        <f>SUM(H20:H22)</f>
        <v>0</v>
      </c>
    </row>
    <row r="24" spans="2:12" x14ac:dyDescent="0.2">
      <c r="B24" s="233"/>
      <c r="C24" s="50" t="s">
        <v>288</v>
      </c>
      <c r="D24" s="179"/>
      <c r="E24" s="179"/>
      <c r="F24" s="179"/>
      <c r="G24" s="179"/>
      <c r="H24" s="179"/>
    </row>
    <row r="25" spans="2:12" x14ac:dyDescent="0.2">
      <c r="B25" s="292" t="s">
        <v>281</v>
      </c>
      <c r="C25" s="128" t="s">
        <v>282</v>
      </c>
      <c r="D25" s="290"/>
      <c r="E25" s="101">
        <f>D29</f>
        <v>0</v>
      </c>
      <c r="F25" s="101">
        <f>E29</f>
        <v>0</v>
      </c>
      <c r="G25" s="101">
        <f>F29</f>
        <v>0</v>
      </c>
      <c r="H25" s="101">
        <f>G29</f>
        <v>0</v>
      </c>
    </row>
    <row r="26" spans="2:12" x14ac:dyDescent="0.2">
      <c r="B26" s="292" t="s">
        <v>281</v>
      </c>
      <c r="C26" s="128" t="s">
        <v>289</v>
      </c>
      <c r="D26" s="290"/>
      <c r="E26" s="290"/>
      <c r="F26" s="290"/>
      <c r="G26" s="290"/>
      <c r="H26" s="290"/>
    </row>
    <row r="27" spans="2:12" x14ac:dyDescent="0.2">
      <c r="B27" s="292" t="s">
        <v>281</v>
      </c>
      <c r="C27" s="128" t="s">
        <v>290</v>
      </c>
      <c r="D27" s="290"/>
      <c r="E27" s="290"/>
      <c r="F27" s="290"/>
      <c r="G27" s="290"/>
      <c r="H27" s="290"/>
    </row>
    <row r="28" spans="2:12" x14ac:dyDescent="0.2">
      <c r="B28" s="292" t="s">
        <v>281</v>
      </c>
      <c r="C28" s="128" t="s">
        <v>291</v>
      </c>
      <c r="D28" s="290"/>
      <c r="E28" s="290"/>
      <c r="F28" s="290"/>
      <c r="G28" s="290"/>
      <c r="H28" s="290"/>
    </row>
    <row r="29" spans="2:12" x14ac:dyDescent="0.2">
      <c r="B29" s="233"/>
      <c r="C29" s="66" t="s">
        <v>292</v>
      </c>
      <c r="D29" s="101">
        <f>SUM(D25:D28)</f>
        <v>0</v>
      </c>
      <c r="E29" s="101">
        <f>SUM(E25:E28)</f>
        <v>0</v>
      </c>
      <c r="F29" s="101">
        <f>SUM(F25:F28)</f>
        <v>0</v>
      </c>
      <c r="G29" s="101">
        <f>SUM(G25:G28)</f>
        <v>0</v>
      </c>
      <c r="H29" s="101">
        <f>SUM(H25:H28)</f>
        <v>0</v>
      </c>
    </row>
    <row r="30" spans="2:12" x14ac:dyDescent="0.2">
      <c r="B30" s="233"/>
      <c r="C30" s="50" t="s">
        <v>293</v>
      </c>
      <c r="D30" s="179"/>
      <c r="E30" s="179"/>
      <c r="F30" s="179"/>
      <c r="G30" s="179"/>
      <c r="H30" s="179"/>
    </row>
    <row r="31" spans="2:12" x14ac:dyDescent="0.2">
      <c r="B31" s="292" t="s">
        <v>281</v>
      </c>
      <c r="C31" s="128" t="s">
        <v>282</v>
      </c>
      <c r="D31" s="290"/>
      <c r="E31" s="101">
        <f>D35</f>
        <v>0</v>
      </c>
      <c r="F31" s="101">
        <f>E35</f>
        <v>0</v>
      </c>
      <c r="G31" s="101">
        <f>F35</f>
        <v>0</v>
      </c>
      <c r="H31" s="101">
        <f>G35</f>
        <v>0</v>
      </c>
    </row>
    <row r="32" spans="2:12" x14ac:dyDescent="0.2">
      <c r="B32" s="292" t="s">
        <v>281</v>
      </c>
      <c r="C32" s="128" t="s">
        <v>294</v>
      </c>
      <c r="D32" s="290"/>
      <c r="E32" s="290"/>
      <c r="F32" s="290"/>
      <c r="G32" s="290"/>
      <c r="H32" s="290"/>
    </row>
    <row r="33" spans="2:8" ht="11.25" customHeight="1" x14ac:dyDescent="0.2">
      <c r="B33" s="292" t="s">
        <v>281</v>
      </c>
      <c r="C33" s="128" t="s">
        <v>295</v>
      </c>
      <c r="D33" s="290"/>
      <c r="E33" s="290"/>
      <c r="F33" s="290"/>
      <c r="G33" s="290"/>
      <c r="H33" s="290"/>
    </row>
    <row r="34" spans="2:8" x14ac:dyDescent="0.2">
      <c r="B34" s="292" t="s">
        <v>281</v>
      </c>
      <c r="C34" s="128" t="s">
        <v>291</v>
      </c>
      <c r="D34" s="290"/>
      <c r="E34" s="290"/>
      <c r="F34" s="290"/>
      <c r="G34" s="290"/>
      <c r="H34" s="290"/>
    </row>
    <row r="35" spans="2:8" x14ac:dyDescent="0.2">
      <c r="B35" s="233"/>
      <c r="C35" s="66" t="s">
        <v>296</v>
      </c>
      <c r="D35" s="101">
        <f>SUM(D31:D34)</f>
        <v>0</v>
      </c>
      <c r="E35" s="101">
        <f>SUM(E31:E34)</f>
        <v>0</v>
      </c>
      <c r="F35" s="101">
        <f>SUM(F31:F34)</f>
        <v>0</v>
      </c>
      <c r="G35" s="101">
        <f>SUM(G31:G34)</f>
        <v>0</v>
      </c>
      <c r="H35" s="101">
        <f>SUM(H31:H34)</f>
        <v>0</v>
      </c>
    </row>
    <row r="36" spans="2:8" x14ac:dyDescent="0.2">
      <c r="B36" s="233"/>
      <c r="C36" s="50" t="s">
        <v>297</v>
      </c>
      <c r="D36" s="179"/>
      <c r="E36" s="179"/>
      <c r="F36" s="179"/>
      <c r="G36" s="179"/>
      <c r="H36" s="179"/>
    </row>
    <row r="37" spans="2:8" x14ac:dyDescent="0.2">
      <c r="B37" s="292" t="s">
        <v>281</v>
      </c>
      <c r="C37" s="128" t="s">
        <v>282</v>
      </c>
      <c r="D37" s="290"/>
      <c r="E37" s="101">
        <f>D41</f>
        <v>0</v>
      </c>
      <c r="F37" s="101">
        <f>E41</f>
        <v>0</v>
      </c>
      <c r="G37" s="101">
        <f>F41</f>
        <v>0</v>
      </c>
      <c r="H37" s="101">
        <f>G41</f>
        <v>0</v>
      </c>
    </row>
    <row r="38" spans="2:8" x14ac:dyDescent="0.2">
      <c r="B38" s="292" t="s">
        <v>281</v>
      </c>
      <c r="C38" s="128" t="s">
        <v>289</v>
      </c>
      <c r="D38" s="290"/>
      <c r="E38" s="290"/>
      <c r="F38" s="290"/>
      <c r="G38" s="290"/>
      <c r="H38" s="290"/>
    </row>
    <row r="39" spans="2:8" x14ac:dyDescent="0.2">
      <c r="B39" s="292" t="s">
        <v>281</v>
      </c>
      <c r="C39" s="128" t="s">
        <v>298</v>
      </c>
      <c r="D39" s="290"/>
      <c r="E39" s="290"/>
      <c r="F39" s="290"/>
      <c r="G39" s="290"/>
      <c r="H39" s="290"/>
    </row>
    <row r="40" spans="2:8" x14ac:dyDescent="0.2">
      <c r="B40" s="292" t="s">
        <v>281</v>
      </c>
      <c r="C40" s="128" t="s">
        <v>291</v>
      </c>
      <c r="D40" s="290"/>
      <c r="E40" s="290"/>
      <c r="F40" s="290"/>
      <c r="G40" s="290"/>
      <c r="H40" s="290"/>
    </row>
    <row r="41" spans="2:8" ht="11.25" customHeight="1" x14ac:dyDescent="0.2">
      <c r="B41" s="233"/>
      <c r="C41" s="66" t="s">
        <v>299</v>
      </c>
      <c r="D41" s="101">
        <f>SUM(D37:D40)</f>
        <v>0</v>
      </c>
      <c r="E41" s="101">
        <f>SUM(E37:E40)</f>
        <v>0</v>
      </c>
      <c r="F41" s="101">
        <f>SUM(F37:F40)</f>
        <v>0</v>
      </c>
      <c r="G41" s="101">
        <f>SUM(G37:G40)</f>
        <v>0</v>
      </c>
      <c r="H41" s="101">
        <f>SUM(H37:H40)</f>
        <v>0</v>
      </c>
    </row>
    <row r="42" spans="2:8" x14ac:dyDescent="0.2">
      <c r="B42" s="233"/>
      <c r="C42" s="50" t="s">
        <v>300</v>
      </c>
      <c r="D42" s="179"/>
      <c r="E42" s="179"/>
      <c r="F42" s="179"/>
      <c r="G42" s="179"/>
      <c r="H42" s="179"/>
    </row>
    <row r="43" spans="2:8" x14ac:dyDescent="0.2">
      <c r="B43" s="292" t="s">
        <v>281</v>
      </c>
      <c r="C43" s="128" t="s">
        <v>282</v>
      </c>
      <c r="D43" s="290"/>
      <c r="E43" s="101">
        <f>D47</f>
        <v>0</v>
      </c>
      <c r="F43" s="101">
        <f>E47</f>
        <v>0</v>
      </c>
      <c r="G43" s="101">
        <f>F47</f>
        <v>0</v>
      </c>
      <c r="H43" s="101">
        <f>G47</f>
        <v>0</v>
      </c>
    </row>
    <row r="44" spans="2:8" x14ac:dyDescent="0.2">
      <c r="B44" s="292" t="s">
        <v>281</v>
      </c>
      <c r="C44" s="128" t="s">
        <v>289</v>
      </c>
      <c r="D44" s="290"/>
      <c r="E44" s="290"/>
      <c r="F44" s="290"/>
      <c r="G44" s="290"/>
      <c r="H44" s="290"/>
    </row>
    <row r="45" spans="2:8" x14ac:dyDescent="0.2">
      <c r="B45" s="292" t="s">
        <v>281</v>
      </c>
      <c r="C45" s="128" t="s">
        <v>301</v>
      </c>
      <c r="D45" s="290"/>
      <c r="E45" s="290"/>
      <c r="F45" s="290"/>
      <c r="G45" s="290"/>
      <c r="H45" s="290"/>
    </row>
    <row r="46" spans="2:8" x14ac:dyDescent="0.2">
      <c r="B46" s="292" t="s">
        <v>281</v>
      </c>
      <c r="C46" s="128" t="s">
        <v>291</v>
      </c>
      <c r="D46" s="290"/>
      <c r="E46" s="290"/>
      <c r="F46" s="290"/>
      <c r="G46" s="290"/>
      <c r="H46" s="290"/>
    </row>
    <row r="47" spans="2:8" x14ac:dyDescent="0.2">
      <c r="B47" s="233"/>
      <c r="C47" s="66" t="s">
        <v>302</v>
      </c>
      <c r="D47" s="101">
        <f>SUM(D43:D46)</f>
        <v>0</v>
      </c>
      <c r="E47" s="101">
        <f>SUM(E43:E46)</f>
        <v>0</v>
      </c>
      <c r="F47" s="101">
        <f>SUM(F43:F46)</f>
        <v>0</v>
      </c>
      <c r="G47" s="101">
        <f>SUM(G43:G46)</f>
        <v>0</v>
      </c>
      <c r="H47" s="101">
        <f>SUM(H43:H46)</f>
        <v>0</v>
      </c>
    </row>
    <row r="48" spans="2:8" x14ac:dyDescent="0.2">
      <c r="B48" s="233"/>
      <c r="C48" s="50" t="s">
        <v>303</v>
      </c>
      <c r="D48" s="179"/>
      <c r="E48" s="179"/>
      <c r="F48" s="179"/>
      <c r="G48" s="179"/>
      <c r="H48" s="179"/>
    </row>
    <row r="49" spans="2:8" ht="11.25" customHeight="1" x14ac:dyDescent="0.2">
      <c r="B49" s="292" t="s">
        <v>281</v>
      </c>
      <c r="C49" s="128" t="s">
        <v>282</v>
      </c>
      <c r="D49" s="290"/>
      <c r="E49" s="101">
        <f>D53</f>
        <v>0</v>
      </c>
      <c r="F49" s="101">
        <f>E53</f>
        <v>0</v>
      </c>
      <c r="G49" s="101">
        <f>F53</f>
        <v>0</v>
      </c>
      <c r="H49" s="101">
        <f>G53</f>
        <v>0</v>
      </c>
    </row>
    <row r="50" spans="2:8" x14ac:dyDescent="0.2">
      <c r="B50" s="292" t="s">
        <v>281</v>
      </c>
      <c r="C50" s="128" t="s">
        <v>289</v>
      </c>
      <c r="D50" s="290"/>
      <c r="E50" s="290"/>
      <c r="F50" s="290"/>
      <c r="G50" s="290"/>
      <c r="H50" s="290"/>
    </row>
    <row r="51" spans="2:8" x14ac:dyDescent="0.2">
      <c r="B51" s="292" t="s">
        <v>281</v>
      </c>
      <c r="C51" s="128" t="s">
        <v>304</v>
      </c>
      <c r="D51" s="290"/>
      <c r="E51" s="290"/>
      <c r="F51" s="290"/>
      <c r="G51" s="290"/>
      <c r="H51" s="290"/>
    </row>
    <row r="52" spans="2:8" x14ac:dyDescent="0.2">
      <c r="B52" s="292" t="s">
        <v>281</v>
      </c>
      <c r="C52" s="128" t="s">
        <v>291</v>
      </c>
      <c r="D52" s="290"/>
      <c r="E52" s="290"/>
      <c r="F52" s="290"/>
      <c r="G52" s="290"/>
      <c r="H52" s="290"/>
    </row>
    <row r="53" spans="2:8" x14ac:dyDescent="0.2">
      <c r="B53" s="233"/>
      <c r="C53" s="66" t="s">
        <v>305</v>
      </c>
      <c r="D53" s="101">
        <f>SUM(D49:D52)</f>
        <v>0</v>
      </c>
      <c r="E53" s="101">
        <f>SUM(E49:E52)</f>
        <v>0</v>
      </c>
      <c r="F53" s="101">
        <f>SUM(F49:F52)</f>
        <v>0</v>
      </c>
      <c r="G53" s="101">
        <f>SUM(G49:G52)</f>
        <v>0</v>
      </c>
      <c r="H53" s="101">
        <f>SUM(H49:H52)</f>
        <v>0</v>
      </c>
    </row>
    <row r="54" spans="2:8" x14ac:dyDescent="0.2">
      <c r="B54" s="233"/>
      <c r="C54" s="50" t="s">
        <v>306</v>
      </c>
      <c r="D54" s="179"/>
      <c r="E54" s="179"/>
      <c r="F54" s="179"/>
      <c r="G54" s="179"/>
      <c r="H54" s="179"/>
    </row>
    <row r="55" spans="2:8" x14ac:dyDescent="0.2">
      <c r="B55" s="292" t="s">
        <v>281</v>
      </c>
      <c r="C55" s="128" t="s">
        <v>282</v>
      </c>
      <c r="D55" s="290"/>
      <c r="E55" s="101">
        <f>D59</f>
        <v>0</v>
      </c>
      <c r="F55" s="101">
        <f>E59</f>
        <v>0</v>
      </c>
      <c r="G55" s="101">
        <f>F59</f>
        <v>0</v>
      </c>
      <c r="H55" s="101">
        <f>G59</f>
        <v>0</v>
      </c>
    </row>
    <row r="56" spans="2:8" x14ac:dyDescent="0.2">
      <c r="B56" s="292" t="s">
        <v>281</v>
      </c>
      <c r="C56" s="128" t="s">
        <v>289</v>
      </c>
      <c r="D56" s="290"/>
      <c r="E56" s="290"/>
      <c r="F56" s="290"/>
      <c r="G56" s="290"/>
      <c r="H56" s="290"/>
    </row>
    <row r="57" spans="2:8" ht="11.25" customHeight="1" x14ac:dyDescent="0.2">
      <c r="B57" s="292" t="s">
        <v>281</v>
      </c>
      <c r="C57" s="128" t="s">
        <v>307</v>
      </c>
      <c r="D57" s="290"/>
      <c r="E57" s="290"/>
      <c r="F57" s="290"/>
      <c r="G57" s="290"/>
      <c r="H57" s="290"/>
    </row>
    <row r="58" spans="2:8" x14ac:dyDescent="0.2">
      <c r="B58" s="292" t="s">
        <v>281</v>
      </c>
      <c r="C58" s="128" t="s">
        <v>291</v>
      </c>
      <c r="D58" s="290"/>
      <c r="E58" s="290"/>
      <c r="F58" s="290"/>
      <c r="G58" s="290"/>
      <c r="H58" s="290"/>
    </row>
    <row r="59" spans="2:8" x14ac:dyDescent="0.2">
      <c r="B59" s="233"/>
      <c r="C59" s="66" t="s">
        <v>308</v>
      </c>
      <c r="D59" s="101">
        <f>SUM(D55:D58)</f>
        <v>0</v>
      </c>
      <c r="E59" s="101">
        <f>SUM(E55:E58)</f>
        <v>0</v>
      </c>
      <c r="F59" s="101">
        <f>SUM(F55:F58)</f>
        <v>0</v>
      </c>
      <c r="G59" s="101">
        <f>SUM(G55:G58)</f>
        <v>0</v>
      </c>
      <c r="H59" s="101">
        <f>SUM(H55:H58)</f>
        <v>0</v>
      </c>
    </row>
    <row r="60" spans="2:8" x14ac:dyDescent="0.2">
      <c r="B60" s="233"/>
      <c r="C60" s="50" t="s">
        <v>309</v>
      </c>
      <c r="D60" s="179"/>
      <c r="E60" s="179"/>
      <c r="F60" s="179"/>
      <c r="G60" s="179"/>
      <c r="H60" s="179"/>
    </row>
    <row r="61" spans="2:8" x14ac:dyDescent="0.2">
      <c r="B61" s="292" t="s">
        <v>281</v>
      </c>
      <c r="C61" s="128" t="s">
        <v>282</v>
      </c>
      <c r="D61" s="290"/>
      <c r="E61" s="101">
        <f>D65</f>
        <v>0</v>
      </c>
      <c r="F61" s="101">
        <f>E65</f>
        <v>0</v>
      </c>
      <c r="G61" s="101">
        <f>F65</f>
        <v>0</v>
      </c>
      <c r="H61" s="101">
        <f>G65</f>
        <v>0</v>
      </c>
    </row>
    <row r="62" spans="2:8" x14ac:dyDescent="0.2">
      <c r="B62" s="292" t="s">
        <v>281</v>
      </c>
      <c r="C62" s="128" t="s">
        <v>289</v>
      </c>
      <c r="D62" s="290"/>
      <c r="E62" s="290"/>
      <c r="F62" s="290"/>
      <c r="G62" s="290"/>
      <c r="H62" s="290"/>
    </row>
    <row r="63" spans="2:8" ht="11.25" customHeight="1" x14ac:dyDescent="0.2">
      <c r="B63" s="292" t="s">
        <v>281</v>
      </c>
      <c r="C63" s="128" t="s">
        <v>310</v>
      </c>
      <c r="D63" s="290"/>
      <c r="E63" s="290"/>
      <c r="F63" s="290"/>
      <c r="G63" s="290"/>
      <c r="H63" s="290"/>
    </row>
    <row r="64" spans="2:8" ht="11.25" customHeight="1" x14ac:dyDescent="0.2">
      <c r="B64" s="292" t="s">
        <v>281</v>
      </c>
      <c r="C64" s="128" t="s">
        <v>291</v>
      </c>
      <c r="D64" s="290"/>
      <c r="E64" s="290"/>
      <c r="F64" s="290"/>
      <c r="G64" s="290"/>
      <c r="H64" s="290"/>
    </row>
    <row r="65" spans="2:8" ht="11.25" customHeight="1" x14ac:dyDescent="0.2">
      <c r="B65" s="233"/>
      <c r="C65" s="66" t="s">
        <v>311</v>
      </c>
      <c r="D65" s="101">
        <f>SUM(D61:D64)</f>
        <v>0</v>
      </c>
      <c r="E65" s="101">
        <f>SUM(E61:E64)</f>
        <v>0</v>
      </c>
      <c r="F65" s="101">
        <f>SUM(F61:F64)</f>
        <v>0</v>
      </c>
      <c r="G65" s="101">
        <f>SUM(G61:G64)</f>
        <v>0</v>
      </c>
      <c r="H65" s="101">
        <f>SUM(H61:H64)</f>
        <v>0</v>
      </c>
    </row>
    <row r="66" spans="2:8" x14ac:dyDescent="0.2">
      <c r="B66" s="233"/>
      <c r="C66" s="50" t="s">
        <v>312</v>
      </c>
      <c r="D66" s="179"/>
      <c r="E66" s="179"/>
      <c r="F66" s="179"/>
      <c r="G66" s="179"/>
      <c r="H66" s="179"/>
    </row>
    <row r="67" spans="2:8" x14ac:dyDescent="0.2">
      <c r="B67" s="292" t="s">
        <v>281</v>
      </c>
      <c r="C67" s="128" t="s">
        <v>282</v>
      </c>
      <c r="D67" s="290"/>
      <c r="E67" s="101">
        <f>D71</f>
        <v>0</v>
      </c>
      <c r="F67" s="101">
        <f>E71</f>
        <v>0</v>
      </c>
      <c r="G67" s="101">
        <f>F71</f>
        <v>0</v>
      </c>
      <c r="H67" s="101">
        <f>G71</f>
        <v>0</v>
      </c>
    </row>
    <row r="68" spans="2:8" x14ac:dyDescent="0.2">
      <c r="B68" s="292" t="s">
        <v>281</v>
      </c>
      <c r="C68" s="128" t="s">
        <v>289</v>
      </c>
      <c r="D68" s="290"/>
      <c r="E68" s="290"/>
      <c r="F68" s="290"/>
      <c r="G68" s="290"/>
      <c r="H68" s="290"/>
    </row>
    <row r="69" spans="2:8" x14ac:dyDescent="0.2">
      <c r="B69" s="292" t="s">
        <v>281</v>
      </c>
      <c r="C69" s="128" t="s">
        <v>313</v>
      </c>
      <c r="D69" s="290"/>
      <c r="E69" s="290"/>
      <c r="F69" s="290"/>
      <c r="G69" s="290"/>
      <c r="H69" s="290"/>
    </row>
    <row r="70" spans="2:8" x14ac:dyDescent="0.2">
      <c r="B70" s="292" t="s">
        <v>281</v>
      </c>
      <c r="C70" s="128" t="s">
        <v>291</v>
      </c>
      <c r="D70" s="290"/>
      <c r="E70" s="290"/>
      <c r="F70" s="290"/>
      <c r="G70" s="290"/>
      <c r="H70" s="290"/>
    </row>
    <row r="71" spans="2:8" x14ac:dyDescent="0.2">
      <c r="B71" s="233"/>
      <c r="C71" s="66" t="s">
        <v>314</v>
      </c>
      <c r="D71" s="101">
        <f>SUM(D67:D70)</f>
        <v>0</v>
      </c>
      <c r="E71" s="101">
        <f>SUM(E67:E70)</f>
        <v>0</v>
      </c>
      <c r="F71" s="101">
        <f>SUM(F67:F70)</f>
        <v>0</v>
      </c>
      <c r="G71" s="101">
        <f>SUM(G67:G70)</f>
        <v>0</v>
      </c>
      <c r="H71" s="101">
        <f>SUM(H67:H70)</f>
        <v>0</v>
      </c>
    </row>
    <row r="72" spans="2:8" x14ac:dyDescent="0.2">
      <c r="B72" s="233"/>
      <c r="C72" s="50" t="s">
        <v>315</v>
      </c>
      <c r="D72" s="179"/>
      <c r="E72" s="179"/>
      <c r="F72" s="179"/>
      <c r="G72" s="179"/>
      <c r="H72" s="179"/>
    </row>
    <row r="73" spans="2:8" ht="11.25" customHeight="1" x14ac:dyDescent="0.2">
      <c r="B73" s="292" t="s">
        <v>281</v>
      </c>
      <c r="C73" s="128" t="s">
        <v>282</v>
      </c>
      <c r="D73" s="290"/>
      <c r="E73" s="101">
        <f>D77</f>
        <v>0</v>
      </c>
      <c r="F73" s="101">
        <f>E77</f>
        <v>0</v>
      </c>
      <c r="G73" s="101">
        <f>F77</f>
        <v>0</v>
      </c>
      <c r="H73" s="101">
        <f>G77</f>
        <v>0</v>
      </c>
    </row>
    <row r="74" spans="2:8" x14ac:dyDescent="0.2">
      <c r="B74" s="292" t="s">
        <v>281</v>
      </c>
      <c r="C74" s="128" t="s">
        <v>289</v>
      </c>
      <c r="D74" s="290"/>
      <c r="E74" s="290"/>
      <c r="F74" s="290"/>
      <c r="G74" s="290"/>
      <c r="H74" s="290"/>
    </row>
    <row r="75" spans="2:8" x14ac:dyDescent="0.2">
      <c r="B75" s="292" t="s">
        <v>281</v>
      </c>
      <c r="C75" s="128" t="s">
        <v>313</v>
      </c>
      <c r="D75" s="290"/>
      <c r="E75" s="290"/>
      <c r="F75" s="290"/>
      <c r="G75" s="290"/>
      <c r="H75" s="290"/>
    </row>
    <row r="76" spans="2:8" x14ac:dyDescent="0.2">
      <c r="B76" s="292" t="s">
        <v>281</v>
      </c>
      <c r="C76" s="128" t="s">
        <v>291</v>
      </c>
      <c r="D76" s="290"/>
      <c r="E76" s="290"/>
      <c r="F76" s="290"/>
      <c r="G76" s="290"/>
      <c r="H76" s="290"/>
    </row>
    <row r="77" spans="2:8" x14ac:dyDescent="0.2">
      <c r="B77" s="233"/>
      <c r="C77" s="66" t="s">
        <v>316</v>
      </c>
      <c r="D77" s="101">
        <f>SUM(D73:D76)</f>
        <v>0</v>
      </c>
      <c r="E77" s="101">
        <f>SUM(E73:E76)</f>
        <v>0</v>
      </c>
      <c r="F77" s="101">
        <f>SUM(F73:F76)</f>
        <v>0</v>
      </c>
      <c r="G77" s="101">
        <f>SUM(G73:G76)</f>
        <v>0</v>
      </c>
      <c r="H77" s="101">
        <f>SUM(H73:H76)</f>
        <v>0</v>
      </c>
    </row>
    <row r="78" spans="2:8" x14ac:dyDescent="0.2">
      <c r="B78" s="233"/>
      <c r="C78" s="66" t="s">
        <v>317</v>
      </c>
      <c r="D78" s="101">
        <f>SUM(D23,D29,D35,D41,D47,D53,D59,D65,D71,D77)</f>
        <v>0</v>
      </c>
      <c r="E78" s="101">
        <f>SUM(E23,E29,E35,E41,E47,E53,E59,E65,E71,E77)</f>
        <v>0</v>
      </c>
      <c r="F78" s="101">
        <f>SUM(F23,F29,F35,F41,F47,F53,F59,F65,F71,F77)</f>
        <v>0</v>
      </c>
      <c r="G78" s="101">
        <f>SUM(G23,G29,G35,G41,G47,G53,G59,G65,G71,G77)</f>
        <v>0</v>
      </c>
      <c r="H78" s="101">
        <f>SUM(H23,H29,H35,H41,H47,H53,H59,H65,H71,H77)</f>
        <v>0</v>
      </c>
    </row>
    <row r="79" spans="2:8" x14ac:dyDescent="0.2">
      <c r="B79" s="233"/>
      <c r="C79" s="50" t="s">
        <v>318</v>
      </c>
      <c r="D79" s="179"/>
      <c r="E79" s="179"/>
      <c r="F79" s="179"/>
      <c r="G79" s="179"/>
      <c r="H79" s="179"/>
    </row>
    <row r="80" spans="2:8" ht="11.25" customHeight="1" x14ac:dyDescent="0.2">
      <c r="B80" s="292" t="s">
        <v>281</v>
      </c>
      <c r="C80" s="128" t="s">
        <v>282</v>
      </c>
      <c r="D80" s="290"/>
      <c r="E80" s="101">
        <f>D84</f>
        <v>0</v>
      </c>
      <c r="F80" s="101">
        <f>E84</f>
        <v>0</v>
      </c>
      <c r="G80" s="101">
        <f>F84</f>
        <v>0</v>
      </c>
      <c r="H80" s="101">
        <f>G84</f>
        <v>0</v>
      </c>
    </row>
    <row r="81" spans="2:8" x14ac:dyDescent="0.2">
      <c r="B81" s="292" t="s">
        <v>281</v>
      </c>
      <c r="C81" s="128" t="s">
        <v>289</v>
      </c>
      <c r="D81" s="290"/>
      <c r="E81" s="290"/>
      <c r="F81" s="290"/>
      <c r="G81" s="290"/>
      <c r="H81" s="290"/>
    </row>
    <row r="82" spans="2:8" x14ac:dyDescent="0.2">
      <c r="B82" s="292" t="s">
        <v>281</v>
      </c>
      <c r="C82" s="128" t="s">
        <v>319</v>
      </c>
      <c r="D82" s="290"/>
      <c r="E82" s="290"/>
      <c r="F82" s="290"/>
      <c r="G82" s="290"/>
      <c r="H82" s="290"/>
    </row>
    <row r="83" spans="2:8" s="219" customFormat="1" x14ac:dyDescent="0.2">
      <c r="B83" s="292" t="s">
        <v>281</v>
      </c>
      <c r="C83" s="128" t="s">
        <v>320</v>
      </c>
      <c r="D83" s="290"/>
      <c r="E83" s="290"/>
      <c r="F83" s="290"/>
      <c r="G83" s="290"/>
      <c r="H83" s="290"/>
    </row>
    <row r="84" spans="2:8" s="219" customFormat="1" x14ac:dyDescent="0.2">
      <c r="B84" s="233"/>
      <c r="C84" s="66" t="s">
        <v>321</v>
      </c>
      <c r="D84" s="101">
        <f>SUM(D80:D83)</f>
        <v>0</v>
      </c>
      <c r="E84" s="101">
        <f>SUM(E80:E83)</f>
        <v>0</v>
      </c>
      <c r="F84" s="101">
        <f>SUM(F80:F83)</f>
        <v>0</v>
      </c>
      <c r="G84" s="101">
        <f>SUM(G80:G83)</f>
        <v>0</v>
      </c>
      <c r="H84" s="101">
        <f>SUM(H80:H83)</f>
        <v>0</v>
      </c>
    </row>
    <row r="85" spans="2:8" s="219" customFormat="1" x14ac:dyDescent="0.2">
      <c r="B85" s="233"/>
      <c r="C85" s="50" t="s">
        <v>322</v>
      </c>
      <c r="D85" s="179"/>
      <c r="E85" s="179"/>
      <c r="F85" s="179"/>
      <c r="G85" s="179"/>
      <c r="H85" s="179"/>
    </row>
    <row r="86" spans="2:8" s="219" customFormat="1" x14ac:dyDescent="0.2">
      <c r="B86" s="292" t="s">
        <v>281</v>
      </c>
      <c r="C86" s="128" t="s">
        <v>282</v>
      </c>
      <c r="D86" s="290"/>
      <c r="E86" s="101">
        <f>D90</f>
        <v>0</v>
      </c>
      <c r="F86" s="101">
        <f>E90</f>
        <v>0</v>
      </c>
      <c r="G86" s="101">
        <f>F90</f>
        <v>0</v>
      </c>
      <c r="H86" s="101">
        <f>G90</f>
        <v>0</v>
      </c>
    </row>
    <row r="87" spans="2:8" s="219" customFormat="1" x14ac:dyDescent="0.2">
      <c r="B87" s="292" t="s">
        <v>281</v>
      </c>
      <c r="C87" s="128" t="s">
        <v>289</v>
      </c>
      <c r="D87" s="290"/>
      <c r="E87" s="290"/>
      <c r="F87" s="290"/>
      <c r="G87" s="290"/>
      <c r="H87" s="290"/>
    </row>
    <row r="88" spans="2:8" s="219" customFormat="1" x14ac:dyDescent="0.2">
      <c r="B88" s="292" t="s">
        <v>281</v>
      </c>
      <c r="C88" s="128" t="s">
        <v>313</v>
      </c>
      <c r="D88" s="290"/>
      <c r="E88" s="290"/>
      <c r="F88" s="290"/>
      <c r="G88" s="290"/>
      <c r="H88" s="290"/>
    </row>
    <row r="89" spans="2:8" x14ac:dyDescent="0.2">
      <c r="B89" s="292" t="s">
        <v>281</v>
      </c>
      <c r="C89" s="128" t="s">
        <v>291</v>
      </c>
      <c r="D89" s="290"/>
      <c r="E89" s="290"/>
      <c r="F89" s="290"/>
      <c r="G89" s="290"/>
      <c r="H89" s="290"/>
    </row>
    <row r="90" spans="2:8" x14ac:dyDescent="0.2">
      <c r="B90" s="233"/>
      <c r="C90" s="66" t="s">
        <v>323</v>
      </c>
      <c r="D90" s="101">
        <f>SUM(D86:D89)</f>
        <v>0</v>
      </c>
      <c r="E90" s="101">
        <f>SUM(E86:E89)</f>
        <v>0</v>
      </c>
      <c r="F90" s="101">
        <f>SUM(F86:F89)</f>
        <v>0</v>
      </c>
      <c r="G90" s="101">
        <f>SUM(G86:G89)</f>
        <v>0</v>
      </c>
      <c r="H90" s="101">
        <f>SUM(H86:H89)</f>
        <v>0</v>
      </c>
    </row>
    <row r="91" spans="2:8" x14ac:dyDescent="0.2">
      <c r="B91" s="292" t="s">
        <v>281</v>
      </c>
      <c r="C91" s="128" t="s">
        <v>324</v>
      </c>
      <c r="D91" s="290"/>
      <c r="E91" s="101">
        <f>D93</f>
        <v>0</v>
      </c>
      <c r="F91" s="101">
        <f>E93</f>
        <v>0</v>
      </c>
      <c r="G91" s="101">
        <f>F93</f>
        <v>0</v>
      </c>
      <c r="H91" s="101">
        <f>G93</f>
        <v>0</v>
      </c>
    </row>
    <row r="92" spans="2:8" x14ac:dyDescent="0.2">
      <c r="B92" s="292" t="s">
        <v>281</v>
      </c>
      <c r="C92" s="128" t="s">
        <v>325</v>
      </c>
      <c r="D92" s="290"/>
      <c r="E92" s="290"/>
      <c r="F92" s="290"/>
      <c r="G92" s="290"/>
      <c r="H92" s="290"/>
    </row>
    <row r="93" spans="2:8" x14ac:dyDescent="0.2">
      <c r="B93" s="233"/>
      <c r="C93" s="66" t="s">
        <v>326</v>
      </c>
      <c r="D93" s="101">
        <f>SUM(D91:D92)</f>
        <v>0</v>
      </c>
      <c r="E93" s="101">
        <f>SUM(E91:E92)</f>
        <v>0</v>
      </c>
      <c r="F93" s="101">
        <f>SUM(F91:F92)</f>
        <v>0</v>
      </c>
      <c r="G93" s="101">
        <f>SUM(G91:G92)</f>
        <v>0</v>
      </c>
      <c r="H93" s="101">
        <f>SUM(H91:H92)</f>
        <v>0</v>
      </c>
    </row>
    <row r="94" spans="2:8" x14ac:dyDescent="0.2">
      <c r="B94" s="233"/>
      <c r="C94" s="66" t="s">
        <v>327</v>
      </c>
      <c r="D94" s="101">
        <f>SUM(D84,D90,D93)</f>
        <v>0</v>
      </c>
      <c r="E94" s="101">
        <f>SUM(E84,E90,E93)</f>
        <v>0</v>
      </c>
      <c r="F94" s="101">
        <f>SUM(F84,F90,F93)</f>
        <v>0</v>
      </c>
      <c r="G94" s="101">
        <f>SUM(G84,G90,G93)</f>
        <v>0</v>
      </c>
      <c r="H94" s="101">
        <f>SUM(H84,H90,H93)</f>
        <v>0</v>
      </c>
    </row>
    <row r="95" spans="2:8" x14ac:dyDescent="0.2">
      <c r="B95" s="233"/>
      <c r="C95" s="66" t="s">
        <v>328</v>
      </c>
      <c r="D95" s="101">
        <f>D78+D94</f>
        <v>0</v>
      </c>
      <c r="E95" s="101">
        <f>E78+E94</f>
        <v>0</v>
      </c>
      <c r="F95" s="101">
        <f>F78+F94</f>
        <v>0</v>
      </c>
      <c r="G95" s="101">
        <f>G78+G94</f>
        <v>0</v>
      </c>
      <c r="H95" s="101">
        <f>H78+H94</f>
        <v>0</v>
      </c>
    </row>
    <row r="119" spans="3:3" x14ac:dyDescent="0.2">
      <c r="C119" s="220"/>
    </row>
  </sheetData>
  <sheetProtection sheet="1"/>
  <mergeCells count="3">
    <mergeCell ref="B12:C12"/>
    <mergeCell ref="D14:H14"/>
    <mergeCell ref="B7:D9"/>
  </mergeCells>
  <pageMargins left="0.75" right="0.75" top="1" bottom="1" header="0.5" footer="0.5"/>
  <pageSetup paperSize="9" scale="47" orientation="landscape" verticalDpi="2" r:id="rId1"/>
  <headerFooter alignWithMargins="0">
    <oddFooter>&amp;C_x000D_&amp;1#&amp;"Aptos"&amp;10&amp;K008000 APA-INTERNAL</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CB81F-429B-49C7-A538-7B49850F182B}">
  <sheetPr codeName="Sheet12">
    <tabColor rgb="FF17415D"/>
  </sheetPr>
  <dimension ref="B1:G39"/>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42578125" style="169" customWidth="1"/>
    <col min="2" max="2" width="21" style="169" customWidth="1"/>
    <col min="3" max="6" width="42.42578125" style="169" customWidth="1"/>
    <col min="7" max="7" width="9.42578125" style="169" customWidth="1"/>
    <col min="8" max="8" width="25.42578125" style="169" customWidth="1"/>
    <col min="9" max="16384" width="9.42578125" style="169"/>
  </cols>
  <sheetData>
    <row r="1" spans="2:6" ht="20.25" customHeight="1" x14ac:dyDescent="0.2">
      <c r="B1" s="103" t="s">
        <v>68</v>
      </c>
      <c r="C1" s="103"/>
    </row>
    <row r="2" spans="2:6" ht="20.25" x14ac:dyDescent="0.2">
      <c r="B2" s="103" t="str">
        <f>IF(Tradingname=0," ",Tradingname)</f>
        <v>APA Reedy Creek Wallumbilla Pty Limited</v>
      </c>
      <c r="C2" s="103"/>
    </row>
    <row r="3" spans="2:6" ht="20.25" x14ac:dyDescent="0.3">
      <c r="B3" s="103" t="s">
        <v>46</v>
      </c>
      <c r="C3" s="80">
        <f>IF(Yearending=0, "01/01/2000", Yearending)</f>
        <v>45838</v>
      </c>
    </row>
    <row r="4" spans="2:6" ht="20.25" x14ac:dyDescent="0.2">
      <c r="B4" s="72" t="s">
        <v>329</v>
      </c>
      <c r="C4" s="72"/>
    </row>
    <row r="7" spans="2:6" ht="15.75" x14ac:dyDescent="0.25">
      <c r="B7" s="171" t="s">
        <v>330</v>
      </c>
      <c r="C7" s="274"/>
      <c r="D7" s="274"/>
      <c r="E7" s="274"/>
    </row>
    <row r="8" spans="2:6" ht="15.75" x14ac:dyDescent="0.25">
      <c r="B8" s="171"/>
      <c r="C8" s="274"/>
      <c r="D8" s="274"/>
      <c r="E8" s="274"/>
    </row>
    <row r="9" spans="2:6" ht="25.5" x14ac:dyDescent="0.2">
      <c r="B9" s="39" t="s">
        <v>131</v>
      </c>
      <c r="C9" s="39" t="s">
        <v>331</v>
      </c>
      <c r="D9" s="39" t="s">
        <v>332</v>
      </c>
      <c r="E9" s="39" t="s">
        <v>333</v>
      </c>
      <c r="F9" s="51" t="s">
        <v>334</v>
      </c>
    </row>
    <row r="10" spans="2:6" x14ac:dyDescent="0.2">
      <c r="B10" s="41"/>
      <c r="C10" s="41"/>
      <c r="D10" s="44"/>
      <c r="E10" s="221" t="s">
        <v>335</v>
      </c>
      <c r="F10" s="222"/>
    </row>
    <row r="11" spans="2:6" ht="25.5" x14ac:dyDescent="0.2">
      <c r="B11" s="266" t="s">
        <v>336</v>
      </c>
      <c r="C11" s="312" t="str">
        <f>'3.1 Depreciated Book Value'!C17</f>
        <v xml:space="preserve">Pipelines </v>
      </c>
      <c r="D11" s="313" t="s">
        <v>893</v>
      </c>
      <c r="E11" s="314">
        <v>28.209810302204456</v>
      </c>
      <c r="F11" s="315" t="s">
        <v>337</v>
      </c>
    </row>
    <row r="12" spans="2:6" ht="25.5" x14ac:dyDescent="0.2">
      <c r="B12" s="266" t="s">
        <v>336</v>
      </c>
      <c r="C12" s="312" t="str">
        <f>'3.1 Depreciated Book Value'!C26</f>
        <v xml:space="preserve">Compressors </v>
      </c>
      <c r="D12" s="316" t="s">
        <v>894</v>
      </c>
      <c r="E12" s="314">
        <v>27.946257310223732</v>
      </c>
      <c r="F12" s="315" t="s">
        <v>337</v>
      </c>
    </row>
    <row r="13" spans="2:6" ht="25.5" x14ac:dyDescent="0.2">
      <c r="B13" s="266" t="s">
        <v>336</v>
      </c>
      <c r="C13" s="312" t="str">
        <f>'3.1 Depreciated Book Value'!C34</f>
        <v xml:space="preserve">City Gates, supply regulators and valve stations </v>
      </c>
      <c r="D13" s="313" t="s">
        <v>895</v>
      </c>
      <c r="E13" s="314">
        <v>22.717346179648143</v>
      </c>
      <c r="F13" s="315" t="s">
        <v>337</v>
      </c>
    </row>
    <row r="14" spans="2:6" ht="25.5" x14ac:dyDescent="0.2">
      <c r="B14" s="266" t="s">
        <v>336</v>
      </c>
      <c r="C14" s="312" t="str">
        <f>'3.1 Depreciated Book Value'!C42</f>
        <v xml:space="preserve">Metering </v>
      </c>
      <c r="D14" s="316" t="s">
        <v>895</v>
      </c>
      <c r="E14" s="314">
        <v>22.490443240556466</v>
      </c>
      <c r="F14" s="315" t="s">
        <v>337</v>
      </c>
    </row>
    <row r="15" spans="2:6" x14ac:dyDescent="0.2">
      <c r="B15" s="266" t="s">
        <v>336</v>
      </c>
      <c r="C15" s="312" t="str">
        <f>'3.1 Depreciated Book Value'!C50</f>
        <v xml:space="preserve">Odorant plants </v>
      </c>
      <c r="D15" s="316" t="s">
        <v>27</v>
      </c>
      <c r="E15" s="314" t="s">
        <v>27</v>
      </c>
      <c r="F15" s="315" t="s">
        <v>27</v>
      </c>
    </row>
    <row r="16" spans="2:6" ht="25.5" x14ac:dyDescent="0.2">
      <c r="B16" s="266" t="s">
        <v>336</v>
      </c>
      <c r="C16" s="312" t="str">
        <f>'3.1 Depreciated Book Value'!C58</f>
        <v xml:space="preserve">SCADA (Communications) </v>
      </c>
      <c r="D16" s="313" t="s">
        <v>895</v>
      </c>
      <c r="E16" s="314">
        <v>10</v>
      </c>
      <c r="F16" s="315" t="s">
        <v>337</v>
      </c>
    </row>
    <row r="17" spans="2:7" x14ac:dyDescent="0.2">
      <c r="B17" s="266" t="s">
        <v>336</v>
      </c>
      <c r="C17" s="312" t="str">
        <f>'3.1 Depreciated Book Value'!C66</f>
        <v xml:space="preserve">Buildings </v>
      </c>
      <c r="D17" s="316" t="s">
        <v>27</v>
      </c>
      <c r="E17" s="314" t="s">
        <v>27</v>
      </c>
      <c r="F17" s="315" t="s">
        <v>27</v>
      </c>
    </row>
    <row r="18" spans="2:7" ht="25.5" x14ac:dyDescent="0.2">
      <c r="B18" s="266" t="s">
        <v>336</v>
      </c>
      <c r="C18" s="312" t="str">
        <f>'3.1 Depreciated Book Value'!C81</f>
        <v>Other depreciable pipeline assets</v>
      </c>
      <c r="D18" s="316" t="s">
        <v>894</v>
      </c>
      <c r="E18" s="314">
        <v>9.0351199584718351</v>
      </c>
      <c r="F18" s="315" t="s">
        <v>337</v>
      </c>
    </row>
    <row r="19" spans="2:7" x14ac:dyDescent="0.2">
      <c r="B19" s="303"/>
      <c r="C19" s="317" t="s">
        <v>252</v>
      </c>
      <c r="D19" s="313" t="s">
        <v>893</v>
      </c>
      <c r="E19" s="314" t="s">
        <v>27</v>
      </c>
      <c r="F19" s="315" t="s">
        <v>338</v>
      </c>
    </row>
    <row r="20" spans="2:7" x14ac:dyDescent="0.2">
      <c r="B20" s="303"/>
      <c r="C20" s="317" t="s">
        <v>339</v>
      </c>
      <c r="D20" s="316"/>
      <c r="E20" s="314"/>
      <c r="F20" s="315"/>
    </row>
    <row r="21" spans="2:7" x14ac:dyDescent="0.2">
      <c r="B21" s="303"/>
      <c r="C21" s="317" t="s">
        <v>339</v>
      </c>
      <c r="D21" s="316"/>
      <c r="E21" s="314"/>
      <c r="F21" s="315"/>
      <c r="G21" s="223"/>
    </row>
    <row r="22" spans="2:7" x14ac:dyDescent="0.2">
      <c r="B22" s="303"/>
      <c r="C22" s="317" t="s">
        <v>339</v>
      </c>
      <c r="D22" s="316"/>
      <c r="E22" s="314"/>
      <c r="F22" s="315"/>
      <c r="G22" s="223"/>
    </row>
    <row r="23" spans="2:7" x14ac:dyDescent="0.2">
      <c r="B23" s="352" t="s">
        <v>336</v>
      </c>
      <c r="C23" s="312" t="str">
        <f>'3.1 Depreciated Book Value'!C89</f>
        <v xml:space="preserve">Leased assets </v>
      </c>
      <c r="D23" s="316" t="s">
        <v>27</v>
      </c>
      <c r="E23" s="314" t="s">
        <v>27</v>
      </c>
      <c r="F23" s="315" t="s">
        <v>27</v>
      </c>
      <c r="G23" s="223"/>
    </row>
    <row r="24" spans="2:7" x14ac:dyDescent="0.2">
      <c r="B24" s="352"/>
      <c r="C24" s="317" t="s">
        <v>339</v>
      </c>
      <c r="D24" s="316"/>
      <c r="E24" s="314"/>
      <c r="F24" s="315"/>
      <c r="G24" s="223"/>
    </row>
    <row r="25" spans="2:7" x14ac:dyDescent="0.2">
      <c r="B25" s="352"/>
      <c r="C25" s="317" t="s">
        <v>339</v>
      </c>
      <c r="D25" s="316"/>
      <c r="E25" s="314"/>
      <c r="F25" s="315"/>
      <c r="G25" s="223"/>
    </row>
    <row r="26" spans="2:7" x14ac:dyDescent="0.2">
      <c r="B26" s="352"/>
      <c r="C26" s="317" t="s">
        <v>339</v>
      </c>
      <c r="D26" s="316"/>
      <c r="E26" s="314"/>
      <c r="F26" s="315"/>
    </row>
    <row r="27" spans="2:7" x14ac:dyDescent="0.2">
      <c r="B27" s="352"/>
      <c r="C27" s="317" t="s">
        <v>339</v>
      </c>
      <c r="D27" s="316"/>
      <c r="E27" s="314"/>
      <c r="F27" s="315"/>
    </row>
    <row r="28" spans="2:7" ht="25.5" x14ac:dyDescent="0.2">
      <c r="B28" s="352" t="s">
        <v>336</v>
      </c>
      <c r="C28" s="312" t="str">
        <f>'3.1 Depreciated Book Value'!C105</f>
        <v>Shared property, plant and equipment</v>
      </c>
      <c r="D28" s="316" t="s">
        <v>893</v>
      </c>
      <c r="E28" s="314">
        <v>3.4323791017076388</v>
      </c>
      <c r="F28" s="315" t="s">
        <v>337</v>
      </c>
    </row>
    <row r="29" spans="2:7" x14ac:dyDescent="0.2">
      <c r="B29" s="352"/>
      <c r="C29" s="317" t="s">
        <v>339</v>
      </c>
      <c r="D29" s="316"/>
      <c r="E29" s="314"/>
      <c r="F29" s="315"/>
    </row>
    <row r="30" spans="2:7" x14ac:dyDescent="0.2">
      <c r="B30" s="352"/>
      <c r="C30" s="317" t="s">
        <v>339</v>
      </c>
      <c r="D30" s="316"/>
      <c r="E30" s="314"/>
      <c r="F30" s="315"/>
    </row>
    <row r="31" spans="2:7" x14ac:dyDescent="0.2">
      <c r="B31" s="352"/>
      <c r="C31" s="317" t="s">
        <v>339</v>
      </c>
      <c r="D31" s="316"/>
      <c r="E31" s="314"/>
      <c r="F31" s="315"/>
    </row>
    <row r="32" spans="2:7" x14ac:dyDescent="0.2">
      <c r="B32" s="352"/>
      <c r="C32" s="317" t="s">
        <v>339</v>
      </c>
      <c r="D32" s="316"/>
      <c r="E32" s="314"/>
      <c r="F32" s="315"/>
      <c r="G32" s="223"/>
    </row>
    <row r="33" spans="2:7" x14ac:dyDescent="0.2">
      <c r="B33" s="352"/>
      <c r="C33" s="317" t="s">
        <v>339</v>
      </c>
      <c r="D33" s="316"/>
      <c r="E33" s="314"/>
      <c r="F33" s="315"/>
      <c r="G33" s="223"/>
    </row>
    <row r="34" spans="2:7" ht="25.5" x14ac:dyDescent="0.2">
      <c r="B34" s="352" t="s">
        <v>336</v>
      </c>
      <c r="C34" s="312" t="str">
        <f>'3.1 Depreciated Book Value'!C113</f>
        <v>Shared leased assets</v>
      </c>
      <c r="D34" s="313" t="s">
        <v>896</v>
      </c>
      <c r="E34" s="314" t="s">
        <v>2</v>
      </c>
      <c r="F34" s="315" t="s">
        <v>337</v>
      </c>
      <c r="G34" s="223"/>
    </row>
    <row r="35" spans="2:7" x14ac:dyDescent="0.2">
      <c r="B35" s="303"/>
      <c r="C35" s="317" t="s">
        <v>339</v>
      </c>
      <c r="D35" s="316"/>
      <c r="E35" s="314"/>
      <c r="F35" s="315"/>
      <c r="G35" s="223"/>
    </row>
    <row r="36" spans="2:7" x14ac:dyDescent="0.2">
      <c r="B36" s="303"/>
      <c r="C36" s="317" t="s">
        <v>339</v>
      </c>
      <c r="D36" s="316"/>
      <c r="E36" s="314"/>
      <c r="F36" s="315"/>
      <c r="G36" s="223"/>
    </row>
    <row r="37" spans="2:7" x14ac:dyDescent="0.2">
      <c r="B37" s="303"/>
      <c r="C37" s="317" t="s">
        <v>339</v>
      </c>
      <c r="D37" s="316"/>
      <c r="E37" s="314"/>
      <c r="F37" s="315"/>
      <c r="G37" s="223"/>
    </row>
    <row r="38" spans="2:7" x14ac:dyDescent="0.2">
      <c r="B38" s="303"/>
      <c r="C38" s="317" t="s">
        <v>339</v>
      </c>
      <c r="D38" s="316"/>
      <c r="E38" s="314"/>
      <c r="F38" s="315"/>
    </row>
    <row r="39" spans="2:7" x14ac:dyDescent="0.2">
      <c r="B39" s="303"/>
      <c r="C39" s="317" t="s">
        <v>339</v>
      </c>
      <c r="D39" s="316"/>
      <c r="E39" s="314"/>
      <c r="F39" s="315"/>
    </row>
  </sheetData>
  <sheetProtection sheet="1" insertRows="0" autoFilter="0"/>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27C0C-2CE1-48C5-9459-46C746EB4F28}">
  <sheetPr codeName="Sheet13">
    <tabColor rgb="FF17415D"/>
  </sheetPr>
  <dimension ref="B1:J56"/>
  <sheetViews>
    <sheetView zoomScaleNormal="100" workbookViewId="0">
      <pane xSplit="1" ySplit="4" topLeftCell="B5" activePane="bottomRight" state="frozen"/>
      <selection pane="topRight" activeCell="B1" sqref="B1"/>
      <selection pane="bottomLeft" activeCell="A5" sqref="A5"/>
      <selection pane="bottomRight"/>
    </sheetView>
  </sheetViews>
  <sheetFormatPr defaultColWidth="9.42578125" defaultRowHeight="12.75" x14ac:dyDescent="0.2"/>
  <cols>
    <col min="1" max="1" width="12" style="4" customWidth="1"/>
    <col min="2" max="2" width="31.5703125" style="4" customWidth="1"/>
    <col min="3" max="3" width="41.5703125" style="4" bestFit="1" customWidth="1"/>
    <col min="4" max="4" width="27.42578125" style="4" customWidth="1"/>
    <col min="5" max="5" width="32.5703125" style="4" customWidth="1"/>
    <col min="6" max="6" width="21.5703125" style="4" customWidth="1"/>
    <col min="7" max="7" width="24.42578125" style="4" customWidth="1"/>
    <col min="8" max="8" width="45" style="4" customWidth="1"/>
    <col min="9" max="10" width="19.5703125" style="4" customWidth="1"/>
    <col min="11" max="11" width="18.42578125" style="4" customWidth="1"/>
    <col min="12" max="16384" width="9.42578125" style="4"/>
  </cols>
  <sheetData>
    <row r="1" spans="2:10" ht="20.25" x14ac:dyDescent="0.3">
      <c r="B1" s="103" t="s">
        <v>68</v>
      </c>
      <c r="C1" s="103"/>
      <c r="D1" s="168"/>
      <c r="E1" s="168"/>
      <c r="F1" s="168"/>
      <c r="G1" s="168"/>
      <c r="H1" s="168"/>
      <c r="I1" s="168"/>
      <c r="J1" s="168"/>
    </row>
    <row r="2" spans="2:10" ht="20.25" x14ac:dyDescent="0.2">
      <c r="B2" s="103" t="str">
        <f>IF(Tradingname=0," ",Tradingname)</f>
        <v>APA Reedy Creek Wallumbilla Pty Limited</v>
      </c>
      <c r="C2" s="103"/>
    </row>
    <row r="3" spans="2:10" ht="18" customHeight="1" x14ac:dyDescent="0.45">
      <c r="B3" s="103" t="s">
        <v>46</v>
      </c>
      <c r="C3" s="80">
        <f>IF(Yearending=0, "01/01/2000", Yearending)</f>
        <v>45838</v>
      </c>
      <c r="F3" s="202"/>
    </row>
    <row r="4" spans="2:10" ht="20.25" x14ac:dyDescent="0.2">
      <c r="B4" s="72" t="s">
        <v>340</v>
      </c>
      <c r="C4" s="72"/>
    </row>
    <row r="6" spans="2:10" ht="15.75" x14ac:dyDescent="0.25">
      <c r="B6" s="175"/>
    </row>
    <row r="7" spans="2:10" ht="15.75" x14ac:dyDescent="0.25">
      <c r="B7" s="175" t="s">
        <v>341</v>
      </c>
    </row>
    <row r="8" spans="2:10" x14ac:dyDescent="0.2">
      <c r="B8" s="176"/>
      <c r="C8" s="275"/>
      <c r="D8" s="275"/>
      <c r="E8" s="275"/>
      <c r="F8" s="275"/>
      <c r="G8" s="276"/>
      <c r="H8" s="277"/>
    </row>
    <row r="9" spans="2:10" ht="32.1" customHeight="1" x14ac:dyDescent="0.2">
      <c r="B9" s="32" t="s">
        <v>342</v>
      </c>
      <c r="C9" s="53" t="s">
        <v>343</v>
      </c>
      <c r="D9" s="32" t="s">
        <v>344</v>
      </c>
      <c r="E9" s="32" t="s">
        <v>345</v>
      </c>
      <c r="F9" s="32" t="s">
        <v>346</v>
      </c>
    </row>
    <row r="10" spans="2:10" ht="14.1" customHeight="1" x14ac:dyDescent="0.2">
      <c r="B10" s="298"/>
      <c r="C10" s="318"/>
      <c r="D10" s="282"/>
      <c r="E10" s="319"/>
      <c r="F10" s="280"/>
    </row>
    <row r="11" spans="2:10" ht="14.1" customHeight="1" x14ac:dyDescent="0.2">
      <c r="B11" s="298"/>
      <c r="C11" s="318"/>
      <c r="D11" s="282"/>
      <c r="E11" s="319"/>
      <c r="F11" s="280"/>
    </row>
    <row r="12" spans="2:10" ht="14.1" customHeight="1" x14ac:dyDescent="0.2">
      <c r="B12" s="298"/>
      <c r="C12" s="318"/>
      <c r="D12" s="282"/>
      <c r="E12" s="319"/>
      <c r="F12" s="280"/>
    </row>
    <row r="13" spans="2:10" ht="14.1" customHeight="1" x14ac:dyDescent="0.2">
      <c r="B13" s="298"/>
      <c r="C13" s="318"/>
      <c r="D13" s="282"/>
      <c r="E13" s="319"/>
      <c r="F13" s="280"/>
    </row>
    <row r="14" spans="2:10" ht="14.1" customHeight="1" x14ac:dyDescent="0.2">
      <c r="B14" s="298"/>
      <c r="C14" s="318"/>
      <c r="D14" s="282"/>
      <c r="E14" s="319"/>
      <c r="F14" s="280"/>
    </row>
    <row r="15" spans="2:10" ht="14.1" customHeight="1" x14ac:dyDescent="0.2">
      <c r="B15" s="298"/>
      <c r="C15" s="318"/>
      <c r="D15" s="282"/>
      <c r="E15" s="319"/>
      <c r="F15" s="280"/>
    </row>
    <row r="16" spans="2:10" ht="14.1" customHeight="1" x14ac:dyDescent="0.2">
      <c r="B16" s="298"/>
      <c r="C16" s="318"/>
      <c r="D16" s="282"/>
      <c r="E16" s="319"/>
      <c r="F16" s="280"/>
    </row>
    <row r="17" spans="2:9" ht="14.1" customHeight="1" x14ac:dyDescent="0.2">
      <c r="B17" s="298"/>
      <c r="C17" s="318"/>
      <c r="D17" s="282"/>
      <c r="E17" s="319"/>
      <c r="F17" s="280"/>
    </row>
    <row r="18" spans="2:9" ht="14.1" customHeight="1" x14ac:dyDescent="0.2">
      <c r="B18" s="298"/>
      <c r="C18" s="318"/>
      <c r="D18" s="282"/>
      <c r="E18" s="319"/>
      <c r="F18" s="280"/>
    </row>
    <row r="19" spans="2:9" ht="14.1" customHeight="1" x14ac:dyDescent="0.2">
      <c r="B19" s="298"/>
      <c r="C19" s="318"/>
      <c r="D19" s="282"/>
      <c r="E19" s="319"/>
      <c r="F19" s="280"/>
    </row>
    <row r="20" spans="2:9" ht="14.1" customHeight="1" x14ac:dyDescent="0.2">
      <c r="B20" s="298"/>
      <c r="C20" s="318"/>
      <c r="D20" s="282"/>
      <c r="E20" s="319"/>
      <c r="F20" s="280"/>
    </row>
    <row r="21" spans="2:9" ht="14.1" customHeight="1" x14ac:dyDescent="0.2">
      <c r="B21" s="298"/>
      <c r="C21" s="318"/>
      <c r="D21" s="282"/>
      <c r="E21" s="319"/>
      <c r="F21" s="280"/>
    </row>
    <row r="22" spans="2:9" ht="14.1" customHeight="1" x14ac:dyDescent="0.2">
      <c r="B22" s="298"/>
      <c r="C22" s="318"/>
      <c r="D22" s="282"/>
      <c r="E22" s="319"/>
      <c r="F22" s="280"/>
    </row>
    <row r="23" spans="2:9" ht="14.1" customHeight="1" x14ac:dyDescent="0.2">
      <c r="B23" s="298"/>
      <c r="C23" s="318"/>
      <c r="D23" s="282"/>
      <c r="E23" s="319"/>
      <c r="F23" s="280"/>
    </row>
    <row r="24" spans="2:9" ht="14.1" customHeight="1" x14ac:dyDescent="0.2">
      <c r="B24" s="298"/>
      <c r="C24" s="318"/>
      <c r="D24" s="282"/>
      <c r="E24" s="319"/>
      <c r="F24" s="280"/>
    </row>
    <row r="27" spans="2:9" ht="15.75" x14ac:dyDescent="0.25">
      <c r="B27" s="175" t="s">
        <v>347</v>
      </c>
    </row>
    <row r="28" spans="2:9" x14ac:dyDescent="0.2">
      <c r="B28" s="176"/>
      <c r="C28" s="275"/>
      <c r="D28" s="275"/>
      <c r="E28" s="275"/>
    </row>
    <row r="29" spans="2:9" ht="37.35" customHeight="1" x14ac:dyDescent="0.2">
      <c r="B29" s="32" t="s">
        <v>342</v>
      </c>
      <c r="C29" s="53" t="s">
        <v>343</v>
      </c>
      <c r="D29" s="32" t="s">
        <v>348</v>
      </c>
      <c r="E29" s="32" t="s">
        <v>345</v>
      </c>
      <c r="F29" s="32" t="s">
        <v>346</v>
      </c>
      <c r="G29" s="32" t="s">
        <v>349</v>
      </c>
      <c r="H29" s="32" t="s">
        <v>350</v>
      </c>
      <c r="I29" s="32" t="s">
        <v>351</v>
      </c>
    </row>
    <row r="30" spans="2:9" x14ac:dyDescent="0.2">
      <c r="B30" s="298"/>
      <c r="C30" s="318"/>
      <c r="D30" s="282"/>
      <c r="E30" s="319"/>
      <c r="F30" s="280"/>
      <c r="G30" s="282"/>
      <c r="H30" s="319"/>
      <c r="I30" s="280"/>
    </row>
    <row r="31" spans="2:9" x14ac:dyDescent="0.2">
      <c r="B31" s="298"/>
      <c r="C31" s="318"/>
      <c r="D31" s="282"/>
      <c r="E31" s="319"/>
      <c r="F31" s="280"/>
      <c r="G31" s="282"/>
      <c r="H31" s="319"/>
      <c r="I31" s="280"/>
    </row>
    <row r="32" spans="2:9" x14ac:dyDescent="0.2">
      <c r="B32" s="298"/>
      <c r="C32" s="318"/>
      <c r="D32" s="282"/>
      <c r="E32" s="319"/>
      <c r="F32" s="280"/>
      <c r="G32" s="282"/>
      <c r="H32" s="319"/>
      <c r="I32" s="280"/>
    </row>
    <row r="33" spans="2:9" x14ac:dyDescent="0.2">
      <c r="B33" s="298"/>
      <c r="C33" s="318"/>
      <c r="D33" s="282"/>
      <c r="E33" s="319"/>
      <c r="F33" s="280"/>
      <c r="G33" s="282"/>
      <c r="H33" s="319"/>
      <c r="I33" s="280"/>
    </row>
    <row r="34" spans="2:9" x14ac:dyDescent="0.2">
      <c r="B34" s="298"/>
      <c r="C34" s="318"/>
      <c r="D34" s="282"/>
      <c r="E34" s="319"/>
      <c r="F34" s="280"/>
      <c r="G34" s="282"/>
      <c r="H34" s="319"/>
      <c r="I34" s="280"/>
    </row>
    <row r="35" spans="2:9" x14ac:dyDescent="0.2">
      <c r="B35" s="298"/>
      <c r="C35" s="318"/>
      <c r="D35" s="282"/>
      <c r="E35" s="319"/>
      <c r="F35" s="280"/>
      <c r="G35" s="282"/>
      <c r="H35" s="319"/>
      <c r="I35" s="280"/>
    </row>
    <row r="36" spans="2:9" x14ac:dyDescent="0.2">
      <c r="B36" s="298"/>
      <c r="C36" s="318"/>
      <c r="D36" s="282"/>
      <c r="E36" s="319"/>
      <c r="F36" s="280"/>
      <c r="G36" s="282"/>
      <c r="H36" s="319"/>
      <c r="I36" s="280"/>
    </row>
    <row r="37" spans="2:9" x14ac:dyDescent="0.2">
      <c r="B37" s="298"/>
      <c r="C37" s="318"/>
      <c r="D37" s="282"/>
      <c r="E37" s="319"/>
      <c r="F37" s="280"/>
      <c r="G37" s="282"/>
      <c r="H37" s="319"/>
      <c r="I37" s="280"/>
    </row>
    <row r="38" spans="2:9" x14ac:dyDescent="0.2">
      <c r="B38" s="298"/>
      <c r="C38" s="318"/>
      <c r="D38" s="282"/>
      <c r="E38" s="319"/>
      <c r="F38" s="280"/>
      <c r="G38" s="282"/>
      <c r="H38" s="319"/>
      <c r="I38" s="280"/>
    </row>
    <row r="39" spans="2:9" x14ac:dyDescent="0.2">
      <c r="B39" s="298"/>
      <c r="C39" s="318"/>
      <c r="D39" s="282"/>
      <c r="E39" s="319"/>
      <c r="F39" s="280"/>
      <c r="G39" s="282"/>
      <c r="H39" s="319"/>
      <c r="I39" s="280"/>
    </row>
    <row r="40" spans="2:9" x14ac:dyDescent="0.2">
      <c r="B40" s="298"/>
      <c r="C40" s="318"/>
      <c r="D40" s="282"/>
      <c r="E40" s="319"/>
      <c r="F40" s="280"/>
      <c r="G40" s="282"/>
      <c r="H40" s="319"/>
      <c r="I40" s="280"/>
    </row>
    <row r="41" spans="2:9" x14ac:dyDescent="0.2">
      <c r="B41" s="298"/>
      <c r="C41" s="318"/>
      <c r="D41" s="282"/>
      <c r="E41" s="319"/>
      <c r="F41" s="280"/>
      <c r="G41" s="282"/>
      <c r="H41" s="319"/>
      <c r="I41" s="280"/>
    </row>
    <row r="42" spans="2:9" x14ac:dyDescent="0.2">
      <c r="B42" s="298"/>
      <c r="C42" s="318"/>
      <c r="D42" s="282"/>
      <c r="E42" s="319"/>
      <c r="F42" s="280"/>
      <c r="G42" s="282"/>
      <c r="H42" s="319"/>
      <c r="I42" s="280"/>
    </row>
    <row r="43" spans="2:9" x14ac:dyDescent="0.2">
      <c r="B43" s="298"/>
      <c r="C43" s="318"/>
      <c r="D43" s="282"/>
      <c r="E43" s="319"/>
      <c r="F43" s="280"/>
      <c r="G43" s="282"/>
      <c r="H43" s="319"/>
      <c r="I43" s="280"/>
    </row>
    <row r="44" spans="2:9" x14ac:dyDescent="0.2">
      <c r="B44" s="298"/>
      <c r="C44" s="318"/>
      <c r="D44" s="282"/>
      <c r="E44" s="319"/>
      <c r="F44" s="280"/>
      <c r="G44" s="282"/>
      <c r="H44" s="319"/>
      <c r="I44" s="280"/>
    </row>
    <row r="45" spans="2:9" x14ac:dyDescent="0.2">
      <c r="B45" s="298"/>
      <c r="C45" s="318"/>
      <c r="D45" s="282"/>
      <c r="E45" s="319"/>
      <c r="F45" s="280"/>
      <c r="G45" s="282"/>
      <c r="H45" s="319"/>
      <c r="I45" s="280"/>
    </row>
    <row r="46" spans="2:9" x14ac:dyDescent="0.2">
      <c r="B46" s="298"/>
      <c r="C46" s="318"/>
      <c r="D46" s="282"/>
      <c r="E46" s="319"/>
      <c r="F46" s="280"/>
      <c r="G46" s="282"/>
      <c r="H46" s="319"/>
      <c r="I46" s="280"/>
    </row>
    <row r="47" spans="2:9" x14ac:dyDescent="0.2">
      <c r="B47" s="298"/>
      <c r="C47" s="318"/>
      <c r="D47" s="282"/>
      <c r="E47" s="319"/>
      <c r="F47" s="280"/>
      <c r="G47" s="282"/>
      <c r="H47" s="319"/>
      <c r="I47" s="280"/>
    </row>
    <row r="48" spans="2:9" x14ac:dyDescent="0.2">
      <c r="B48" s="298"/>
      <c r="C48" s="318"/>
      <c r="D48" s="282"/>
      <c r="E48" s="319"/>
      <c r="F48" s="280"/>
      <c r="G48" s="282"/>
      <c r="H48" s="319"/>
      <c r="I48" s="280"/>
    </row>
    <row r="49" spans="2:9" x14ac:dyDescent="0.2">
      <c r="B49" s="298"/>
      <c r="C49" s="318"/>
      <c r="D49" s="282"/>
      <c r="E49" s="319"/>
      <c r="F49" s="280"/>
      <c r="G49" s="282"/>
      <c r="H49" s="319"/>
      <c r="I49" s="280"/>
    </row>
    <row r="50" spans="2:9" x14ac:dyDescent="0.2">
      <c r="B50" s="298"/>
      <c r="C50" s="318"/>
      <c r="D50" s="282"/>
      <c r="E50" s="319"/>
      <c r="F50" s="280"/>
      <c r="G50" s="282"/>
      <c r="H50" s="319"/>
      <c r="I50" s="280"/>
    </row>
    <row r="51" spans="2:9" x14ac:dyDescent="0.2">
      <c r="B51" s="298"/>
      <c r="C51" s="318"/>
      <c r="D51" s="282"/>
      <c r="E51" s="319"/>
      <c r="F51" s="280"/>
      <c r="G51" s="282"/>
      <c r="H51" s="319"/>
      <c r="I51" s="280"/>
    </row>
    <row r="52" spans="2:9" x14ac:dyDescent="0.2">
      <c r="B52" s="298"/>
      <c r="C52" s="318"/>
      <c r="D52" s="282"/>
      <c r="E52" s="319"/>
      <c r="F52" s="280"/>
      <c r="G52" s="282"/>
      <c r="H52" s="319"/>
      <c r="I52" s="280"/>
    </row>
    <row r="53" spans="2:9" x14ac:dyDescent="0.2">
      <c r="B53" s="298"/>
      <c r="C53" s="318"/>
      <c r="D53" s="282"/>
      <c r="E53" s="319"/>
      <c r="F53" s="280"/>
      <c r="G53" s="282"/>
      <c r="H53" s="319"/>
      <c r="I53" s="280"/>
    </row>
    <row r="54" spans="2:9" x14ac:dyDescent="0.2">
      <c r="B54" s="298"/>
      <c r="C54" s="318"/>
      <c r="D54" s="282"/>
      <c r="E54" s="319"/>
      <c r="F54" s="280"/>
      <c r="G54" s="282"/>
      <c r="H54" s="319"/>
      <c r="I54" s="280"/>
    </row>
    <row r="55" spans="2:9" x14ac:dyDescent="0.2">
      <c r="B55" s="298"/>
      <c r="C55" s="318"/>
      <c r="D55" s="282"/>
      <c r="E55" s="319"/>
      <c r="F55" s="280"/>
      <c r="G55" s="282"/>
      <c r="H55" s="319"/>
      <c r="I55" s="280"/>
    </row>
    <row r="56" spans="2:9" x14ac:dyDescent="0.2">
      <c r="B56" s="298"/>
      <c r="C56" s="318"/>
      <c r="D56" s="282"/>
      <c r="E56" s="319"/>
      <c r="F56" s="280"/>
      <c r="G56" s="282"/>
      <c r="H56" s="319"/>
      <c r="I56" s="280"/>
    </row>
  </sheetData>
  <sheetProtection sheet="1" insertRows="0"/>
  <dataValidations count="1">
    <dataValidation type="list" allowBlank="1" showInputMessage="1" showErrorMessage="1" sqref="C10:C24 C30:C56" xr:uid="{66B1C781-9E0E-45F0-BE53-20E293D3B1ED}">
      <formula1>rAllAssets</formula1>
    </dataValidation>
  </dataValidations>
  <pageMargins left="0.25" right="0.25" top="0.75" bottom="0.75" header="0.3" footer="0.3"/>
  <pageSetup paperSize="9" scale="59" orientation="landscape" r:id="rId1"/>
  <headerFooter alignWithMargins="0">
    <oddFooter>&amp;C_x000D_&amp;1#&amp;"Aptos"&amp;10&amp;K008000 APA-INTERNAL</oddFooter>
  </headerFooter>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EB4FA-C961-4B9E-A215-BC75D6C082A5}">
  <sheetPr codeName="Sheet14">
    <tabColor rgb="FF17415D"/>
  </sheetPr>
  <dimension ref="B1:Q84"/>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8.5703125" defaultRowHeight="12.75" x14ac:dyDescent="0.2"/>
  <cols>
    <col min="1" max="1" width="11.42578125" customWidth="1"/>
    <col min="2" max="2" width="32.42578125" customWidth="1"/>
    <col min="3" max="3" width="40.5703125" customWidth="1"/>
    <col min="4" max="4" width="41.5703125" bestFit="1" customWidth="1"/>
    <col min="5" max="8" width="20.5703125" customWidth="1"/>
    <col min="9" max="9" width="30.5703125" customWidth="1"/>
    <col min="10" max="10" width="32.5703125" customWidth="1"/>
    <col min="11" max="11" width="20.5703125" customWidth="1"/>
    <col min="12" max="12" width="24" customWidth="1"/>
    <col min="13" max="13" width="31" customWidth="1"/>
    <col min="14" max="17" width="20.5703125" customWidth="1"/>
  </cols>
  <sheetData>
    <row r="1" spans="2:17" ht="20.25" customHeight="1" x14ac:dyDescent="0.2">
      <c r="B1" s="103" t="s">
        <v>68</v>
      </c>
      <c r="C1" s="103"/>
    </row>
    <row r="2" spans="2:17" ht="20.25" x14ac:dyDescent="0.2">
      <c r="B2" s="103" t="str">
        <f>IF(Tradingname=0," ",Tradingname)</f>
        <v>APA Reedy Creek Wallumbilla Pty Limited</v>
      </c>
      <c r="C2" s="103"/>
    </row>
    <row r="3" spans="2:17" ht="20.25" customHeight="1" x14ac:dyDescent="0.3">
      <c r="B3" s="103" t="s">
        <v>46</v>
      </c>
      <c r="C3" s="80">
        <f>IF(Yearending=0, "01/01/2000", Yearending)</f>
        <v>45838</v>
      </c>
    </row>
    <row r="4" spans="2:17" ht="20.25" x14ac:dyDescent="0.2">
      <c r="B4" s="72" t="s">
        <v>352</v>
      </c>
      <c r="C4" s="72"/>
    </row>
    <row r="5" spans="2:17" ht="12.75" customHeight="1" x14ac:dyDescent="0.2"/>
    <row r="6" spans="2:17" x14ac:dyDescent="0.2">
      <c r="B6" s="432" t="s">
        <v>353</v>
      </c>
      <c r="C6" s="432"/>
      <c r="D6" s="432"/>
      <c r="E6" s="432"/>
    </row>
    <row r="7" spans="2:17" ht="15.75" customHeight="1" x14ac:dyDescent="0.2">
      <c r="B7" s="432"/>
      <c r="C7" s="432"/>
      <c r="D7" s="432"/>
      <c r="E7" s="432"/>
      <c r="G7" s="126"/>
    </row>
    <row r="8" spans="2:17" ht="15.75" customHeight="1" x14ac:dyDescent="0.2">
      <c r="B8" s="432"/>
      <c r="C8" s="432"/>
      <c r="D8" s="432"/>
      <c r="E8" s="432"/>
      <c r="G8" s="126"/>
    </row>
    <row r="9" spans="2:17" x14ac:dyDescent="0.2">
      <c r="G9" s="126"/>
    </row>
    <row r="11" spans="2:17" ht="15.75" x14ac:dyDescent="0.25">
      <c r="B11" s="162" t="s">
        <v>354</v>
      </c>
    </row>
    <row r="13" spans="2:17" ht="45" customHeight="1" x14ac:dyDescent="0.2">
      <c r="B13" s="52" t="s">
        <v>131</v>
      </c>
      <c r="C13" s="53" t="s">
        <v>132</v>
      </c>
      <c r="D13" s="53" t="s">
        <v>343</v>
      </c>
      <c r="E13" s="53" t="s">
        <v>355</v>
      </c>
      <c r="F13" s="53" t="s">
        <v>356</v>
      </c>
      <c r="G13" s="53" t="s">
        <v>357</v>
      </c>
      <c r="H13" s="54" t="s">
        <v>231</v>
      </c>
      <c r="I13" s="54" t="s">
        <v>358</v>
      </c>
      <c r="J13" s="54" t="s">
        <v>359</v>
      </c>
      <c r="K13" s="54" t="s">
        <v>360</v>
      </c>
      <c r="L13" s="53" t="s">
        <v>361</v>
      </c>
      <c r="M13" s="53" t="s">
        <v>362</v>
      </c>
      <c r="N13" s="53" t="s">
        <v>363</v>
      </c>
      <c r="O13" s="53" t="s">
        <v>364</v>
      </c>
      <c r="P13" s="53" t="s">
        <v>365</v>
      </c>
      <c r="Q13" s="32" t="s">
        <v>366</v>
      </c>
    </row>
    <row r="14" spans="2:17" x14ac:dyDescent="0.2">
      <c r="B14" s="235"/>
      <c r="C14" s="55"/>
      <c r="D14" s="55"/>
      <c r="E14" s="55"/>
      <c r="F14" s="55" t="s">
        <v>367</v>
      </c>
      <c r="G14" s="55" t="s">
        <v>134</v>
      </c>
      <c r="H14" s="56" t="s">
        <v>134</v>
      </c>
      <c r="I14" s="56" t="s">
        <v>134</v>
      </c>
      <c r="J14" s="56" t="s">
        <v>134</v>
      </c>
      <c r="K14" s="56" t="s">
        <v>134</v>
      </c>
      <c r="L14" s="55" t="s">
        <v>134</v>
      </c>
      <c r="M14" s="55"/>
      <c r="N14" s="55" t="s">
        <v>134</v>
      </c>
      <c r="O14" s="55" t="s">
        <v>134</v>
      </c>
      <c r="P14" s="55" t="s">
        <v>134</v>
      </c>
      <c r="Q14" s="55" t="s">
        <v>134</v>
      </c>
    </row>
    <row r="15" spans="2:17" x14ac:dyDescent="0.2">
      <c r="B15" s="268" t="s">
        <v>368</v>
      </c>
      <c r="C15" s="318"/>
      <c r="D15" s="224" t="s">
        <v>229</v>
      </c>
      <c r="E15" s="320" t="str">
        <f>'3.3 Asset useful life'!D11</f>
        <v>11/5/2018 to 30/6/2025</v>
      </c>
      <c r="F15" s="321">
        <f>'3.3 Asset useful life'!E11</f>
        <v>28.209810302204456</v>
      </c>
      <c r="G15" s="322"/>
      <c r="H15" s="322">
        <v>47019497.340000004</v>
      </c>
      <c r="I15" s="322">
        <v>1245006.95</v>
      </c>
      <c r="J15" s="322">
        <v>0</v>
      </c>
      <c r="K15" s="322">
        <v>0</v>
      </c>
      <c r="L15" s="323">
        <f>SUM(H15:K15)</f>
        <v>48264504.290000007</v>
      </c>
      <c r="M15" s="295">
        <v>1</v>
      </c>
      <c r="N15" s="291">
        <f>L15*M15</f>
        <v>48264504.290000007</v>
      </c>
      <c r="O15" s="322">
        <v>-10381339.689999999</v>
      </c>
      <c r="P15" s="322">
        <v>-1742119.37</v>
      </c>
      <c r="Q15" s="302">
        <f>SUM(N15:P15)</f>
        <v>36141045.230000012</v>
      </c>
    </row>
    <row r="16" spans="2:17" x14ac:dyDescent="0.2">
      <c r="B16" s="268" t="s">
        <v>368</v>
      </c>
      <c r="C16" s="318"/>
      <c r="D16" s="224" t="s">
        <v>239</v>
      </c>
      <c r="E16" s="320" t="str">
        <f>'3.3 Asset useful life'!D12</f>
        <v>1/7/2018 to 30/6/2025</v>
      </c>
      <c r="F16" s="321">
        <f>'3.3 Asset useful life'!E12</f>
        <v>27.946257310223732</v>
      </c>
      <c r="G16" s="322"/>
      <c r="H16" s="322">
        <v>12598953.199999999</v>
      </c>
      <c r="I16" s="322">
        <v>0</v>
      </c>
      <c r="J16" s="322">
        <v>0</v>
      </c>
      <c r="K16" s="322">
        <v>0</v>
      </c>
      <c r="L16" s="323">
        <f>SUM(H16:K16)</f>
        <v>12598953.199999999</v>
      </c>
      <c r="M16" s="295">
        <v>1</v>
      </c>
      <c r="N16" s="291">
        <f t="shared" ref="N16:N58" si="0">L16*M16</f>
        <v>12598953.199999999</v>
      </c>
      <c r="O16" s="322">
        <v>-2527281.62</v>
      </c>
      <c r="P16" s="322">
        <v>-478456.59</v>
      </c>
      <c r="Q16" s="302">
        <f t="shared" ref="Q16:Q58" si="1">SUM(N16:P16)</f>
        <v>9593214.9899999984</v>
      </c>
    </row>
    <row r="17" spans="2:17" x14ac:dyDescent="0.2">
      <c r="B17" s="268" t="s">
        <v>368</v>
      </c>
      <c r="C17" s="318"/>
      <c r="D17" s="224" t="s">
        <v>241</v>
      </c>
      <c r="E17" s="320" t="str">
        <f>'3.3 Asset useful life'!D13</f>
        <v>2/5/2025 to 30/6/2025</v>
      </c>
      <c r="F17" s="321">
        <f>'3.3 Asset useful life'!E13</f>
        <v>22.717346179648143</v>
      </c>
      <c r="G17" s="322"/>
      <c r="H17" s="322">
        <v>0</v>
      </c>
      <c r="I17" s="322">
        <v>4160626.6700000004</v>
      </c>
      <c r="J17" s="322">
        <v>0</v>
      </c>
      <c r="K17" s="322">
        <v>0</v>
      </c>
      <c r="L17" s="323">
        <f t="shared" ref="L17:L58" si="2">SUM(H17:K17)</f>
        <v>4160626.6700000004</v>
      </c>
      <c r="M17" s="295">
        <v>1</v>
      </c>
      <c r="N17" s="291">
        <f t="shared" si="0"/>
        <v>4160626.6700000004</v>
      </c>
      <c r="O17" s="322">
        <v>0</v>
      </c>
      <c r="P17" s="322">
        <v>-77382.149999999994</v>
      </c>
      <c r="Q17" s="302">
        <f t="shared" si="1"/>
        <v>4083244.5200000005</v>
      </c>
    </row>
    <row r="18" spans="2:17" x14ac:dyDescent="0.2">
      <c r="B18" s="268" t="s">
        <v>368</v>
      </c>
      <c r="C18" s="318"/>
      <c r="D18" s="224" t="s">
        <v>243</v>
      </c>
      <c r="E18" s="320" t="str">
        <f>'3.3 Asset useful life'!D14</f>
        <v>2/5/2025 to 30/6/2025</v>
      </c>
      <c r="F18" s="321">
        <f>'3.3 Asset useful life'!E14</f>
        <v>22.490443240556466</v>
      </c>
      <c r="G18" s="322"/>
      <c r="H18" s="322">
        <v>0</v>
      </c>
      <c r="I18" s="322">
        <v>12598935.239999998</v>
      </c>
      <c r="J18" s="322">
        <v>0</v>
      </c>
      <c r="K18" s="322">
        <v>0</v>
      </c>
      <c r="L18" s="323">
        <f t="shared" si="2"/>
        <v>12598935.239999998</v>
      </c>
      <c r="M18" s="295">
        <v>1</v>
      </c>
      <c r="N18" s="291">
        <f t="shared" si="0"/>
        <v>12598935.239999998</v>
      </c>
      <c r="O18" s="322">
        <v>0</v>
      </c>
      <c r="P18" s="322">
        <v>-266129.5</v>
      </c>
      <c r="Q18" s="302">
        <f t="shared" si="1"/>
        <v>12332805.739999998</v>
      </c>
    </row>
    <row r="19" spans="2:17" x14ac:dyDescent="0.2">
      <c r="B19" s="268" t="s">
        <v>368</v>
      </c>
      <c r="C19" s="318"/>
      <c r="D19" s="224" t="s">
        <v>246</v>
      </c>
      <c r="E19" s="320" t="str">
        <f>'3.3 Asset useful life'!D15</f>
        <v>N/A</v>
      </c>
      <c r="F19" s="321" t="str">
        <f>'3.3 Asset useful life'!E15</f>
        <v>N/A</v>
      </c>
      <c r="G19" s="322"/>
      <c r="H19" s="322">
        <v>0</v>
      </c>
      <c r="I19" s="322">
        <v>0</v>
      </c>
      <c r="J19" s="322">
        <v>0</v>
      </c>
      <c r="K19" s="322">
        <v>0</v>
      </c>
      <c r="L19" s="323">
        <f t="shared" si="2"/>
        <v>0</v>
      </c>
      <c r="M19" s="295">
        <v>1</v>
      </c>
      <c r="N19" s="291">
        <f t="shared" si="0"/>
        <v>0</v>
      </c>
      <c r="O19" s="322">
        <v>0</v>
      </c>
      <c r="P19" s="322">
        <v>0</v>
      </c>
      <c r="Q19" s="302">
        <f t="shared" si="1"/>
        <v>0</v>
      </c>
    </row>
    <row r="20" spans="2:17" x14ac:dyDescent="0.2">
      <c r="B20" s="268" t="s">
        <v>368</v>
      </c>
      <c r="C20" s="318"/>
      <c r="D20" s="224" t="s">
        <v>248</v>
      </c>
      <c r="E20" s="320" t="str">
        <f>'3.3 Asset useful life'!D16</f>
        <v>2/5/2025 to 30/6/2025</v>
      </c>
      <c r="F20" s="321">
        <f>'3.3 Asset useful life'!E16</f>
        <v>10</v>
      </c>
      <c r="G20" s="322"/>
      <c r="H20" s="322">
        <v>0</v>
      </c>
      <c r="I20" s="322">
        <v>145007.56</v>
      </c>
      <c r="J20" s="322">
        <v>0</v>
      </c>
      <c r="K20" s="322">
        <v>0</v>
      </c>
      <c r="L20" s="323">
        <f t="shared" si="2"/>
        <v>145007.56</v>
      </c>
      <c r="M20" s="295">
        <v>1</v>
      </c>
      <c r="N20" s="291">
        <f t="shared" si="0"/>
        <v>145007.56</v>
      </c>
      <c r="O20" s="322">
        <v>0</v>
      </c>
      <c r="P20" s="322">
        <v>-6041.98</v>
      </c>
      <c r="Q20" s="302">
        <f t="shared" si="1"/>
        <v>138965.57999999999</v>
      </c>
    </row>
    <row r="21" spans="2:17" x14ac:dyDescent="0.2">
      <c r="B21" s="268" t="s">
        <v>368</v>
      </c>
      <c r="C21" s="318"/>
      <c r="D21" s="224" t="s">
        <v>250</v>
      </c>
      <c r="E21" s="320" t="str">
        <f>'3.3 Asset useful life'!D17</f>
        <v>N/A</v>
      </c>
      <c r="F21" s="321" t="str">
        <f>'3.3 Asset useful life'!E17</f>
        <v>N/A</v>
      </c>
      <c r="G21" s="322"/>
      <c r="H21" s="322">
        <v>0</v>
      </c>
      <c r="I21" s="322">
        <v>0</v>
      </c>
      <c r="J21" s="322">
        <v>0</v>
      </c>
      <c r="K21" s="322">
        <v>0</v>
      </c>
      <c r="L21" s="323">
        <f t="shared" si="2"/>
        <v>0</v>
      </c>
      <c r="M21" s="295">
        <v>1</v>
      </c>
      <c r="N21" s="291">
        <f t="shared" si="0"/>
        <v>0</v>
      </c>
      <c r="O21" s="322">
        <v>0</v>
      </c>
      <c r="P21" s="322">
        <v>0</v>
      </c>
      <c r="Q21" s="302">
        <f t="shared" si="1"/>
        <v>0</v>
      </c>
    </row>
    <row r="22" spans="2:17" x14ac:dyDescent="0.2">
      <c r="B22" s="268" t="s">
        <v>368</v>
      </c>
      <c r="C22" s="318"/>
      <c r="D22" s="224" t="s">
        <v>252</v>
      </c>
      <c r="E22" s="320" t="str">
        <f>'3.3 Asset useful life'!D19</f>
        <v>11/5/2018 to 30/6/2025</v>
      </c>
      <c r="F22" s="321" t="str">
        <f>'3.3 Asset useful life'!E19</f>
        <v>N/A</v>
      </c>
      <c r="G22" s="322"/>
      <c r="H22" s="322">
        <v>3959276.07</v>
      </c>
      <c r="I22" s="322">
        <v>0</v>
      </c>
      <c r="J22" s="322">
        <v>0</v>
      </c>
      <c r="K22" s="322">
        <v>0</v>
      </c>
      <c r="L22" s="323">
        <f t="shared" si="2"/>
        <v>3959276.07</v>
      </c>
      <c r="M22" s="295">
        <v>1</v>
      </c>
      <c r="N22" s="291">
        <f t="shared" si="0"/>
        <v>3959276.07</v>
      </c>
      <c r="O22" s="322">
        <v>0</v>
      </c>
      <c r="P22" s="322">
        <v>0</v>
      </c>
      <c r="Q22" s="302">
        <f t="shared" si="1"/>
        <v>3959276.07</v>
      </c>
    </row>
    <row r="23" spans="2:17" x14ac:dyDescent="0.2">
      <c r="B23" s="268" t="s">
        <v>368</v>
      </c>
      <c r="C23" s="318"/>
      <c r="D23" s="224" t="s">
        <v>254</v>
      </c>
      <c r="E23" s="320" t="str">
        <f>'3.3 Asset useful life'!D18</f>
        <v>1/7/2018 to 30/6/2025</v>
      </c>
      <c r="F23" s="321">
        <f>'3.3 Asset useful life'!E18</f>
        <v>9.0351199584718351</v>
      </c>
      <c r="G23" s="322"/>
      <c r="H23" s="322">
        <v>19307.219999999998</v>
      </c>
      <c r="I23" s="322">
        <v>256977.56</v>
      </c>
      <c r="J23" s="322">
        <v>0</v>
      </c>
      <c r="K23" s="322">
        <v>0</v>
      </c>
      <c r="L23" s="323">
        <f t="shared" si="2"/>
        <v>276284.77999999997</v>
      </c>
      <c r="M23" s="295">
        <v>1</v>
      </c>
      <c r="N23" s="291">
        <f t="shared" si="0"/>
        <v>276284.77999999997</v>
      </c>
      <c r="O23" s="322">
        <v>-18981.55</v>
      </c>
      <c r="P23" s="322">
        <v>-12372.25</v>
      </c>
      <c r="Q23" s="302">
        <f t="shared" si="1"/>
        <v>244930.97999999998</v>
      </c>
    </row>
    <row r="24" spans="2:17" x14ac:dyDescent="0.2">
      <c r="B24" s="268" t="s">
        <v>368</v>
      </c>
      <c r="C24" s="318"/>
      <c r="D24" s="224"/>
      <c r="E24" s="320"/>
      <c r="F24" s="321"/>
      <c r="G24" s="322"/>
      <c r="H24" s="322"/>
      <c r="I24" s="322"/>
      <c r="J24" s="322"/>
      <c r="K24" s="322"/>
      <c r="L24" s="323">
        <f t="shared" si="2"/>
        <v>0</v>
      </c>
      <c r="M24" s="295">
        <v>1</v>
      </c>
      <c r="N24" s="291">
        <f t="shared" si="0"/>
        <v>0</v>
      </c>
      <c r="O24" s="322"/>
      <c r="P24" s="322"/>
      <c r="Q24" s="302">
        <f t="shared" si="1"/>
        <v>0</v>
      </c>
    </row>
    <row r="25" spans="2:17" x14ac:dyDescent="0.2">
      <c r="B25" s="324"/>
      <c r="C25" s="318"/>
      <c r="D25" s="224"/>
      <c r="E25" s="325"/>
      <c r="F25" s="326"/>
      <c r="G25" s="322"/>
      <c r="H25" s="322"/>
      <c r="I25" s="322"/>
      <c r="J25" s="322"/>
      <c r="K25" s="322"/>
      <c r="L25" s="323">
        <f t="shared" si="2"/>
        <v>0</v>
      </c>
      <c r="M25" s="295">
        <v>1</v>
      </c>
      <c r="N25" s="291">
        <f t="shared" si="0"/>
        <v>0</v>
      </c>
      <c r="O25" s="322"/>
      <c r="P25" s="322"/>
      <c r="Q25" s="302">
        <f t="shared" si="1"/>
        <v>0</v>
      </c>
    </row>
    <row r="26" spans="2:17" x14ac:dyDescent="0.2">
      <c r="B26" s="324"/>
      <c r="C26" s="318"/>
      <c r="D26" s="224"/>
      <c r="E26" s="325"/>
      <c r="F26" s="326"/>
      <c r="G26" s="322"/>
      <c r="H26" s="322"/>
      <c r="I26" s="322"/>
      <c r="J26" s="322"/>
      <c r="K26" s="322"/>
      <c r="L26" s="323">
        <f t="shared" si="2"/>
        <v>0</v>
      </c>
      <c r="M26" s="295">
        <v>1</v>
      </c>
      <c r="N26" s="291">
        <f t="shared" si="0"/>
        <v>0</v>
      </c>
      <c r="O26" s="322"/>
      <c r="P26" s="322"/>
      <c r="Q26" s="302">
        <f t="shared" si="1"/>
        <v>0</v>
      </c>
    </row>
    <row r="27" spans="2:17" x14ac:dyDescent="0.2">
      <c r="B27" s="324"/>
      <c r="C27" s="318"/>
      <c r="D27" s="224"/>
      <c r="E27" s="325"/>
      <c r="F27" s="326"/>
      <c r="G27" s="322"/>
      <c r="H27" s="322"/>
      <c r="I27" s="322"/>
      <c r="J27" s="322"/>
      <c r="K27" s="322"/>
      <c r="L27" s="323">
        <f t="shared" si="2"/>
        <v>0</v>
      </c>
      <c r="M27" s="295">
        <v>1</v>
      </c>
      <c r="N27" s="291">
        <f t="shared" si="0"/>
        <v>0</v>
      </c>
      <c r="O27" s="322"/>
      <c r="P27" s="322"/>
      <c r="Q27" s="302">
        <f t="shared" si="1"/>
        <v>0</v>
      </c>
    </row>
    <row r="28" spans="2:17" x14ac:dyDescent="0.2">
      <c r="B28" s="324"/>
      <c r="C28" s="318"/>
      <c r="D28" s="224"/>
      <c r="E28" s="325"/>
      <c r="F28" s="326"/>
      <c r="G28" s="322"/>
      <c r="H28" s="322"/>
      <c r="I28" s="322"/>
      <c r="J28" s="322"/>
      <c r="K28" s="322"/>
      <c r="L28" s="323">
        <f t="shared" si="2"/>
        <v>0</v>
      </c>
      <c r="M28" s="295">
        <v>1</v>
      </c>
      <c r="N28" s="291">
        <f t="shared" si="0"/>
        <v>0</v>
      </c>
      <c r="O28" s="322"/>
      <c r="P28" s="322"/>
      <c r="Q28" s="302">
        <f t="shared" si="1"/>
        <v>0</v>
      </c>
    </row>
    <row r="29" spans="2:17" x14ac:dyDescent="0.2">
      <c r="B29" s="324"/>
      <c r="C29" s="318"/>
      <c r="D29" s="224"/>
      <c r="E29" s="325"/>
      <c r="F29" s="326"/>
      <c r="G29" s="322"/>
      <c r="H29" s="322"/>
      <c r="I29" s="322"/>
      <c r="J29" s="322"/>
      <c r="K29" s="322"/>
      <c r="L29" s="323">
        <f t="shared" si="2"/>
        <v>0</v>
      </c>
      <c r="M29" s="295">
        <v>1</v>
      </c>
      <c r="N29" s="291">
        <f t="shared" si="0"/>
        <v>0</v>
      </c>
      <c r="O29" s="322"/>
      <c r="P29" s="322"/>
      <c r="Q29" s="302">
        <f t="shared" si="1"/>
        <v>0</v>
      </c>
    </row>
    <row r="30" spans="2:17" x14ac:dyDescent="0.2">
      <c r="B30" s="324"/>
      <c r="C30" s="318"/>
      <c r="D30" s="224"/>
      <c r="E30" s="325"/>
      <c r="F30" s="326"/>
      <c r="G30" s="322"/>
      <c r="H30" s="322"/>
      <c r="I30" s="322"/>
      <c r="J30" s="322"/>
      <c r="K30" s="322"/>
      <c r="L30" s="323">
        <f t="shared" si="2"/>
        <v>0</v>
      </c>
      <c r="M30" s="295">
        <v>1</v>
      </c>
      <c r="N30" s="291">
        <f t="shared" si="0"/>
        <v>0</v>
      </c>
      <c r="O30" s="322"/>
      <c r="P30" s="322"/>
      <c r="Q30" s="302">
        <f t="shared" si="1"/>
        <v>0</v>
      </c>
    </row>
    <row r="31" spans="2:17" x14ac:dyDescent="0.2">
      <c r="B31" s="324"/>
      <c r="C31" s="318"/>
      <c r="D31" s="224"/>
      <c r="E31" s="325"/>
      <c r="F31" s="326"/>
      <c r="G31" s="322"/>
      <c r="H31" s="322"/>
      <c r="I31" s="322"/>
      <c r="J31" s="322"/>
      <c r="K31" s="322"/>
      <c r="L31" s="323">
        <f t="shared" si="2"/>
        <v>0</v>
      </c>
      <c r="M31" s="295">
        <v>1</v>
      </c>
      <c r="N31" s="291">
        <f t="shared" si="0"/>
        <v>0</v>
      </c>
      <c r="O31" s="322"/>
      <c r="P31" s="322"/>
      <c r="Q31" s="302">
        <f t="shared" si="1"/>
        <v>0</v>
      </c>
    </row>
    <row r="32" spans="2:17" x14ac:dyDescent="0.2">
      <c r="B32" s="324"/>
      <c r="C32" s="318"/>
      <c r="D32" s="224"/>
      <c r="E32" s="325"/>
      <c r="F32" s="326"/>
      <c r="G32" s="322"/>
      <c r="H32" s="322"/>
      <c r="I32" s="322"/>
      <c r="J32" s="322"/>
      <c r="K32" s="322"/>
      <c r="L32" s="323">
        <f t="shared" si="2"/>
        <v>0</v>
      </c>
      <c r="M32" s="295">
        <v>1</v>
      </c>
      <c r="N32" s="291">
        <f t="shared" si="0"/>
        <v>0</v>
      </c>
      <c r="O32" s="322"/>
      <c r="P32" s="322"/>
      <c r="Q32" s="302">
        <f t="shared" si="1"/>
        <v>0</v>
      </c>
    </row>
    <row r="33" spans="2:17" x14ac:dyDescent="0.2">
      <c r="B33" s="324"/>
      <c r="C33" s="318"/>
      <c r="D33" s="224"/>
      <c r="E33" s="325"/>
      <c r="F33" s="326"/>
      <c r="G33" s="322"/>
      <c r="H33" s="322"/>
      <c r="I33" s="322"/>
      <c r="J33" s="322"/>
      <c r="K33" s="322"/>
      <c r="L33" s="323">
        <f t="shared" si="2"/>
        <v>0</v>
      </c>
      <c r="M33" s="295">
        <v>1</v>
      </c>
      <c r="N33" s="291">
        <f t="shared" si="0"/>
        <v>0</v>
      </c>
      <c r="O33" s="322"/>
      <c r="P33" s="322"/>
      <c r="Q33" s="302">
        <f t="shared" si="1"/>
        <v>0</v>
      </c>
    </row>
    <row r="34" spans="2:17" x14ac:dyDescent="0.2">
      <c r="B34" s="324"/>
      <c r="C34" s="318"/>
      <c r="D34" s="224"/>
      <c r="E34" s="325"/>
      <c r="F34" s="326"/>
      <c r="G34" s="322"/>
      <c r="H34" s="322"/>
      <c r="I34" s="322"/>
      <c r="J34" s="322"/>
      <c r="K34" s="322"/>
      <c r="L34" s="323">
        <f t="shared" si="2"/>
        <v>0</v>
      </c>
      <c r="M34" s="295">
        <v>1</v>
      </c>
      <c r="N34" s="291">
        <f t="shared" si="0"/>
        <v>0</v>
      </c>
      <c r="O34" s="322"/>
      <c r="P34" s="322"/>
      <c r="Q34" s="302">
        <f t="shared" si="1"/>
        <v>0</v>
      </c>
    </row>
    <row r="35" spans="2:17" x14ac:dyDescent="0.2">
      <c r="B35" s="324"/>
      <c r="C35" s="318"/>
      <c r="D35" s="224"/>
      <c r="E35" s="325"/>
      <c r="F35" s="326"/>
      <c r="G35" s="322"/>
      <c r="H35" s="322"/>
      <c r="I35" s="322"/>
      <c r="J35" s="322"/>
      <c r="K35" s="322"/>
      <c r="L35" s="323">
        <f t="shared" si="2"/>
        <v>0</v>
      </c>
      <c r="M35" s="295">
        <v>1</v>
      </c>
      <c r="N35" s="291">
        <f t="shared" si="0"/>
        <v>0</v>
      </c>
      <c r="O35" s="322"/>
      <c r="P35" s="322"/>
      <c r="Q35" s="302">
        <f t="shared" si="1"/>
        <v>0</v>
      </c>
    </row>
    <row r="36" spans="2:17" x14ac:dyDescent="0.2">
      <c r="B36" s="324"/>
      <c r="C36" s="318"/>
      <c r="D36" s="224"/>
      <c r="E36" s="325"/>
      <c r="F36" s="326"/>
      <c r="G36" s="322"/>
      <c r="H36" s="322"/>
      <c r="I36" s="322"/>
      <c r="J36" s="322"/>
      <c r="K36" s="322"/>
      <c r="L36" s="323">
        <f t="shared" si="2"/>
        <v>0</v>
      </c>
      <c r="M36" s="295">
        <v>1</v>
      </c>
      <c r="N36" s="291">
        <f t="shared" si="0"/>
        <v>0</v>
      </c>
      <c r="O36" s="322"/>
      <c r="P36" s="322"/>
      <c r="Q36" s="302">
        <f t="shared" si="1"/>
        <v>0</v>
      </c>
    </row>
    <row r="37" spans="2:17" x14ac:dyDescent="0.2">
      <c r="B37" s="324"/>
      <c r="C37" s="318"/>
      <c r="D37" s="224"/>
      <c r="E37" s="325"/>
      <c r="F37" s="326"/>
      <c r="G37" s="322"/>
      <c r="H37" s="322"/>
      <c r="I37" s="322"/>
      <c r="J37" s="322"/>
      <c r="K37" s="322"/>
      <c r="L37" s="323">
        <f t="shared" si="2"/>
        <v>0</v>
      </c>
      <c r="M37" s="295">
        <v>1</v>
      </c>
      <c r="N37" s="291">
        <f t="shared" si="0"/>
        <v>0</v>
      </c>
      <c r="O37" s="322"/>
      <c r="P37" s="322"/>
      <c r="Q37" s="302">
        <f t="shared" si="1"/>
        <v>0</v>
      </c>
    </row>
    <row r="38" spans="2:17" x14ac:dyDescent="0.2">
      <c r="B38" s="324"/>
      <c r="C38" s="318"/>
      <c r="D38" s="224"/>
      <c r="E38" s="325"/>
      <c r="F38" s="326"/>
      <c r="G38" s="322"/>
      <c r="H38" s="322"/>
      <c r="I38" s="322"/>
      <c r="J38" s="322"/>
      <c r="K38" s="322"/>
      <c r="L38" s="323">
        <f t="shared" si="2"/>
        <v>0</v>
      </c>
      <c r="M38" s="295">
        <v>1</v>
      </c>
      <c r="N38" s="291">
        <f t="shared" si="0"/>
        <v>0</v>
      </c>
      <c r="O38" s="322"/>
      <c r="P38" s="322"/>
      <c r="Q38" s="302">
        <f t="shared" si="1"/>
        <v>0</v>
      </c>
    </row>
    <row r="39" spans="2:17" x14ac:dyDescent="0.2">
      <c r="B39" s="324"/>
      <c r="C39" s="318"/>
      <c r="D39" s="224"/>
      <c r="E39" s="325"/>
      <c r="F39" s="326"/>
      <c r="G39" s="322"/>
      <c r="H39" s="322"/>
      <c r="I39" s="322"/>
      <c r="J39" s="322"/>
      <c r="K39" s="322"/>
      <c r="L39" s="323">
        <f t="shared" si="2"/>
        <v>0</v>
      </c>
      <c r="M39" s="295">
        <v>1</v>
      </c>
      <c r="N39" s="291">
        <f t="shared" si="0"/>
        <v>0</v>
      </c>
      <c r="O39" s="322"/>
      <c r="P39" s="322"/>
      <c r="Q39" s="302">
        <f t="shared" si="1"/>
        <v>0</v>
      </c>
    </row>
    <row r="40" spans="2:17" x14ac:dyDescent="0.2">
      <c r="B40" s="324"/>
      <c r="C40" s="318"/>
      <c r="D40" s="224"/>
      <c r="E40" s="325"/>
      <c r="F40" s="326"/>
      <c r="G40" s="322"/>
      <c r="H40" s="322"/>
      <c r="I40" s="322"/>
      <c r="J40" s="322"/>
      <c r="K40" s="322"/>
      <c r="L40" s="323">
        <f t="shared" si="2"/>
        <v>0</v>
      </c>
      <c r="M40" s="295">
        <v>1</v>
      </c>
      <c r="N40" s="291">
        <f t="shared" si="0"/>
        <v>0</v>
      </c>
      <c r="O40" s="322"/>
      <c r="P40" s="322"/>
      <c r="Q40" s="302">
        <f t="shared" si="1"/>
        <v>0</v>
      </c>
    </row>
    <row r="41" spans="2:17" x14ac:dyDescent="0.2">
      <c r="B41" s="324"/>
      <c r="C41" s="318"/>
      <c r="D41" s="224"/>
      <c r="E41" s="325"/>
      <c r="F41" s="326"/>
      <c r="G41" s="322"/>
      <c r="H41" s="322"/>
      <c r="I41" s="322"/>
      <c r="J41" s="322"/>
      <c r="K41" s="322"/>
      <c r="L41" s="323">
        <f t="shared" si="2"/>
        <v>0</v>
      </c>
      <c r="M41" s="295">
        <v>1</v>
      </c>
      <c r="N41" s="291">
        <f t="shared" si="0"/>
        <v>0</v>
      </c>
      <c r="O41" s="322"/>
      <c r="P41" s="322"/>
      <c r="Q41" s="302">
        <f t="shared" si="1"/>
        <v>0</v>
      </c>
    </row>
    <row r="42" spans="2:17" x14ac:dyDescent="0.2">
      <c r="B42" s="324"/>
      <c r="C42" s="318"/>
      <c r="D42" s="224"/>
      <c r="E42" s="325"/>
      <c r="F42" s="326"/>
      <c r="G42" s="322"/>
      <c r="H42" s="322"/>
      <c r="I42" s="322"/>
      <c r="J42" s="322"/>
      <c r="K42" s="322"/>
      <c r="L42" s="323">
        <f t="shared" si="2"/>
        <v>0</v>
      </c>
      <c r="M42" s="295">
        <v>1</v>
      </c>
      <c r="N42" s="291">
        <f t="shared" si="0"/>
        <v>0</v>
      </c>
      <c r="O42" s="322"/>
      <c r="P42" s="322"/>
      <c r="Q42" s="302">
        <f t="shared" si="1"/>
        <v>0</v>
      </c>
    </row>
    <row r="43" spans="2:17" x14ac:dyDescent="0.2">
      <c r="B43" s="324"/>
      <c r="C43" s="318"/>
      <c r="D43" s="224"/>
      <c r="E43" s="325"/>
      <c r="F43" s="326"/>
      <c r="G43" s="322"/>
      <c r="H43" s="322"/>
      <c r="I43" s="322"/>
      <c r="J43" s="322"/>
      <c r="K43" s="322"/>
      <c r="L43" s="323">
        <f t="shared" si="2"/>
        <v>0</v>
      </c>
      <c r="M43" s="295">
        <v>1</v>
      </c>
      <c r="N43" s="291">
        <f t="shared" si="0"/>
        <v>0</v>
      </c>
      <c r="O43" s="322"/>
      <c r="P43" s="322"/>
      <c r="Q43" s="302">
        <f t="shared" si="1"/>
        <v>0</v>
      </c>
    </row>
    <row r="44" spans="2:17" x14ac:dyDescent="0.2">
      <c r="B44" s="324"/>
      <c r="C44" s="318"/>
      <c r="D44" s="224"/>
      <c r="E44" s="325"/>
      <c r="F44" s="326"/>
      <c r="G44" s="322"/>
      <c r="H44" s="322"/>
      <c r="I44" s="322"/>
      <c r="J44" s="322"/>
      <c r="K44" s="322"/>
      <c r="L44" s="323">
        <f t="shared" si="2"/>
        <v>0</v>
      </c>
      <c r="M44" s="295">
        <v>1</v>
      </c>
      <c r="N44" s="291">
        <f t="shared" si="0"/>
        <v>0</v>
      </c>
      <c r="O44" s="322"/>
      <c r="P44" s="322"/>
      <c r="Q44" s="302">
        <f t="shared" si="1"/>
        <v>0</v>
      </c>
    </row>
    <row r="45" spans="2:17" x14ac:dyDescent="0.2">
      <c r="B45" s="324"/>
      <c r="C45" s="318"/>
      <c r="D45" s="224"/>
      <c r="E45" s="325"/>
      <c r="F45" s="326"/>
      <c r="G45" s="322"/>
      <c r="H45" s="322"/>
      <c r="I45" s="322"/>
      <c r="J45" s="322"/>
      <c r="K45" s="322"/>
      <c r="L45" s="323">
        <f t="shared" si="2"/>
        <v>0</v>
      </c>
      <c r="M45" s="295">
        <v>1</v>
      </c>
      <c r="N45" s="291">
        <f t="shared" si="0"/>
        <v>0</v>
      </c>
      <c r="O45" s="322"/>
      <c r="P45" s="322"/>
      <c r="Q45" s="302">
        <f t="shared" si="1"/>
        <v>0</v>
      </c>
    </row>
    <row r="46" spans="2:17" x14ac:dyDescent="0.2">
      <c r="B46" s="324"/>
      <c r="C46" s="318"/>
      <c r="D46" s="224"/>
      <c r="E46" s="325"/>
      <c r="F46" s="326"/>
      <c r="G46" s="322"/>
      <c r="H46" s="322"/>
      <c r="I46" s="322"/>
      <c r="J46" s="322"/>
      <c r="K46" s="322"/>
      <c r="L46" s="323">
        <f t="shared" si="2"/>
        <v>0</v>
      </c>
      <c r="M46" s="295">
        <v>1</v>
      </c>
      <c r="N46" s="291">
        <f t="shared" si="0"/>
        <v>0</v>
      </c>
      <c r="O46" s="322"/>
      <c r="P46" s="322"/>
      <c r="Q46" s="302">
        <f t="shared" si="1"/>
        <v>0</v>
      </c>
    </row>
    <row r="47" spans="2:17" x14ac:dyDescent="0.2">
      <c r="B47" s="324"/>
      <c r="C47" s="318"/>
      <c r="D47" s="224"/>
      <c r="E47" s="325"/>
      <c r="F47" s="326"/>
      <c r="G47" s="322"/>
      <c r="H47" s="322"/>
      <c r="I47" s="322"/>
      <c r="J47" s="322"/>
      <c r="K47" s="322"/>
      <c r="L47" s="323">
        <f t="shared" si="2"/>
        <v>0</v>
      </c>
      <c r="M47" s="295">
        <v>1</v>
      </c>
      <c r="N47" s="291">
        <f t="shared" si="0"/>
        <v>0</v>
      </c>
      <c r="O47" s="322"/>
      <c r="P47" s="322"/>
      <c r="Q47" s="302">
        <f t="shared" si="1"/>
        <v>0</v>
      </c>
    </row>
    <row r="48" spans="2:17" x14ac:dyDescent="0.2">
      <c r="B48" s="324"/>
      <c r="C48" s="318"/>
      <c r="D48" s="224"/>
      <c r="E48" s="325"/>
      <c r="F48" s="326"/>
      <c r="G48" s="322"/>
      <c r="H48" s="322"/>
      <c r="I48" s="322"/>
      <c r="J48" s="322"/>
      <c r="K48" s="322"/>
      <c r="L48" s="323">
        <f t="shared" si="2"/>
        <v>0</v>
      </c>
      <c r="M48" s="295">
        <v>1</v>
      </c>
      <c r="N48" s="291">
        <f t="shared" si="0"/>
        <v>0</v>
      </c>
      <c r="O48" s="322"/>
      <c r="P48" s="322"/>
      <c r="Q48" s="302">
        <f t="shared" si="1"/>
        <v>0</v>
      </c>
    </row>
    <row r="49" spans="2:17" x14ac:dyDescent="0.2">
      <c r="B49" s="324"/>
      <c r="C49" s="318"/>
      <c r="D49" s="224"/>
      <c r="E49" s="325"/>
      <c r="F49" s="326"/>
      <c r="G49" s="322"/>
      <c r="H49" s="322"/>
      <c r="I49" s="322"/>
      <c r="J49" s="322"/>
      <c r="K49" s="322"/>
      <c r="L49" s="323">
        <f t="shared" si="2"/>
        <v>0</v>
      </c>
      <c r="M49" s="295">
        <v>1</v>
      </c>
      <c r="N49" s="291">
        <f t="shared" si="0"/>
        <v>0</v>
      </c>
      <c r="O49" s="322"/>
      <c r="P49" s="322"/>
      <c r="Q49" s="302">
        <f t="shared" si="1"/>
        <v>0</v>
      </c>
    </row>
    <row r="50" spans="2:17" x14ac:dyDescent="0.2">
      <c r="B50" s="324"/>
      <c r="C50" s="318"/>
      <c r="D50" s="224"/>
      <c r="E50" s="325"/>
      <c r="F50" s="326"/>
      <c r="G50" s="322"/>
      <c r="H50" s="322"/>
      <c r="I50" s="322"/>
      <c r="J50" s="322"/>
      <c r="K50" s="322"/>
      <c r="L50" s="323">
        <f t="shared" si="2"/>
        <v>0</v>
      </c>
      <c r="M50" s="295">
        <v>1</v>
      </c>
      <c r="N50" s="291">
        <f t="shared" si="0"/>
        <v>0</v>
      </c>
      <c r="O50" s="322"/>
      <c r="P50" s="322"/>
      <c r="Q50" s="302">
        <f t="shared" si="1"/>
        <v>0</v>
      </c>
    </row>
    <row r="51" spans="2:17" x14ac:dyDescent="0.2">
      <c r="B51" s="324"/>
      <c r="C51" s="318"/>
      <c r="D51" s="224"/>
      <c r="E51" s="325"/>
      <c r="F51" s="326"/>
      <c r="G51" s="322"/>
      <c r="H51" s="322"/>
      <c r="I51" s="322"/>
      <c r="J51" s="322"/>
      <c r="K51" s="322"/>
      <c r="L51" s="323">
        <f t="shared" si="2"/>
        <v>0</v>
      </c>
      <c r="M51" s="295">
        <v>1</v>
      </c>
      <c r="N51" s="291">
        <f t="shared" si="0"/>
        <v>0</v>
      </c>
      <c r="O51" s="322"/>
      <c r="P51" s="322"/>
      <c r="Q51" s="302">
        <f t="shared" si="1"/>
        <v>0</v>
      </c>
    </row>
    <row r="52" spans="2:17" x14ac:dyDescent="0.2">
      <c r="B52" s="324"/>
      <c r="C52" s="318"/>
      <c r="D52" s="224"/>
      <c r="E52" s="325"/>
      <c r="F52" s="326"/>
      <c r="G52" s="322"/>
      <c r="H52" s="322"/>
      <c r="I52" s="322"/>
      <c r="J52" s="322"/>
      <c r="K52" s="322"/>
      <c r="L52" s="323">
        <f t="shared" si="2"/>
        <v>0</v>
      </c>
      <c r="M52" s="295">
        <v>1</v>
      </c>
      <c r="N52" s="291">
        <f t="shared" si="0"/>
        <v>0</v>
      </c>
      <c r="O52" s="322"/>
      <c r="P52" s="322"/>
      <c r="Q52" s="302">
        <f t="shared" si="1"/>
        <v>0</v>
      </c>
    </row>
    <row r="53" spans="2:17" x14ac:dyDescent="0.2">
      <c r="B53" s="324"/>
      <c r="C53" s="318"/>
      <c r="D53" s="224"/>
      <c r="E53" s="325"/>
      <c r="F53" s="326"/>
      <c r="G53" s="322"/>
      <c r="H53" s="322"/>
      <c r="I53" s="322"/>
      <c r="J53" s="322"/>
      <c r="K53" s="322"/>
      <c r="L53" s="323">
        <f t="shared" si="2"/>
        <v>0</v>
      </c>
      <c r="M53" s="295">
        <v>1</v>
      </c>
      <c r="N53" s="291">
        <f t="shared" si="0"/>
        <v>0</v>
      </c>
      <c r="O53" s="322"/>
      <c r="P53" s="322"/>
      <c r="Q53" s="302">
        <f t="shared" si="1"/>
        <v>0</v>
      </c>
    </row>
    <row r="54" spans="2:17" x14ac:dyDescent="0.2">
      <c r="B54" s="324"/>
      <c r="C54" s="318"/>
      <c r="D54" s="224"/>
      <c r="E54" s="325"/>
      <c r="F54" s="326"/>
      <c r="G54" s="322"/>
      <c r="H54" s="322"/>
      <c r="I54" s="322"/>
      <c r="J54" s="322"/>
      <c r="K54" s="322"/>
      <c r="L54" s="323">
        <f t="shared" si="2"/>
        <v>0</v>
      </c>
      <c r="M54" s="295">
        <v>1</v>
      </c>
      <c r="N54" s="291">
        <f t="shared" si="0"/>
        <v>0</v>
      </c>
      <c r="O54" s="322"/>
      <c r="P54" s="322"/>
      <c r="Q54" s="302">
        <f>SUM(N54:P54)</f>
        <v>0</v>
      </c>
    </row>
    <row r="55" spans="2:17" x14ac:dyDescent="0.2">
      <c r="B55" s="324"/>
      <c r="C55" s="318"/>
      <c r="D55" s="224"/>
      <c r="E55" s="325"/>
      <c r="F55" s="326"/>
      <c r="G55" s="322"/>
      <c r="H55" s="322"/>
      <c r="I55" s="322"/>
      <c r="J55" s="322"/>
      <c r="K55" s="322"/>
      <c r="L55" s="323">
        <f t="shared" si="2"/>
        <v>0</v>
      </c>
      <c r="M55" s="295">
        <v>1</v>
      </c>
      <c r="N55" s="291">
        <f t="shared" si="0"/>
        <v>0</v>
      </c>
      <c r="O55" s="322"/>
      <c r="P55" s="322"/>
      <c r="Q55" s="302">
        <f t="shared" si="1"/>
        <v>0</v>
      </c>
    </row>
    <row r="56" spans="2:17" x14ac:dyDescent="0.2">
      <c r="B56" s="324"/>
      <c r="C56" s="318"/>
      <c r="D56" s="224"/>
      <c r="E56" s="325"/>
      <c r="F56" s="326"/>
      <c r="G56" s="322"/>
      <c r="H56" s="322"/>
      <c r="I56" s="322"/>
      <c r="J56" s="322"/>
      <c r="K56" s="322"/>
      <c r="L56" s="323">
        <f t="shared" si="2"/>
        <v>0</v>
      </c>
      <c r="M56" s="295">
        <v>1</v>
      </c>
      <c r="N56" s="291">
        <f t="shared" si="0"/>
        <v>0</v>
      </c>
      <c r="O56" s="322"/>
      <c r="P56" s="322"/>
      <c r="Q56" s="302">
        <f t="shared" si="1"/>
        <v>0</v>
      </c>
    </row>
    <row r="57" spans="2:17" x14ac:dyDescent="0.2">
      <c r="B57" s="324"/>
      <c r="C57" s="318"/>
      <c r="D57" s="224"/>
      <c r="E57" s="325"/>
      <c r="F57" s="326"/>
      <c r="G57" s="322"/>
      <c r="H57" s="322"/>
      <c r="I57" s="322"/>
      <c r="J57" s="322"/>
      <c r="K57" s="322"/>
      <c r="L57" s="323">
        <f t="shared" si="2"/>
        <v>0</v>
      </c>
      <c r="M57" s="295">
        <v>1</v>
      </c>
      <c r="N57" s="291">
        <f t="shared" si="0"/>
        <v>0</v>
      </c>
      <c r="O57" s="322"/>
      <c r="P57" s="322"/>
      <c r="Q57" s="302">
        <f>SUM(N57:P57)</f>
        <v>0</v>
      </c>
    </row>
    <row r="58" spans="2:17" x14ac:dyDescent="0.2">
      <c r="B58" s="324"/>
      <c r="C58" s="318"/>
      <c r="D58" s="224"/>
      <c r="E58" s="325"/>
      <c r="F58" s="326"/>
      <c r="G58" s="322"/>
      <c r="H58" s="322"/>
      <c r="I58" s="322"/>
      <c r="J58" s="322"/>
      <c r="K58" s="322"/>
      <c r="L58" s="323">
        <f t="shared" si="2"/>
        <v>0</v>
      </c>
      <c r="M58" s="295">
        <v>1</v>
      </c>
      <c r="N58" s="291">
        <f t="shared" si="0"/>
        <v>0</v>
      </c>
      <c r="O58" s="322"/>
      <c r="P58" s="322"/>
      <c r="Q58" s="302">
        <f t="shared" si="1"/>
        <v>0</v>
      </c>
    </row>
    <row r="59" spans="2:17" x14ac:dyDescent="0.2">
      <c r="B59" s="327"/>
      <c r="C59" s="17" t="s">
        <v>261</v>
      </c>
      <c r="D59" s="17"/>
      <c r="E59" s="18"/>
      <c r="F59" s="19"/>
      <c r="G59" s="15">
        <f t="shared" ref="G59:L59" si="3">SUM(G15:G58)</f>
        <v>0</v>
      </c>
      <c r="H59" s="15">
        <f t="shared" si="3"/>
        <v>63597033.830000006</v>
      </c>
      <c r="I59" s="15">
        <f t="shared" si="3"/>
        <v>18406553.979999997</v>
      </c>
      <c r="J59" s="15">
        <f t="shared" si="3"/>
        <v>0</v>
      </c>
      <c r="K59" s="15">
        <f t="shared" si="3"/>
        <v>0</v>
      </c>
      <c r="L59" s="15">
        <f t="shared" si="3"/>
        <v>82003587.810000002</v>
      </c>
      <c r="M59" s="108"/>
      <c r="N59" s="108">
        <f>SUM(N15:N58)</f>
        <v>82003587.810000002</v>
      </c>
      <c r="O59" s="15">
        <f>SUM(O15:O58)</f>
        <v>-12927602.859999999</v>
      </c>
      <c r="P59" s="15">
        <f>SUM(P15:P58)</f>
        <v>-2582501.84</v>
      </c>
      <c r="Q59" s="15">
        <f>SUM(Q15:Q58)</f>
        <v>66493483.110000014</v>
      </c>
    </row>
    <row r="62" spans="2:17" ht="15.75" x14ac:dyDescent="0.25">
      <c r="B62" s="162" t="s">
        <v>369</v>
      </c>
    </row>
    <row r="64" spans="2:17" ht="46.5" customHeight="1" x14ac:dyDescent="0.2">
      <c r="B64" s="52" t="s">
        <v>131</v>
      </c>
      <c r="C64" s="53" t="s">
        <v>132</v>
      </c>
      <c r="D64" s="53" t="s">
        <v>343</v>
      </c>
      <c r="E64" s="53" t="s">
        <v>370</v>
      </c>
      <c r="F64" s="53" t="s">
        <v>356</v>
      </c>
      <c r="G64" s="54" t="s">
        <v>231</v>
      </c>
      <c r="H64" s="54" t="s">
        <v>358</v>
      </c>
      <c r="I64" s="54" t="s">
        <v>359</v>
      </c>
      <c r="J64" s="54" t="s">
        <v>360</v>
      </c>
      <c r="K64" s="54" t="s">
        <v>361</v>
      </c>
      <c r="L64" s="53" t="s">
        <v>362</v>
      </c>
      <c r="M64" s="53" t="s">
        <v>363</v>
      </c>
      <c r="N64" s="54" t="s">
        <v>364</v>
      </c>
      <c r="O64" s="54" t="s">
        <v>371</v>
      </c>
      <c r="P64" s="32" t="s">
        <v>366</v>
      </c>
    </row>
    <row r="65" spans="2:16" x14ac:dyDescent="0.2">
      <c r="B65" s="63"/>
      <c r="C65" s="55"/>
      <c r="D65" s="55"/>
      <c r="E65" s="55"/>
      <c r="F65" s="55" t="s">
        <v>367</v>
      </c>
      <c r="G65" s="55" t="s">
        <v>134</v>
      </c>
      <c r="H65" s="55" t="s">
        <v>134</v>
      </c>
      <c r="I65" s="55" t="s">
        <v>134</v>
      </c>
      <c r="J65" s="55" t="s">
        <v>134</v>
      </c>
      <c r="K65" s="55" t="s">
        <v>134</v>
      </c>
      <c r="L65" s="55"/>
      <c r="M65" s="55" t="s">
        <v>134</v>
      </c>
      <c r="N65" s="55" t="s">
        <v>134</v>
      </c>
      <c r="O65" s="55" t="s">
        <v>134</v>
      </c>
      <c r="P65" s="55" t="s">
        <v>134</v>
      </c>
    </row>
    <row r="66" spans="2:16" x14ac:dyDescent="0.2">
      <c r="B66" s="350" t="s">
        <v>888</v>
      </c>
      <c r="C66" s="318" t="s">
        <v>381</v>
      </c>
      <c r="D66" s="318" t="s">
        <v>263</v>
      </c>
      <c r="E66" s="329" t="str">
        <f>'3.3 Asset useful life'!D28</f>
        <v>11/5/2018 to 30/6/2025</v>
      </c>
      <c r="F66" s="321">
        <f>'3.3 Asset useful life'!E28</f>
        <v>3.4323791017076388</v>
      </c>
      <c r="G66" s="322">
        <v>2098699.5809737528</v>
      </c>
      <c r="H66" s="322">
        <v>534097.2103674165</v>
      </c>
      <c r="I66" s="322"/>
      <c r="J66" s="322">
        <v>-5867.9186406858944</v>
      </c>
      <c r="K66" s="323">
        <f>SUM(G66:J66)</f>
        <v>2626928.8727004835</v>
      </c>
      <c r="L66" s="295">
        <v>1</v>
      </c>
      <c r="M66" s="291">
        <f>K66*L66</f>
        <v>2626928.8727004835</v>
      </c>
      <c r="N66" s="322">
        <v>-1569467.0772168618</v>
      </c>
      <c r="O66" s="322">
        <v>-304786.11719686363</v>
      </c>
      <c r="P66" s="302">
        <f>SUM(M66:O66)</f>
        <v>752675.67828675814</v>
      </c>
    </row>
    <row r="67" spans="2:16" x14ac:dyDescent="0.2">
      <c r="B67" s="350" t="s">
        <v>888</v>
      </c>
      <c r="C67" s="318" t="s">
        <v>265</v>
      </c>
      <c r="D67" s="318" t="s">
        <v>265</v>
      </c>
      <c r="E67" s="329" t="str">
        <f>'3.3 Asset useful life'!D34</f>
        <v>1/7/2019 to 30/6/2025</v>
      </c>
      <c r="F67" s="321" t="str">
        <f>'3.3 Asset useful life'!E34</f>
        <v>Various</v>
      </c>
      <c r="G67" s="322">
        <v>418096.75890015374</v>
      </c>
      <c r="H67" s="322">
        <v>71691.935948333194</v>
      </c>
      <c r="I67" s="322">
        <v>0</v>
      </c>
      <c r="J67" s="322">
        <v>-1619.8643031364145</v>
      </c>
      <c r="K67" s="323">
        <f t="shared" ref="K67:K83" si="4">SUM(G67:J67)</f>
        <v>488168.8305453505</v>
      </c>
      <c r="L67" s="295">
        <v>1</v>
      </c>
      <c r="M67" s="291">
        <f t="shared" ref="M67:M83" si="5">K67*L67</f>
        <v>488168.8305453505</v>
      </c>
      <c r="N67" s="322">
        <v>-213330.03805208742</v>
      </c>
      <c r="O67" s="322">
        <v>-68368.135086713519</v>
      </c>
      <c r="P67" s="302">
        <f t="shared" ref="P67:P82" si="6">SUM(M67:O67)</f>
        <v>206470.65740654955</v>
      </c>
    </row>
    <row r="68" spans="2:16" x14ac:dyDescent="0.2">
      <c r="B68" s="328"/>
      <c r="C68" s="318"/>
      <c r="D68" s="318"/>
      <c r="E68" s="320"/>
      <c r="F68" s="321"/>
      <c r="G68" s="322"/>
      <c r="H68" s="322"/>
      <c r="I68" s="322"/>
      <c r="J68" s="322"/>
      <c r="K68" s="323">
        <f t="shared" si="4"/>
        <v>0</v>
      </c>
      <c r="L68" s="295">
        <v>1</v>
      </c>
      <c r="M68" s="291">
        <f t="shared" si="5"/>
        <v>0</v>
      </c>
      <c r="N68" s="322"/>
      <c r="O68" s="322"/>
      <c r="P68" s="302">
        <f t="shared" si="6"/>
        <v>0</v>
      </c>
    </row>
    <row r="69" spans="2:16" x14ac:dyDescent="0.2">
      <c r="B69" s="328"/>
      <c r="C69" s="318"/>
      <c r="D69" s="318"/>
      <c r="E69" s="325"/>
      <c r="F69" s="326"/>
      <c r="G69" s="322"/>
      <c r="H69" s="322"/>
      <c r="I69" s="322"/>
      <c r="J69" s="322"/>
      <c r="K69" s="323">
        <f t="shared" si="4"/>
        <v>0</v>
      </c>
      <c r="L69" s="295">
        <v>1</v>
      </c>
      <c r="M69" s="291">
        <f t="shared" si="5"/>
        <v>0</v>
      </c>
      <c r="N69" s="322"/>
      <c r="O69" s="322"/>
      <c r="P69" s="302">
        <f t="shared" si="6"/>
        <v>0</v>
      </c>
    </row>
    <row r="70" spans="2:16" x14ac:dyDescent="0.2">
      <c r="B70" s="328"/>
      <c r="C70" s="318"/>
      <c r="D70" s="318"/>
      <c r="E70" s="325"/>
      <c r="F70" s="326"/>
      <c r="G70" s="322"/>
      <c r="H70" s="322"/>
      <c r="I70" s="322"/>
      <c r="J70" s="322"/>
      <c r="K70" s="323">
        <f t="shared" si="4"/>
        <v>0</v>
      </c>
      <c r="L70" s="295">
        <v>1</v>
      </c>
      <c r="M70" s="291">
        <f t="shared" si="5"/>
        <v>0</v>
      </c>
      <c r="N70" s="322"/>
      <c r="O70" s="322"/>
      <c r="P70" s="302">
        <f t="shared" si="6"/>
        <v>0</v>
      </c>
    </row>
    <row r="71" spans="2:16" x14ac:dyDescent="0.2">
      <c r="B71" s="328"/>
      <c r="C71" s="318"/>
      <c r="D71" s="318"/>
      <c r="E71" s="325"/>
      <c r="F71" s="326"/>
      <c r="G71" s="322"/>
      <c r="H71" s="322"/>
      <c r="I71" s="322"/>
      <c r="J71" s="322"/>
      <c r="K71" s="323">
        <f t="shared" si="4"/>
        <v>0</v>
      </c>
      <c r="L71" s="295">
        <v>1</v>
      </c>
      <c r="M71" s="291">
        <f t="shared" si="5"/>
        <v>0</v>
      </c>
      <c r="N71" s="322"/>
      <c r="O71" s="322"/>
      <c r="P71" s="302">
        <f t="shared" si="6"/>
        <v>0</v>
      </c>
    </row>
    <row r="72" spans="2:16" x14ac:dyDescent="0.2">
      <c r="B72" s="328"/>
      <c r="C72" s="318"/>
      <c r="D72" s="318"/>
      <c r="E72" s="325"/>
      <c r="F72" s="326"/>
      <c r="G72" s="322"/>
      <c r="H72" s="322"/>
      <c r="I72" s="322"/>
      <c r="J72" s="322"/>
      <c r="K72" s="323">
        <f t="shared" si="4"/>
        <v>0</v>
      </c>
      <c r="L72" s="295">
        <v>1</v>
      </c>
      <c r="M72" s="291">
        <f t="shared" si="5"/>
        <v>0</v>
      </c>
      <c r="N72" s="322"/>
      <c r="O72" s="322"/>
      <c r="P72" s="302">
        <f t="shared" si="6"/>
        <v>0</v>
      </c>
    </row>
    <row r="73" spans="2:16" x14ac:dyDescent="0.2">
      <c r="B73" s="328"/>
      <c r="C73" s="318"/>
      <c r="D73" s="318"/>
      <c r="E73" s="325"/>
      <c r="F73" s="326"/>
      <c r="G73" s="322"/>
      <c r="H73" s="322"/>
      <c r="I73" s="322"/>
      <c r="J73" s="322"/>
      <c r="K73" s="323">
        <f t="shared" si="4"/>
        <v>0</v>
      </c>
      <c r="L73" s="295">
        <v>1</v>
      </c>
      <c r="M73" s="291">
        <f t="shared" si="5"/>
        <v>0</v>
      </c>
      <c r="N73" s="322"/>
      <c r="O73" s="322"/>
      <c r="P73" s="302">
        <f t="shared" si="6"/>
        <v>0</v>
      </c>
    </row>
    <row r="74" spans="2:16" x14ac:dyDescent="0.2">
      <c r="B74" s="328"/>
      <c r="C74" s="318"/>
      <c r="D74" s="318"/>
      <c r="E74" s="325"/>
      <c r="F74" s="326"/>
      <c r="G74" s="322"/>
      <c r="H74" s="322"/>
      <c r="I74" s="322"/>
      <c r="J74" s="322"/>
      <c r="K74" s="323">
        <f t="shared" si="4"/>
        <v>0</v>
      </c>
      <c r="L74" s="295">
        <v>1</v>
      </c>
      <c r="M74" s="291">
        <f t="shared" si="5"/>
        <v>0</v>
      </c>
      <c r="N74" s="322"/>
      <c r="O74" s="322"/>
      <c r="P74" s="302">
        <f t="shared" si="6"/>
        <v>0</v>
      </c>
    </row>
    <row r="75" spans="2:16" x14ac:dyDescent="0.2">
      <c r="B75" s="328"/>
      <c r="C75" s="318"/>
      <c r="D75" s="318"/>
      <c r="E75" s="325"/>
      <c r="F75" s="326"/>
      <c r="G75" s="322"/>
      <c r="H75" s="322"/>
      <c r="I75" s="322"/>
      <c r="J75" s="322"/>
      <c r="K75" s="323">
        <f t="shared" si="4"/>
        <v>0</v>
      </c>
      <c r="L75" s="295">
        <v>1</v>
      </c>
      <c r="M75" s="291">
        <f t="shared" si="5"/>
        <v>0</v>
      </c>
      <c r="N75" s="322"/>
      <c r="O75" s="322"/>
      <c r="P75" s="302">
        <f t="shared" si="6"/>
        <v>0</v>
      </c>
    </row>
    <row r="76" spans="2:16" x14ac:dyDescent="0.2">
      <c r="B76" s="328"/>
      <c r="C76" s="318"/>
      <c r="D76" s="318"/>
      <c r="E76" s="325"/>
      <c r="F76" s="326"/>
      <c r="G76" s="322"/>
      <c r="H76" s="322"/>
      <c r="I76" s="322"/>
      <c r="J76" s="322"/>
      <c r="K76" s="323">
        <f t="shared" si="4"/>
        <v>0</v>
      </c>
      <c r="L76" s="295">
        <v>1</v>
      </c>
      <c r="M76" s="291">
        <f t="shared" si="5"/>
        <v>0</v>
      </c>
      <c r="N76" s="322"/>
      <c r="O76" s="322"/>
      <c r="P76" s="302">
        <f t="shared" si="6"/>
        <v>0</v>
      </c>
    </row>
    <row r="77" spans="2:16" x14ac:dyDescent="0.2">
      <c r="B77" s="328"/>
      <c r="C77" s="318"/>
      <c r="D77" s="318"/>
      <c r="E77" s="325"/>
      <c r="F77" s="326"/>
      <c r="G77" s="322"/>
      <c r="H77" s="322"/>
      <c r="I77" s="322"/>
      <c r="J77" s="322"/>
      <c r="K77" s="323">
        <f t="shared" si="4"/>
        <v>0</v>
      </c>
      <c r="L77" s="295">
        <v>1</v>
      </c>
      <c r="M77" s="291">
        <f t="shared" si="5"/>
        <v>0</v>
      </c>
      <c r="N77" s="322"/>
      <c r="O77" s="322"/>
      <c r="P77" s="302">
        <f t="shared" si="6"/>
        <v>0</v>
      </c>
    </row>
    <row r="78" spans="2:16" x14ac:dyDescent="0.2">
      <c r="B78" s="328"/>
      <c r="C78" s="318"/>
      <c r="D78" s="318"/>
      <c r="E78" s="325"/>
      <c r="F78" s="326"/>
      <c r="G78" s="322"/>
      <c r="H78" s="322"/>
      <c r="I78" s="322"/>
      <c r="J78" s="322"/>
      <c r="K78" s="323">
        <f t="shared" si="4"/>
        <v>0</v>
      </c>
      <c r="L78" s="295">
        <v>1</v>
      </c>
      <c r="M78" s="291">
        <f t="shared" si="5"/>
        <v>0</v>
      </c>
      <c r="N78" s="322"/>
      <c r="O78" s="322"/>
      <c r="P78" s="302">
        <f t="shared" si="6"/>
        <v>0</v>
      </c>
    </row>
    <row r="79" spans="2:16" x14ac:dyDescent="0.2">
      <c r="B79" s="328"/>
      <c r="C79" s="318"/>
      <c r="D79" s="318"/>
      <c r="E79" s="325"/>
      <c r="F79" s="326"/>
      <c r="G79" s="322"/>
      <c r="H79" s="322"/>
      <c r="I79" s="322"/>
      <c r="J79" s="322"/>
      <c r="K79" s="323">
        <f t="shared" si="4"/>
        <v>0</v>
      </c>
      <c r="L79" s="295">
        <v>1</v>
      </c>
      <c r="M79" s="291">
        <f t="shared" si="5"/>
        <v>0</v>
      </c>
      <c r="N79" s="322"/>
      <c r="O79" s="322"/>
      <c r="P79" s="302">
        <f t="shared" si="6"/>
        <v>0</v>
      </c>
    </row>
    <row r="80" spans="2:16" x14ac:dyDescent="0.2">
      <c r="B80" s="328"/>
      <c r="C80" s="318"/>
      <c r="D80" s="318"/>
      <c r="E80" s="325"/>
      <c r="F80" s="326"/>
      <c r="G80" s="322"/>
      <c r="H80" s="322"/>
      <c r="I80" s="322"/>
      <c r="J80" s="322"/>
      <c r="K80" s="323">
        <f t="shared" si="4"/>
        <v>0</v>
      </c>
      <c r="L80" s="295">
        <v>1</v>
      </c>
      <c r="M80" s="291">
        <f t="shared" si="5"/>
        <v>0</v>
      </c>
      <c r="N80" s="322"/>
      <c r="O80" s="322"/>
      <c r="P80" s="302">
        <f t="shared" si="6"/>
        <v>0</v>
      </c>
    </row>
    <row r="81" spans="2:16" x14ac:dyDescent="0.2">
      <c r="B81" s="328"/>
      <c r="C81" s="318"/>
      <c r="D81" s="318"/>
      <c r="E81" s="325"/>
      <c r="F81" s="326"/>
      <c r="G81" s="322"/>
      <c r="H81" s="322"/>
      <c r="I81" s="322"/>
      <c r="J81" s="322"/>
      <c r="K81" s="323">
        <f t="shared" si="4"/>
        <v>0</v>
      </c>
      <c r="L81" s="295">
        <v>1</v>
      </c>
      <c r="M81" s="291">
        <f t="shared" si="5"/>
        <v>0</v>
      </c>
      <c r="N81" s="322"/>
      <c r="O81" s="322"/>
      <c r="P81" s="302">
        <f t="shared" si="6"/>
        <v>0</v>
      </c>
    </row>
    <row r="82" spans="2:16" x14ac:dyDescent="0.2">
      <c r="B82" s="328"/>
      <c r="C82" s="318"/>
      <c r="D82" s="318"/>
      <c r="E82" s="325"/>
      <c r="F82" s="326"/>
      <c r="G82" s="322"/>
      <c r="H82" s="322"/>
      <c r="I82" s="322"/>
      <c r="J82" s="322"/>
      <c r="K82" s="323">
        <f t="shared" si="4"/>
        <v>0</v>
      </c>
      <c r="L82" s="295">
        <v>1</v>
      </c>
      <c r="M82" s="291">
        <f t="shared" si="5"/>
        <v>0</v>
      </c>
      <c r="N82" s="322"/>
      <c r="O82" s="322"/>
      <c r="P82" s="302">
        <f t="shared" si="6"/>
        <v>0</v>
      </c>
    </row>
    <row r="83" spans="2:16" x14ac:dyDescent="0.2">
      <c r="B83" s="328"/>
      <c r="C83" s="318"/>
      <c r="D83" s="318"/>
      <c r="E83" s="325"/>
      <c r="F83" s="326"/>
      <c r="G83" s="322"/>
      <c r="H83" s="322"/>
      <c r="I83" s="322"/>
      <c r="J83" s="322"/>
      <c r="K83" s="323">
        <f t="shared" si="4"/>
        <v>0</v>
      </c>
      <c r="L83" s="295">
        <v>1</v>
      </c>
      <c r="M83" s="291">
        <f t="shared" si="5"/>
        <v>0</v>
      </c>
      <c r="N83" s="322"/>
      <c r="O83" s="322"/>
      <c r="P83" s="302">
        <f>SUM(M83:O83)</f>
        <v>0</v>
      </c>
    </row>
    <row r="84" spans="2:16" x14ac:dyDescent="0.2">
      <c r="B84" s="330"/>
      <c r="C84" s="17" t="s">
        <v>372</v>
      </c>
      <c r="D84" s="17"/>
      <c r="E84" s="20"/>
      <c r="F84" s="20"/>
      <c r="G84" s="15">
        <f>SUM(G66:G83)</f>
        <v>2516796.3398739067</v>
      </c>
      <c r="H84" s="15">
        <f>SUM(H66:H83)</f>
        <v>605789.14631574973</v>
      </c>
      <c r="I84" s="15">
        <f>SUM(I66:I83)</f>
        <v>0</v>
      </c>
      <c r="J84" s="15">
        <f>SUM(J66:J83)</f>
        <v>-7487.7829438223089</v>
      </c>
      <c r="K84" s="15">
        <f>SUM(K66:K83)</f>
        <v>3115097.703245834</v>
      </c>
      <c r="L84" s="108"/>
      <c r="M84" s="108">
        <f>SUM(M66:M83)</f>
        <v>3115097.703245834</v>
      </c>
      <c r="N84" s="15">
        <f>SUM(N66:N83)</f>
        <v>-1782797.1152689492</v>
      </c>
      <c r="O84" s="15">
        <f>SUM(O66:O83)</f>
        <v>-373154.25228357717</v>
      </c>
      <c r="P84" s="15">
        <f>SUM(P66:P83)</f>
        <v>959146.33569330769</v>
      </c>
    </row>
  </sheetData>
  <sheetProtection sheet="1" insertRows="0" deleteRows="0"/>
  <mergeCells count="1">
    <mergeCell ref="B6:E8"/>
  </mergeCells>
  <phoneticPr fontId="29" type="noConversion"/>
  <dataValidations count="2">
    <dataValidation type="list" allowBlank="1" showInputMessage="1" showErrorMessage="1" sqref="G8:G9 D15:D58" xr:uid="{ABAD052C-11DD-4B29-8CC6-81CB1C7B6CD5}">
      <formula1>rPipelineAssets</formula1>
    </dataValidation>
    <dataValidation type="list" allowBlank="1" showInputMessage="1" showErrorMessage="1" sqref="D66:D83" xr:uid="{0A5A768B-49F2-48F8-9E82-9A3BC85AABC1}">
      <formula1>rSharedAssets</formula1>
    </dataValidation>
  </dataValidations>
  <pageMargins left="0.75" right="0.75" top="1" bottom="1" header="0.5" footer="0.5"/>
  <pageSetup paperSize="9" scale="27" orientation="landscape" r:id="rId1"/>
  <headerFooter alignWithMargins="0">
    <oddFooter>&amp;C_x000D_&amp;1#&amp;"Aptos"&amp;10&amp;K008000 APA-INTERNAL</oddFooter>
  </headerFooter>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1285E-5E84-4A34-A407-EDC7F8BF8A52}">
  <sheetPr codeName="Sheet15">
    <tabColor rgb="FF17415D"/>
  </sheetPr>
  <dimension ref="B1:I47"/>
  <sheetViews>
    <sheetView zoomScaleNormal="100" workbookViewId="0">
      <pane xSplit="1" ySplit="8" topLeftCell="B9" activePane="bottomRight" state="frozen"/>
      <selection pane="topRight" activeCell="B1" sqref="B1"/>
      <selection pane="bottomLeft" activeCell="A9" sqref="A9"/>
      <selection pane="bottomRight"/>
    </sheetView>
  </sheetViews>
  <sheetFormatPr defaultColWidth="9.42578125" defaultRowHeight="12.75" x14ac:dyDescent="0.2"/>
  <cols>
    <col min="1" max="1" width="12.42578125" style="169" customWidth="1"/>
    <col min="2" max="2" width="22.42578125" style="169" customWidth="1"/>
    <col min="3" max="3" width="42.42578125" style="169" customWidth="1"/>
    <col min="4" max="4" width="28.5703125" style="169" customWidth="1"/>
    <col min="5" max="5" width="22.5703125" style="169" customWidth="1"/>
    <col min="6" max="6" width="20.5703125" style="169" customWidth="1"/>
    <col min="7" max="7" width="22.5703125" style="169" customWidth="1"/>
    <col min="8" max="8" width="37.42578125" style="169" customWidth="1"/>
    <col min="9" max="9" width="25.42578125" style="169" customWidth="1"/>
    <col min="10" max="16384" width="9.42578125" style="169"/>
  </cols>
  <sheetData>
    <row r="1" spans="2:9" ht="20.25" customHeight="1" x14ac:dyDescent="0.3">
      <c r="B1" s="103" t="s">
        <v>68</v>
      </c>
      <c r="C1" s="103"/>
      <c r="D1" s="168"/>
      <c r="E1" s="168"/>
      <c r="F1" s="168"/>
      <c r="G1" s="168"/>
    </row>
    <row r="2" spans="2:9" ht="20.25" customHeight="1" x14ac:dyDescent="0.3">
      <c r="B2" s="103" t="str">
        <f>IF(Tradingname=0," ",Tradingname)</f>
        <v>APA Reedy Creek Wallumbilla Pty Limited</v>
      </c>
      <c r="C2" s="103"/>
      <c r="D2" s="170"/>
    </row>
    <row r="3" spans="2:9" ht="20.25" customHeight="1" x14ac:dyDescent="0.3">
      <c r="B3" s="103" t="s">
        <v>46</v>
      </c>
      <c r="C3" s="80">
        <f>IF(Yearending=0, "01/01/2000", Yearending)</f>
        <v>45838</v>
      </c>
    </row>
    <row r="4" spans="2:9" ht="20.25" x14ac:dyDescent="0.2">
      <c r="B4" s="72" t="s">
        <v>373</v>
      </c>
      <c r="C4" s="72"/>
    </row>
    <row r="6" spans="2:9" x14ac:dyDescent="0.2">
      <c r="B6" s="426" t="s">
        <v>374</v>
      </c>
      <c r="C6" s="426"/>
      <c r="D6" s="426"/>
    </row>
    <row r="7" spans="2:9" ht="15.75" customHeight="1" x14ac:dyDescent="0.2">
      <c r="B7" s="426"/>
      <c r="C7" s="426"/>
      <c r="D7" s="426"/>
    </row>
    <row r="8" spans="2:9" ht="15.75" customHeight="1" x14ac:dyDescent="0.2">
      <c r="B8" s="426"/>
      <c r="C8" s="426"/>
      <c r="D8" s="426"/>
    </row>
    <row r="11" spans="2:9" ht="15.75" x14ac:dyDescent="0.25">
      <c r="B11" s="171" t="s">
        <v>375</v>
      </c>
      <c r="C11" s="274"/>
      <c r="D11" s="274"/>
      <c r="E11" s="274"/>
      <c r="F11" s="299"/>
      <c r="G11" s="274"/>
    </row>
    <row r="12" spans="2:9" ht="15.75" x14ac:dyDescent="0.25">
      <c r="B12" s="171"/>
      <c r="C12" s="274"/>
      <c r="D12" s="274"/>
      <c r="E12" s="274"/>
      <c r="F12" s="299"/>
      <c r="G12" s="274"/>
    </row>
    <row r="13" spans="2:9" ht="25.5" x14ac:dyDescent="0.2">
      <c r="B13" s="39" t="s">
        <v>131</v>
      </c>
      <c r="C13" s="39" t="s">
        <v>376</v>
      </c>
      <c r="D13" s="39" t="s">
        <v>377</v>
      </c>
      <c r="E13" s="51" t="s">
        <v>378</v>
      </c>
      <c r="F13" s="51" t="s">
        <v>209</v>
      </c>
      <c r="G13" s="51" t="s">
        <v>379</v>
      </c>
    </row>
    <row r="14" spans="2:9" x14ac:dyDescent="0.2">
      <c r="B14" s="41"/>
      <c r="C14" s="41"/>
      <c r="D14" s="44"/>
      <c r="E14" s="55" t="s">
        <v>134</v>
      </c>
      <c r="F14" s="55"/>
      <c r="G14" s="55" t="s">
        <v>134</v>
      </c>
    </row>
    <row r="15" spans="2:9" x14ac:dyDescent="0.2">
      <c r="B15" s="266" t="s">
        <v>380</v>
      </c>
      <c r="C15" s="300" t="s">
        <v>381</v>
      </c>
      <c r="D15" s="300" t="s">
        <v>263</v>
      </c>
      <c r="E15" s="301">
        <v>501746970.59000003</v>
      </c>
      <c r="F15" s="295">
        <v>5.2355649892843401E-3</v>
      </c>
      <c r="G15" s="302">
        <f>E15*F15</f>
        <v>2626928.8727004835</v>
      </c>
      <c r="H15" s="223"/>
    </row>
    <row r="16" spans="2:9" x14ac:dyDescent="0.2">
      <c r="B16" s="266" t="s">
        <v>380</v>
      </c>
      <c r="C16" s="300" t="s">
        <v>265</v>
      </c>
      <c r="D16" s="300" t="s">
        <v>265</v>
      </c>
      <c r="E16" s="301">
        <v>86146034.725643426</v>
      </c>
      <c r="F16" s="295">
        <v>5.6667591503203035E-3</v>
      </c>
      <c r="G16" s="302">
        <f t="shared" ref="G16:G45" si="0">E16*F16</f>
        <v>488168.8305453505</v>
      </c>
      <c r="H16" s="225"/>
      <c r="I16" s="225"/>
    </row>
    <row r="17" spans="2:9" x14ac:dyDescent="0.2">
      <c r="B17" s="266"/>
      <c r="C17" s="300"/>
      <c r="D17" s="300"/>
      <c r="E17" s="301"/>
      <c r="F17" s="295"/>
      <c r="G17" s="302">
        <f t="shared" si="0"/>
        <v>0</v>
      </c>
      <c r="H17" s="226"/>
      <c r="I17" s="226"/>
    </row>
    <row r="18" spans="2:9" x14ac:dyDescent="0.2">
      <c r="B18" s="266"/>
      <c r="C18" s="300"/>
      <c r="D18" s="300"/>
      <c r="E18" s="301"/>
      <c r="F18" s="295"/>
      <c r="G18" s="302">
        <f t="shared" si="0"/>
        <v>0</v>
      </c>
      <c r="H18" s="226"/>
      <c r="I18" s="226"/>
    </row>
    <row r="19" spans="2:9" x14ac:dyDescent="0.2">
      <c r="B19" s="266"/>
      <c r="C19" s="300"/>
      <c r="D19" s="300"/>
      <c r="E19" s="301"/>
      <c r="F19" s="295"/>
      <c r="G19" s="302">
        <f t="shared" si="0"/>
        <v>0</v>
      </c>
      <c r="H19" s="225"/>
      <c r="I19" s="225"/>
    </row>
    <row r="20" spans="2:9" x14ac:dyDescent="0.2">
      <c r="B20" s="266"/>
      <c r="C20" s="300"/>
      <c r="D20" s="300"/>
      <c r="E20" s="301"/>
      <c r="F20" s="295"/>
      <c r="G20" s="302">
        <f t="shared" si="0"/>
        <v>0</v>
      </c>
      <c r="H20" s="226"/>
      <c r="I20" s="226"/>
    </row>
    <row r="21" spans="2:9" x14ac:dyDescent="0.2">
      <c r="B21" s="266"/>
      <c r="C21" s="300"/>
      <c r="D21" s="300"/>
      <c r="E21" s="301"/>
      <c r="F21" s="295"/>
      <c r="G21" s="302">
        <f t="shared" si="0"/>
        <v>0</v>
      </c>
    </row>
    <row r="22" spans="2:9" x14ac:dyDescent="0.2">
      <c r="B22" s="303"/>
      <c r="C22" s="300"/>
      <c r="D22" s="300"/>
      <c r="E22" s="301"/>
      <c r="F22" s="295"/>
      <c r="G22" s="302">
        <f t="shared" si="0"/>
        <v>0</v>
      </c>
    </row>
    <row r="23" spans="2:9" x14ac:dyDescent="0.2">
      <c r="B23" s="303"/>
      <c r="C23" s="300"/>
      <c r="D23" s="300"/>
      <c r="E23" s="301"/>
      <c r="F23" s="295"/>
      <c r="G23" s="302">
        <f t="shared" si="0"/>
        <v>0</v>
      </c>
    </row>
    <row r="24" spans="2:9" x14ac:dyDescent="0.2">
      <c r="B24" s="303"/>
      <c r="C24" s="300"/>
      <c r="D24" s="300"/>
      <c r="E24" s="301"/>
      <c r="F24" s="295"/>
      <c r="G24" s="302">
        <f t="shared" si="0"/>
        <v>0</v>
      </c>
    </row>
    <row r="25" spans="2:9" x14ac:dyDescent="0.2">
      <c r="B25" s="303"/>
      <c r="C25" s="300"/>
      <c r="D25" s="300"/>
      <c r="E25" s="301"/>
      <c r="F25" s="295"/>
      <c r="G25" s="302">
        <f t="shared" si="0"/>
        <v>0</v>
      </c>
    </row>
    <row r="26" spans="2:9" x14ac:dyDescent="0.2">
      <c r="B26" s="303"/>
      <c r="C26" s="300"/>
      <c r="D26" s="300"/>
      <c r="E26" s="301"/>
      <c r="F26" s="295"/>
      <c r="G26" s="302">
        <f t="shared" si="0"/>
        <v>0</v>
      </c>
    </row>
    <row r="27" spans="2:9" x14ac:dyDescent="0.2">
      <c r="B27" s="303"/>
      <c r="C27" s="300"/>
      <c r="D27" s="300"/>
      <c r="E27" s="301"/>
      <c r="F27" s="295"/>
      <c r="G27" s="302">
        <f t="shared" si="0"/>
        <v>0</v>
      </c>
    </row>
    <row r="28" spans="2:9" x14ac:dyDescent="0.2">
      <c r="B28" s="303"/>
      <c r="C28" s="300"/>
      <c r="D28" s="300"/>
      <c r="E28" s="301"/>
      <c r="F28" s="295"/>
      <c r="G28" s="302">
        <f t="shared" si="0"/>
        <v>0</v>
      </c>
    </row>
    <row r="29" spans="2:9" x14ac:dyDescent="0.2">
      <c r="B29" s="303"/>
      <c r="C29" s="300"/>
      <c r="D29" s="300"/>
      <c r="E29" s="301"/>
      <c r="F29" s="295"/>
      <c r="G29" s="302">
        <f t="shared" si="0"/>
        <v>0</v>
      </c>
    </row>
    <row r="30" spans="2:9" x14ac:dyDescent="0.2">
      <c r="B30" s="303"/>
      <c r="C30" s="300"/>
      <c r="D30" s="300"/>
      <c r="E30" s="301"/>
      <c r="F30" s="295"/>
      <c r="G30" s="302">
        <f t="shared" si="0"/>
        <v>0</v>
      </c>
    </row>
    <row r="31" spans="2:9" x14ac:dyDescent="0.2">
      <c r="B31" s="303"/>
      <c r="C31" s="300"/>
      <c r="D31" s="300"/>
      <c r="E31" s="301"/>
      <c r="F31" s="295"/>
      <c r="G31" s="302">
        <f t="shared" si="0"/>
        <v>0</v>
      </c>
    </row>
    <row r="32" spans="2:9" x14ac:dyDescent="0.2">
      <c r="B32" s="303"/>
      <c r="C32" s="300"/>
      <c r="D32" s="300"/>
      <c r="E32" s="301"/>
      <c r="F32" s="295"/>
      <c r="G32" s="302">
        <f t="shared" si="0"/>
        <v>0</v>
      </c>
    </row>
    <row r="33" spans="2:7" x14ac:dyDescent="0.2">
      <c r="B33" s="303"/>
      <c r="C33" s="300"/>
      <c r="D33" s="300"/>
      <c r="E33" s="301"/>
      <c r="F33" s="295"/>
      <c r="G33" s="302">
        <f t="shared" si="0"/>
        <v>0</v>
      </c>
    </row>
    <row r="34" spans="2:7" x14ac:dyDescent="0.2">
      <c r="B34" s="303"/>
      <c r="C34" s="300"/>
      <c r="D34" s="300"/>
      <c r="E34" s="301"/>
      <c r="F34" s="295"/>
      <c r="G34" s="302">
        <f t="shared" si="0"/>
        <v>0</v>
      </c>
    </row>
    <row r="35" spans="2:7" x14ac:dyDescent="0.2">
      <c r="B35" s="303"/>
      <c r="C35" s="300"/>
      <c r="D35" s="300"/>
      <c r="E35" s="301"/>
      <c r="F35" s="295"/>
      <c r="G35" s="302">
        <f t="shared" si="0"/>
        <v>0</v>
      </c>
    </row>
    <row r="36" spans="2:7" x14ac:dyDescent="0.2">
      <c r="B36" s="303"/>
      <c r="C36" s="300"/>
      <c r="D36" s="300"/>
      <c r="E36" s="301"/>
      <c r="F36" s="295"/>
      <c r="G36" s="302">
        <f t="shared" si="0"/>
        <v>0</v>
      </c>
    </row>
    <row r="37" spans="2:7" x14ac:dyDescent="0.2">
      <c r="B37" s="303"/>
      <c r="C37" s="300"/>
      <c r="D37" s="300"/>
      <c r="E37" s="301"/>
      <c r="F37" s="295"/>
      <c r="G37" s="302">
        <f t="shared" si="0"/>
        <v>0</v>
      </c>
    </row>
    <row r="38" spans="2:7" x14ac:dyDescent="0.2">
      <c r="B38" s="303"/>
      <c r="C38" s="300"/>
      <c r="D38" s="300"/>
      <c r="E38" s="301"/>
      <c r="F38" s="295"/>
      <c r="G38" s="302">
        <f t="shared" si="0"/>
        <v>0</v>
      </c>
    </row>
    <row r="39" spans="2:7" x14ac:dyDescent="0.2">
      <c r="B39" s="303"/>
      <c r="C39" s="300"/>
      <c r="D39" s="300"/>
      <c r="E39" s="301"/>
      <c r="F39" s="295"/>
      <c r="G39" s="302">
        <f t="shared" si="0"/>
        <v>0</v>
      </c>
    </row>
    <row r="40" spans="2:7" x14ac:dyDescent="0.2">
      <c r="B40" s="303"/>
      <c r="C40" s="300"/>
      <c r="D40" s="300"/>
      <c r="E40" s="301"/>
      <c r="F40" s="295"/>
      <c r="G40" s="302">
        <f t="shared" si="0"/>
        <v>0</v>
      </c>
    </row>
    <row r="41" spans="2:7" x14ac:dyDescent="0.2">
      <c r="B41" s="303"/>
      <c r="C41" s="300"/>
      <c r="D41" s="300"/>
      <c r="E41" s="301"/>
      <c r="F41" s="295"/>
      <c r="G41" s="302">
        <f t="shared" si="0"/>
        <v>0</v>
      </c>
    </row>
    <row r="42" spans="2:7" x14ac:dyDescent="0.2">
      <c r="B42" s="303"/>
      <c r="C42" s="300"/>
      <c r="D42" s="300"/>
      <c r="E42" s="301"/>
      <c r="F42" s="295"/>
      <c r="G42" s="302">
        <f t="shared" si="0"/>
        <v>0</v>
      </c>
    </row>
    <row r="43" spans="2:7" x14ac:dyDescent="0.2">
      <c r="B43" s="303"/>
      <c r="C43" s="300"/>
      <c r="D43" s="300"/>
      <c r="E43" s="301"/>
      <c r="F43" s="295"/>
      <c r="G43" s="302">
        <f t="shared" si="0"/>
        <v>0</v>
      </c>
    </row>
    <row r="44" spans="2:7" x14ac:dyDescent="0.2">
      <c r="B44" s="303"/>
      <c r="C44" s="300"/>
      <c r="D44" s="300"/>
      <c r="E44" s="301"/>
      <c r="F44" s="295"/>
      <c r="G44" s="302">
        <f t="shared" si="0"/>
        <v>0</v>
      </c>
    </row>
    <row r="45" spans="2:7" x14ac:dyDescent="0.2">
      <c r="B45" s="303"/>
      <c r="C45" s="300"/>
      <c r="D45" s="300"/>
      <c r="E45" s="301"/>
      <c r="F45" s="295"/>
      <c r="G45" s="302">
        <f t="shared" si="0"/>
        <v>0</v>
      </c>
    </row>
    <row r="46" spans="2:7" x14ac:dyDescent="0.2">
      <c r="B46" s="303"/>
      <c r="C46" s="300"/>
      <c r="D46" s="300"/>
      <c r="E46" s="301"/>
      <c r="F46" s="295"/>
      <c r="G46" s="302">
        <f>E46*F46</f>
        <v>0</v>
      </c>
    </row>
    <row r="47" spans="2:7" x14ac:dyDescent="0.2">
      <c r="B47" s="227" t="s">
        <v>71</v>
      </c>
      <c r="C47" s="433"/>
      <c r="D47" s="434"/>
      <c r="E47" s="302">
        <f>SUM(E15:E46)</f>
        <v>587893005.31564343</v>
      </c>
      <c r="F47" s="16"/>
      <c r="G47" s="302">
        <f>SUM(G15:G46)</f>
        <v>3115097.703245834</v>
      </c>
    </row>
  </sheetData>
  <sheetProtection sheet="1" insertRows="0" deleteRows="0"/>
  <mergeCells count="2">
    <mergeCell ref="C47:D47"/>
    <mergeCell ref="B6:D8"/>
  </mergeCells>
  <dataValidations count="1">
    <dataValidation type="list" allowBlank="1" showInputMessage="1" showErrorMessage="1" sqref="D15:D46" xr:uid="{C6A72635-5518-4C3D-ABF0-16EE82E1F962}">
      <formula1>rSharedAssets</formula1>
    </dataValidation>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97EEB-6F1C-4352-AEB6-3E787C6EA925}">
  <sheetPr>
    <tabColor theme="5" tint="0.79998168889431442"/>
  </sheetPr>
  <dimension ref="A1:Y1"/>
  <sheetViews>
    <sheetView workbookViewId="0"/>
  </sheetViews>
  <sheetFormatPr defaultColWidth="9.42578125" defaultRowHeight="12.75" x14ac:dyDescent="0.2"/>
  <cols>
    <col min="1" max="16384" width="9.42578125" style="244"/>
  </cols>
  <sheetData>
    <row r="1" spans="1:25" x14ac:dyDescent="0.2">
      <c r="A1"/>
      <c r="M1"/>
      <c r="Y1"/>
    </row>
  </sheetData>
  <pageMargins left="0.7" right="0.7" top="0.75" bottom="0.75" header="0.3" footer="0.3"/>
  <headerFooter>
    <oddFooter>&amp;C_x000D_&amp;1#&amp;"Aptos"&amp;10&amp;K008000 APA-INTERNAL</oddFooter>
  </headerFooter>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6731-ED99-47E2-8BF5-2B1AA77D6444}">
  <sheetPr codeName="Sheet16">
    <tabColor rgb="FF17415D"/>
  </sheetPr>
  <dimension ref="B1:BJ50"/>
  <sheetViews>
    <sheetView showGridLines="0" zoomScaleNormal="100" workbookViewId="0">
      <pane xSplit="1" ySplit="7" topLeftCell="B8" activePane="bottomRight" state="frozen"/>
      <selection pane="topRight" activeCell="B1" sqref="B1"/>
      <selection pane="bottomLeft" activeCell="A8" sqref="A8"/>
      <selection pane="bottomRight"/>
    </sheetView>
  </sheetViews>
  <sheetFormatPr defaultColWidth="8.5703125" defaultRowHeight="12.75" x14ac:dyDescent="0.2"/>
  <cols>
    <col min="1" max="1" width="11.42578125" customWidth="1"/>
    <col min="2" max="2" width="22.42578125" customWidth="1"/>
    <col min="3" max="3" width="47.5703125" customWidth="1"/>
    <col min="4" max="4" width="50.5703125" customWidth="1"/>
    <col min="5" max="5" width="23.5703125" customWidth="1"/>
    <col min="6" max="60" width="15.5703125" customWidth="1"/>
    <col min="61" max="61" width="13.5703125" customWidth="1"/>
  </cols>
  <sheetData>
    <row r="1" spans="2:61" ht="20.25" customHeight="1" x14ac:dyDescent="0.2">
      <c r="B1" s="103" t="s">
        <v>68</v>
      </c>
      <c r="C1" s="103"/>
    </row>
    <row r="2" spans="2:61" ht="20.25" x14ac:dyDescent="0.2">
      <c r="B2" s="103" t="str">
        <f>IF(Tradingname=0," ",Tradingname)</f>
        <v>APA Reedy Creek Wallumbilla Pty Limited</v>
      </c>
      <c r="C2" s="103"/>
    </row>
    <row r="3" spans="2:61" ht="19.5" customHeight="1" x14ac:dyDescent="0.3">
      <c r="B3" s="103" t="s">
        <v>46</v>
      </c>
      <c r="C3" s="80">
        <f>IF(Yearending=0, "01/01/2000", Yearending)</f>
        <v>45838</v>
      </c>
    </row>
    <row r="4" spans="2:61" ht="20.25" x14ac:dyDescent="0.2">
      <c r="B4" s="72" t="s">
        <v>382</v>
      </c>
      <c r="C4" s="72"/>
    </row>
    <row r="6" spans="2:61" ht="15.75" customHeight="1" x14ac:dyDescent="0.2">
      <c r="B6" s="426" t="s">
        <v>383</v>
      </c>
      <c r="C6" s="426"/>
      <c r="D6" s="426"/>
    </row>
    <row r="7" spans="2:61" ht="15.75" customHeight="1" x14ac:dyDescent="0.2">
      <c r="B7" s="426"/>
      <c r="C7" s="426"/>
      <c r="D7" s="426"/>
    </row>
    <row r="9" spans="2:61" ht="15.75" x14ac:dyDescent="0.25">
      <c r="B9" s="162" t="s">
        <v>384</v>
      </c>
    </row>
    <row r="11" spans="2:61" ht="45" customHeight="1" x14ac:dyDescent="0.2">
      <c r="B11" s="52" t="s">
        <v>131</v>
      </c>
      <c r="C11" s="437" t="s">
        <v>342</v>
      </c>
      <c r="D11" s="438"/>
      <c r="E11" s="180" t="s">
        <v>71</v>
      </c>
      <c r="F11" s="435" t="s">
        <v>278</v>
      </c>
      <c r="G11" s="436"/>
      <c r="H11" s="436"/>
      <c r="I11" s="436"/>
      <c r="J11" s="436"/>
      <c r="K11" s="436"/>
      <c r="L11" s="436"/>
      <c r="M11" s="436"/>
      <c r="N11" s="436"/>
      <c r="O11" s="436"/>
      <c r="P11" s="436"/>
      <c r="Q11" s="436"/>
      <c r="R11" s="436"/>
      <c r="S11" s="436"/>
      <c r="T11" s="436"/>
      <c r="U11" s="436"/>
      <c r="V11" s="436"/>
      <c r="W11" s="436"/>
      <c r="X11" s="436"/>
      <c r="Y11" s="436"/>
      <c r="Z11" s="436"/>
      <c r="AA11" s="436"/>
      <c r="AB11" s="436"/>
      <c r="AC11" s="436"/>
      <c r="AD11" s="436"/>
      <c r="AE11" s="436"/>
      <c r="AF11" s="436"/>
      <c r="AG11" s="436"/>
      <c r="AH11" s="436"/>
      <c r="AI11" s="436"/>
      <c r="AJ11" s="436"/>
      <c r="AK11" s="436"/>
      <c r="AL11" s="436"/>
      <c r="AM11" s="436"/>
      <c r="AN11" s="436"/>
      <c r="AO11" s="436"/>
      <c r="AP11" s="436"/>
      <c r="AQ11" s="436"/>
      <c r="AR11" s="436"/>
      <c r="AS11" s="436"/>
      <c r="AT11" s="436"/>
      <c r="AU11" s="436"/>
      <c r="AV11" s="436"/>
      <c r="AW11" s="436"/>
      <c r="AX11" s="436"/>
      <c r="AY11" s="436"/>
      <c r="AZ11" s="436"/>
      <c r="BA11" s="436"/>
      <c r="BB11" s="436"/>
      <c r="BC11" s="436"/>
      <c r="BD11" s="436"/>
      <c r="BE11" s="436"/>
      <c r="BF11" s="436"/>
      <c r="BG11" s="436"/>
      <c r="BH11" s="436"/>
      <c r="BI11" s="181" t="s">
        <v>385</v>
      </c>
    </row>
    <row r="12" spans="2:61" x14ac:dyDescent="0.2">
      <c r="B12" s="236"/>
      <c r="C12" s="55"/>
      <c r="D12" s="55"/>
      <c r="E12" s="55"/>
      <c r="F12" s="57" t="str">
        <f>RIGHT(TEXT(C43,"dd/mm/yyyy"),4)</f>
        <v>2018</v>
      </c>
      <c r="G12" s="58">
        <f>F12+1</f>
        <v>2019</v>
      </c>
      <c r="H12" s="58">
        <f t="shared" ref="H12:BG12" si="0">G12+1</f>
        <v>2020</v>
      </c>
      <c r="I12" s="58">
        <f t="shared" si="0"/>
        <v>2021</v>
      </c>
      <c r="J12" s="58">
        <f t="shared" si="0"/>
        <v>2022</v>
      </c>
      <c r="K12" s="58">
        <f t="shared" si="0"/>
        <v>2023</v>
      </c>
      <c r="L12" s="58">
        <f t="shared" si="0"/>
        <v>2024</v>
      </c>
      <c r="M12" s="58">
        <f t="shared" si="0"/>
        <v>2025</v>
      </c>
      <c r="N12" s="58">
        <f t="shared" si="0"/>
        <v>2026</v>
      </c>
      <c r="O12" s="58">
        <f t="shared" si="0"/>
        <v>2027</v>
      </c>
      <c r="P12" s="58">
        <f t="shared" si="0"/>
        <v>2028</v>
      </c>
      <c r="Q12" s="58">
        <f t="shared" si="0"/>
        <v>2029</v>
      </c>
      <c r="R12" s="58">
        <f t="shared" si="0"/>
        <v>2030</v>
      </c>
      <c r="S12" s="58">
        <f t="shared" si="0"/>
        <v>2031</v>
      </c>
      <c r="T12" s="58">
        <f t="shared" si="0"/>
        <v>2032</v>
      </c>
      <c r="U12" s="58">
        <f t="shared" si="0"/>
        <v>2033</v>
      </c>
      <c r="V12" s="58">
        <f t="shared" si="0"/>
        <v>2034</v>
      </c>
      <c r="W12" s="58">
        <f t="shared" si="0"/>
        <v>2035</v>
      </c>
      <c r="X12" s="58">
        <f t="shared" si="0"/>
        <v>2036</v>
      </c>
      <c r="Y12" s="58">
        <f t="shared" si="0"/>
        <v>2037</v>
      </c>
      <c r="Z12" s="58">
        <f t="shared" si="0"/>
        <v>2038</v>
      </c>
      <c r="AA12" s="58">
        <f t="shared" si="0"/>
        <v>2039</v>
      </c>
      <c r="AB12" s="58">
        <f t="shared" si="0"/>
        <v>2040</v>
      </c>
      <c r="AC12" s="58">
        <f t="shared" si="0"/>
        <v>2041</v>
      </c>
      <c r="AD12" s="58">
        <f t="shared" si="0"/>
        <v>2042</v>
      </c>
      <c r="AE12" s="58">
        <f t="shared" si="0"/>
        <v>2043</v>
      </c>
      <c r="AF12" s="58">
        <f t="shared" si="0"/>
        <v>2044</v>
      </c>
      <c r="AG12" s="58">
        <f t="shared" si="0"/>
        <v>2045</v>
      </c>
      <c r="AH12" s="58">
        <f t="shared" si="0"/>
        <v>2046</v>
      </c>
      <c r="AI12" s="58">
        <f t="shared" si="0"/>
        <v>2047</v>
      </c>
      <c r="AJ12" s="58">
        <f t="shared" si="0"/>
        <v>2048</v>
      </c>
      <c r="AK12" s="58">
        <f t="shared" si="0"/>
        <v>2049</v>
      </c>
      <c r="AL12" s="58">
        <f t="shared" si="0"/>
        <v>2050</v>
      </c>
      <c r="AM12" s="58">
        <f t="shared" si="0"/>
        <v>2051</v>
      </c>
      <c r="AN12" s="58">
        <f t="shared" si="0"/>
        <v>2052</v>
      </c>
      <c r="AO12" s="58">
        <f t="shared" si="0"/>
        <v>2053</v>
      </c>
      <c r="AP12" s="58">
        <f t="shared" si="0"/>
        <v>2054</v>
      </c>
      <c r="AQ12" s="58">
        <f t="shared" si="0"/>
        <v>2055</v>
      </c>
      <c r="AR12" s="58">
        <f t="shared" si="0"/>
        <v>2056</v>
      </c>
      <c r="AS12" s="58">
        <f t="shared" si="0"/>
        <v>2057</v>
      </c>
      <c r="AT12" s="58">
        <f t="shared" si="0"/>
        <v>2058</v>
      </c>
      <c r="AU12" s="58">
        <f t="shared" si="0"/>
        <v>2059</v>
      </c>
      <c r="AV12" s="58">
        <f t="shared" si="0"/>
        <v>2060</v>
      </c>
      <c r="AW12" s="58">
        <f t="shared" si="0"/>
        <v>2061</v>
      </c>
      <c r="AX12" s="58">
        <f t="shared" si="0"/>
        <v>2062</v>
      </c>
      <c r="AY12" s="58">
        <f t="shared" si="0"/>
        <v>2063</v>
      </c>
      <c r="AZ12" s="58">
        <f t="shared" si="0"/>
        <v>2064</v>
      </c>
      <c r="BA12" s="58">
        <f t="shared" si="0"/>
        <v>2065</v>
      </c>
      <c r="BB12" s="58">
        <f t="shared" si="0"/>
        <v>2066</v>
      </c>
      <c r="BC12" s="58">
        <f t="shared" si="0"/>
        <v>2067</v>
      </c>
      <c r="BD12" s="58">
        <f t="shared" si="0"/>
        <v>2068</v>
      </c>
      <c r="BE12" s="58">
        <f t="shared" si="0"/>
        <v>2069</v>
      </c>
      <c r="BF12" s="58">
        <f t="shared" si="0"/>
        <v>2070</v>
      </c>
      <c r="BG12" s="58">
        <f t="shared" si="0"/>
        <v>2071</v>
      </c>
      <c r="BH12" s="58">
        <f>BG12+1</f>
        <v>2072</v>
      </c>
    </row>
    <row r="13" spans="2:61" x14ac:dyDescent="0.2">
      <c r="B13" s="269" t="s">
        <v>386</v>
      </c>
      <c r="C13" s="59" t="s">
        <v>228</v>
      </c>
      <c r="D13" s="60"/>
      <c r="E13" s="302"/>
      <c r="F13" s="323"/>
      <c r="G13" s="323"/>
      <c r="H13" s="323"/>
      <c r="I13" s="323"/>
      <c r="J13" s="323"/>
      <c r="K13" s="323"/>
      <c r="L13" s="323"/>
      <c r="M13" s="323"/>
      <c r="N13" s="323"/>
      <c r="O13" s="323"/>
      <c r="P13" s="323"/>
      <c r="Q13" s="323"/>
      <c r="R13" s="323"/>
      <c r="S13" s="323"/>
      <c r="T13" s="323"/>
      <c r="U13" s="323"/>
      <c r="V13" s="323"/>
      <c r="W13" s="323"/>
      <c r="X13" s="323"/>
      <c r="Y13" s="323"/>
      <c r="Z13" s="323"/>
      <c r="AA13" s="323"/>
      <c r="AB13" s="323"/>
      <c r="AC13" s="323"/>
      <c r="AD13" s="323"/>
      <c r="AE13" s="323"/>
      <c r="AF13" s="323"/>
      <c r="AG13" s="323"/>
      <c r="AH13" s="323"/>
      <c r="AI13" s="323"/>
      <c r="AJ13" s="323"/>
      <c r="AK13" s="323"/>
      <c r="AL13" s="323"/>
      <c r="AM13" s="323"/>
      <c r="AN13" s="323"/>
      <c r="AO13" s="323"/>
      <c r="AP13" s="323"/>
      <c r="AQ13" s="323"/>
      <c r="AR13" s="323"/>
      <c r="AS13" s="323"/>
      <c r="AT13" s="323"/>
      <c r="AU13" s="323"/>
      <c r="AV13" s="323"/>
      <c r="AW13" s="323"/>
      <c r="AX13" s="323"/>
      <c r="AY13" s="323"/>
      <c r="AZ13" s="323"/>
      <c r="BA13" s="323"/>
      <c r="BB13" s="323"/>
      <c r="BC13" s="323"/>
      <c r="BD13" s="323"/>
      <c r="BE13" s="323"/>
      <c r="BF13" s="323"/>
      <c r="BG13" s="323"/>
      <c r="BH13" s="323"/>
    </row>
    <row r="14" spans="2:61" x14ac:dyDescent="0.2">
      <c r="B14" s="331"/>
      <c r="C14" s="59"/>
      <c r="D14" s="60" t="s">
        <v>387</v>
      </c>
      <c r="E14" s="302">
        <f t="shared" ref="E14:E20" si="1">SUM(F14:BH14)</f>
        <v>64678627.634635158</v>
      </c>
      <c r="F14" s="290">
        <v>51648036.453498855</v>
      </c>
      <c r="G14" s="290">
        <v>13030591.181136301</v>
      </c>
      <c r="H14" s="290">
        <v>0</v>
      </c>
      <c r="I14" s="290">
        <v>0</v>
      </c>
      <c r="J14" s="290">
        <v>0</v>
      </c>
      <c r="K14" s="290">
        <v>0</v>
      </c>
      <c r="L14" s="290">
        <v>0</v>
      </c>
      <c r="M14" s="290">
        <v>0</v>
      </c>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290"/>
      <c r="AL14" s="290"/>
      <c r="AM14" s="290"/>
      <c r="AN14" s="290"/>
      <c r="AO14" s="290"/>
      <c r="AP14" s="290"/>
      <c r="AQ14" s="290"/>
      <c r="AR14" s="290"/>
      <c r="AS14" s="290"/>
      <c r="AT14" s="290"/>
      <c r="AU14" s="290"/>
      <c r="AV14" s="290"/>
      <c r="AW14" s="290"/>
      <c r="AX14" s="290"/>
      <c r="AY14" s="290"/>
      <c r="AZ14" s="290"/>
      <c r="BA14" s="290"/>
      <c r="BB14" s="290"/>
      <c r="BC14" s="290"/>
      <c r="BD14" s="290"/>
      <c r="BE14" s="290"/>
      <c r="BF14" s="290"/>
      <c r="BG14" s="290"/>
      <c r="BH14" s="290"/>
    </row>
    <row r="15" spans="2:61" x14ac:dyDescent="0.2">
      <c r="B15" s="331"/>
      <c r="C15" s="59"/>
      <c r="D15" s="60" t="s">
        <v>388</v>
      </c>
      <c r="E15" s="302">
        <f t="shared" si="1"/>
        <v>1480184</v>
      </c>
      <c r="F15" s="290">
        <v>1180881.53276946</v>
      </c>
      <c r="G15" s="290">
        <v>18810.5022919029</v>
      </c>
      <c r="H15" s="290">
        <v>-4180.1116204229183</v>
      </c>
      <c r="I15" s="290">
        <v>45981.227824651403</v>
      </c>
      <c r="J15" s="290">
        <v>76287.037072717212</v>
      </c>
      <c r="K15" s="290">
        <v>79422.120788034517</v>
      </c>
      <c r="L15" s="290">
        <v>53296.42316039186</v>
      </c>
      <c r="M15" s="290">
        <v>29685.267713265028</v>
      </c>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c r="AS15" s="290"/>
      <c r="AT15" s="290"/>
      <c r="AU15" s="290"/>
      <c r="AV15" s="290"/>
      <c r="AW15" s="290"/>
      <c r="AX15" s="290"/>
      <c r="AY15" s="290"/>
      <c r="AZ15" s="290"/>
      <c r="BA15" s="290"/>
      <c r="BB15" s="290"/>
      <c r="BC15" s="290"/>
      <c r="BD15" s="290"/>
      <c r="BE15" s="290"/>
      <c r="BF15" s="290"/>
      <c r="BG15" s="290"/>
      <c r="BH15" s="290"/>
    </row>
    <row r="16" spans="2:61" x14ac:dyDescent="0.2">
      <c r="B16" s="331"/>
      <c r="C16" s="59"/>
      <c r="D16" s="60" t="s">
        <v>232</v>
      </c>
      <c r="E16" s="302">
        <f t="shared" si="1"/>
        <v>19360379.319158446</v>
      </c>
      <c r="F16" s="290">
        <v>0</v>
      </c>
      <c r="G16" s="290">
        <v>0</v>
      </c>
      <c r="H16" s="290">
        <v>0</v>
      </c>
      <c r="I16" s="290">
        <v>19703.64322061406</v>
      </c>
      <c r="J16" s="290">
        <v>0</v>
      </c>
      <c r="K16" s="290">
        <v>167.90161390512955</v>
      </c>
      <c r="L16" s="290">
        <v>338854.33522451913</v>
      </c>
      <c r="M16" s="290">
        <v>19001653.439099409</v>
      </c>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c r="AS16" s="290"/>
      <c r="AT16" s="290"/>
      <c r="AU16" s="290"/>
      <c r="AV16" s="290"/>
      <c r="AW16" s="290"/>
      <c r="AX16" s="290"/>
      <c r="AY16" s="290"/>
      <c r="AZ16" s="290"/>
      <c r="BA16" s="290"/>
      <c r="BB16" s="290"/>
      <c r="BC16" s="290"/>
      <c r="BD16" s="290"/>
      <c r="BE16" s="290"/>
      <c r="BF16" s="290"/>
      <c r="BG16" s="290"/>
      <c r="BH16" s="290"/>
    </row>
    <row r="17" spans="2:62" x14ac:dyDescent="0.2">
      <c r="B17" s="331"/>
      <c r="C17" s="59"/>
      <c r="D17" s="60" t="s">
        <v>389</v>
      </c>
      <c r="E17" s="302">
        <f t="shared" si="1"/>
        <v>0</v>
      </c>
      <c r="F17" s="290">
        <v>0</v>
      </c>
      <c r="G17" s="290">
        <v>0</v>
      </c>
      <c r="H17" s="290">
        <v>0</v>
      </c>
      <c r="I17" s="290">
        <v>0</v>
      </c>
      <c r="J17" s="290">
        <v>0</v>
      </c>
      <c r="K17" s="290">
        <v>0</v>
      </c>
      <c r="L17" s="290">
        <v>0</v>
      </c>
      <c r="M17" s="290">
        <v>0</v>
      </c>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90"/>
      <c r="AQ17" s="290"/>
      <c r="AR17" s="290"/>
      <c r="AS17" s="290"/>
      <c r="AT17" s="290"/>
      <c r="AU17" s="290"/>
      <c r="AV17" s="290"/>
      <c r="AW17" s="290"/>
      <c r="AX17" s="290"/>
      <c r="AY17" s="290"/>
      <c r="AZ17" s="290"/>
      <c r="BA17" s="290"/>
      <c r="BB17" s="290"/>
      <c r="BC17" s="290"/>
      <c r="BD17" s="290"/>
      <c r="BE17" s="290"/>
      <c r="BF17" s="290"/>
      <c r="BG17" s="290"/>
      <c r="BH17" s="290"/>
    </row>
    <row r="18" spans="2:62" x14ac:dyDescent="0.2">
      <c r="B18" s="331"/>
      <c r="C18" s="59"/>
      <c r="D18" s="60" t="s">
        <v>390</v>
      </c>
      <c r="E18" s="302">
        <f t="shared" si="1"/>
        <v>0</v>
      </c>
      <c r="F18" s="290">
        <v>0</v>
      </c>
      <c r="G18" s="290">
        <v>0</v>
      </c>
      <c r="H18" s="290">
        <v>0</v>
      </c>
      <c r="I18" s="290">
        <v>0</v>
      </c>
      <c r="J18" s="290">
        <v>0</v>
      </c>
      <c r="K18" s="290">
        <v>0</v>
      </c>
      <c r="L18" s="290">
        <v>0</v>
      </c>
      <c r="M18" s="290">
        <v>0</v>
      </c>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row>
    <row r="19" spans="2:62" x14ac:dyDescent="0.2">
      <c r="B19" s="331"/>
      <c r="C19" s="59"/>
      <c r="D19" s="60" t="s">
        <v>391</v>
      </c>
      <c r="E19" s="302">
        <f t="shared" si="1"/>
        <v>0</v>
      </c>
      <c r="F19" s="290">
        <v>0</v>
      </c>
      <c r="G19" s="290">
        <v>0</v>
      </c>
      <c r="H19" s="290">
        <v>0</v>
      </c>
      <c r="I19" s="290">
        <v>0</v>
      </c>
      <c r="J19" s="290">
        <v>0</v>
      </c>
      <c r="K19" s="290">
        <v>0</v>
      </c>
      <c r="L19" s="290">
        <v>0</v>
      </c>
      <c r="M19" s="290">
        <v>0</v>
      </c>
      <c r="N19" s="290"/>
      <c r="O19" s="290"/>
      <c r="P19" s="290"/>
      <c r="Q19" s="290"/>
      <c r="R19" s="290"/>
      <c r="S19" s="290"/>
      <c r="T19" s="290"/>
      <c r="U19" s="290"/>
      <c r="V19" s="290"/>
      <c r="W19" s="290"/>
      <c r="X19" s="290"/>
      <c r="Y19" s="290"/>
      <c r="Z19" s="290"/>
      <c r="AA19" s="290"/>
      <c r="AB19" s="290"/>
      <c r="AC19" s="290"/>
      <c r="AD19" s="290"/>
      <c r="AE19" s="290"/>
      <c r="AF19" s="290"/>
      <c r="AG19" s="290"/>
      <c r="AH19" s="290"/>
      <c r="AI19" s="290"/>
      <c r="AJ19" s="290"/>
      <c r="AK19" s="290"/>
      <c r="AL19" s="290"/>
      <c r="AM19" s="290"/>
      <c r="AN19" s="290"/>
      <c r="AO19" s="290"/>
      <c r="AP19" s="290"/>
      <c r="AQ19" s="290"/>
      <c r="AR19" s="290"/>
      <c r="AS19" s="290"/>
      <c r="AT19" s="290"/>
      <c r="AU19" s="290"/>
      <c r="AV19" s="290"/>
      <c r="AW19" s="290"/>
      <c r="AX19" s="290"/>
      <c r="AY19" s="290"/>
      <c r="AZ19" s="290"/>
      <c r="BA19" s="290"/>
      <c r="BB19" s="290"/>
      <c r="BC19" s="290"/>
      <c r="BD19" s="290"/>
      <c r="BE19" s="290"/>
      <c r="BF19" s="290"/>
      <c r="BG19" s="290"/>
      <c r="BH19" s="290"/>
    </row>
    <row r="20" spans="2:62" x14ac:dyDescent="0.2">
      <c r="B20" s="331"/>
      <c r="C20" s="59"/>
      <c r="D20" s="173" t="s">
        <v>392</v>
      </c>
      <c r="E20" s="302">
        <f t="shared" si="1"/>
        <v>85519190.9537936</v>
      </c>
      <c r="F20" s="15">
        <f t="shared" ref="F20:AK20" si="2">SUM(F13:F19)</f>
        <v>52828917.986268312</v>
      </c>
      <c r="G20" s="15">
        <f t="shared" si="2"/>
        <v>13049401.683428204</v>
      </c>
      <c r="H20" s="15">
        <f t="shared" si="2"/>
        <v>-4180.1116204229183</v>
      </c>
      <c r="I20" s="15">
        <f t="shared" si="2"/>
        <v>65684.871045265463</v>
      </c>
      <c r="J20" s="15">
        <f t="shared" si="2"/>
        <v>76287.037072717212</v>
      </c>
      <c r="K20" s="15">
        <f t="shared" si="2"/>
        <v>79590.022401939641</v>
      </c>
      <c r="L20" s="15">
        <f t="shared" si="2"/>
        <v>392150.75838491099</v>
      </c>
      <c r="M20" s="15">
        <f t="shared" si="2"/>
        <v>19031338.706812672</v>
      </c>
      <c r="N20" s="15">
        <f t="shared" si="2"/>
        <v>0</v>
      </c>
      <c r="O20" s="15">
        <f t="shared" si="2"/>
        <v>0</v>
      </c>
      <c r="P20" s="15">
        <f t="shared" si="2"/>
        <v>0</v>
      </c>
      <c r="Q20" s="15">
        <f t="shared" si="2"/>
        <v>0</v>
      </c>
      <c r="R20" s="15">
        <f t="shared" si="2"/>
        <v>0</v>
      </c>
      <c r="S20" s="15">
        <f t="shared" si="2"/>
        <v>0</v>
      </c>
      <c r="T20" s="15">
        <f t="shared" si="2"/>
        <v>0</v>
      </c>
      <c r="U20" s="15">
        <f t="shared" si="2"/>
        <v>0</v>
      </c>
      <c r="V20" s="15">
        <f t="shared" si="2"/>
        <v>0</v>
      </c>
      <c r="W20" s="15">
        <f t="shared" si="2"/>
        <v>0</v>
      </c>
      <c r="X20" s="15">
        <f t="shared" si="2"/>
        <v>0</v>
      </c>
      <c r="Y20" s="15">
        <f t="shared" si="2"/>
        <v>0</v>
      </c>
      <c r="Z20" s="15">
        <f t="shared" si="2"/>
        <v>0</v>
      </c>
      <c r="AA20" s="15">
        <f t="shared" si="2"/>
        <v>0</v>
      </c>
      <c r="AB20" s="15">
        <f t="shared" si="2"/>
        <v>0</v>
      </c>
      <c r="AC20" s="15">
        <f t="shared" si="2"/>
        <v>0</v>
      </c>
      <c r="AD20" s="15">
        <f t="shared" si="2"/>
        <v>0</v>
      </c>
      <c r="AE20" s="15">
        <f t="shared" si="2"/>
        <v>0</v>
      </c>
      <c r="AF20" s="15">
        <f t="shared" si="2"/>
        <v>0</v>
      </c>
      <c r="AG20" s="15">
        <f t="shared" si="2"/>
        <v>0</v>
      </c>
      <c r="AH20" s="15">
        <f t="shared" si="2"/>
        <v>0</v>
      </c>
      <c r="AI20" s="15">
        <f t="shared" si="2"/>
        <v>0</v>
      </c>
      <c r="AJ20" s="15">
        <f t="shared" si="2"/>
        <v>0</v>
      </c>
      <c r="AK20" s="15">
        <f t="shared" si="2"/>
        <v>0</v>
      </c>
      <c r="AL20" s="15">
        <f t="shared" ref="AL20:BH20" si="3">SUM(AL13:AL19)</f>
        <v>0</v>
      </c>
      <c r="AM20" s="15">
        <f t="shared" si="3"/>
        <v>0</v>
      </c>
      <c r="AN20" s="15">
        <f t="shared" si="3"/>
        <v>0</v>
      </c>
      <c r="AO20" s="15">
        <f t="shared" si="3"/>
        <v>0</v>
      </c>
      <c r="AP20" s="15">
        <f t="shared" si="3"/>
        <v>0</v>
      </c>
      <c r="AQ20" s="15">
        <f t="shared" si="3"/>
        <v>0</v>
      </c>
      <c r="AR20" s="15">
        <f t="shared" si="3"/>
        <v>0</v>
      </c>
      <c r="AS20" s="15">
        <f t="shared" si="3"/>
        <v>0</v>
      </c>
      <c r="AT20" s="15">
        <f t="shared" si="3"/>
        <v>0</v>
      </c>
      <c r="AU20" s="15">
        <f t="shared" si="3"/>
        <v>0</v>
      </c>
      <c r="AV20" s="15">
        <f t="shared" si="3"/>
        <v>0</v>
      </c>
      <c r="AW20" s="15">
        <f t="shared" si="3"/>
        <v>0</v>
      </c>
      <c r="AX20" s="15">
        <f t="shared" si="3"/>
        <v>0</v>
      </c>
      <c r="AY20" s="15">
        <f t="shared" si="3"/>
        <v>0</v>
      </c>
      <c r="AZ20" s="15">
        <f t="shared" si="3"/>
        <v>0</v>
      </c>
      <c r="BA20" s="15">
        <f t="shared" si="3"/>
        <v>0</v>
      </c>
      <c r="BB20" s="15">
        <f t="shared" si="3"/>
        <v>0</v>
      </c>
      <c r="BC20" s="15">
        <f t="shared" si="3"/>
        <v>0</v>
      </c>
      <c r="BD20" s="15">
        <f t="shared" si="3"/>
        <v>0</v>
      </c>
      <c r="BE20" s="15">
        <f t="shared" si="3"/>
        <v>0</v>
      </c>
      <c r="BF20" s="15">
        <f t="shared" si="3"/>
        <v>0</v>
      </c>
      <c r="BG20" s="15">
        <f t="shared" si="3"/>
        <v>0</v>
      </c>
      <c r="BH20" s="15">
        <f t="shared" si="3"/>
        <v>0</v>
      </c>
    </row>
    <row r="21" spans="2:62" x14ac:dyDescent="0.2">
      <c r="B21" s="331"/>
      <c r="C21" s="59" t="s">
        <v>393</v>
      </c>
      <c r="D21" s="59"/>
      <c r="E21" s="302"/>
      <c r="F21" s="323"/>
      <c r="G21" s="323"/>
      <c r="H21" s="323"/>
      <c r="I21" s="323"/>
      <c r="J21" s="323"/>
      <c r="K21" s="323"/>
      <c r="L21" s="323"/>
      <c r="M21" s="323"/>
      <c r="N21" s="323"/>
      <c r="O21" s="323"/>
      <c r="P21" s="323"/>
      <c r="Q21" s="323"/>
      <c r="R21" s="323"/>
      <c r="S21" s="323"/>
      <c r="T21" s="323"/>
      <c r="U21" s="323"/>
      <c r="V21" s="323"/>
      <c r="W21" s="323"/>
      <c r="X21" s="323"/>
      <c r="Y21" s="323"/>
      <c r="Z21" s="323"/>
      <c r="AA21" s="323"/>
      <c r="AB21" s="323"/>
      <c r="AC21" s="323"/>
      <c r="AD21" s="323"/>
      <c r="AE21" s="323"/>
      <c r="AF21" s="323"/>
      <c r="AG21" s="323"/>
      <c r="AH21" s="323"/>
      <c r="AI21" s="323"/>
      <c r="AJ21" s="323"/>
      <c r="AK21" s="323"/>
      <c r="AL21" s="323"/>
      <c r="AM21" s="323"/>
      <c r="AN21" s="323"/>
      <c r="AO21" s="323"/>
      <c r="AP21" s="323"/>
      <c r="AQ21" s="323"/>
      <c r="AR21" s="323"/>
      <c r="AS21" s="323"/>
      <c r="AT21" s="323"/>
      <c r="AU21" s="323"/>
      <c r="AV21" s="323"/>
      <c r="AW21" s="323"/>
      <c r="AX21" s="323"/>
      <c r="AY21" s="323"/>
      <c r="AZ21" s="323"/>
      <c r="BA21" s="323"/>
      <c r="BB21" s="323"/>
      <c r="BC21" s="323"/>
      <c r="BD21" s="323"/>
      <c r="BE21" s="323"/>
      <c r="BF21" s="323"/>
      <c r="BG21" s="323"/>
      <c r="BH21" s="323"/>
    </row>
    <row r="22" spans="2:62" ht="25.5" x14ac:dyDescent="0.2">
      <c r="B22" s="331"/>
      <c r="C22" s="59"/>
      <c r="D22" s="60" t="s">
        <v>394</v>
      </c>
      <c r="E22" s="302">
        <f t="shared" ref="E22:E27" si="4">SUM(F22:BH22)</f>
        <v>0</v>
      </c>
      <c r="F22" s="290"/>
      <c r="G22" s="290"/>
      <c r="H22" s="290"/>
      <c r="I22" s="290"/>
      <c r="J22" s="290"/>
      <c r="K22" s="290"/>
      <c r="L22" s="290"/>
      <c r="M22" s="290"/>
      <c r="N22" s="290"/>
      <c r="O22" s="290"/>
      <c r="P22" s="290"/>
      <c r="Q22" s="290"/>
      <c r="R22" s="290"/>
      <c r="S22" s="290"/>
      <c r="T22" s="290"/>
      <c r="U22" s="290"/>
      <c r="V22" s="290"/>
      <c r="W22" s="290"/>
      <c r="X22" s="290"/>
      <c r="Y22" s="290"/>
      <c r="Z22" s="290"/>
      <c r="AA22" s="290"/>
      <c r="AB22" s="290"/>
      <c r="AC22" s="290"/>
      <c r="AD22" s="290"/>
      <c r="AE22" s="290"/>
      <c r="AF22" s="290"/>
      <c r="AG22" s="290"/>
      <c r="AH22" s="290"/>
      <c r="AI22" s="290"/>
      <c r="AJ22" s="290"/>
      <c r="AK22" s="290"/>
      <c r="AL22" s="290"/>
      <c r="AM22" s="290"/>
      <c r="AN22" s="290"/>
      <c r="AO22" s="290"/>
      <c r="AP22" s="290"/>
      <c r="AQ22" s="290"/>
      <c r="AR22" s="290"/>
      <c r="AS22" s="290"/>
      <c r="AT22" s="290"/>
      <c r="AU22" s="290"/>
      <c r="AV22" s="290"/>
      <c r="AW22" s="290"/>
      <c r="AX22" s="290"/>
      <c r="AY22" s="290"/>
      <c r="AZ22" s="290"/>
      <c r="BA22" s="290"/>
      <c r="BB22" s="290"/>
      <c r="BC22" s="290"/>
      <c r="BD22" s="290"/>
      <c r="BE22" s="290"/>
      <c r="BF22" s="290"/>
      <c r="BG22" s="290"/>
      <c r="BH22" s="290"/>
    </row>
    <row r="23" spans="2:62" x14ac:dyDescent="0.2">
      <c r="B23" s="331"/>
      <c r="C23" s="59"/>
      <c r="D23" s="60" t="s">
        <v>388</v>
      </c>
      <c r="E23" s="302">
        <f t="shared" si="4"/>
        <v>0</v>
      </c>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290"/>
      <c r="AM23" s="290"/>
      <c r="AN23" s="290"/>
      <c r="AO23" s="290"/>
      <c r="AP23" s="290"/>
      <c r="AQ23" s="290"/>
      <c r="AR23" s="290"/>
      <c r="AS23" s="290"/>
      <c r="AT23" s="290"/>
      <c r="AU23" s="290"/>
      <c r="AV23" s="290"/>
      <c r="AW23" s="290"/>
      <c r="AX23" s="290"/>
      <c r="AY23" s="290"/>
      <c r="AZ23" s="290"/>
      <c r="BA23" s="290"/>
      <c r="BB23" s="290"/>
      <c r="BC23" s="290"/>
      <c r="BD23" s="290"/>
      <c r="BE23" s="290"/>
      <c r="BF23" s="290"/>
      <c r="BG23" s="290"/>
      <c r="BH23" s="290"/>
    </row>
    <row r="24" spans="2:62" x14ac:dyDescent="0.2">
      <c r="B24" s="331"/>
      <c r="C24" s="59"/>
      <c r="D24" s="60" t="s">
        <v>232</v>
      </c>
      <c r="E24" s="302">
        <f t="shared" si="4"/>
        <v>2715218.4913878697</v>
      </c>
      <c r="F24" s="290">
        <v>0</v>
      </c>
      <c r="G24" s="290">
        <v>741330.15413133684</v>
      </c>
      <c r="H24" s="290">
        <v>212186.36472918175</v>
      </c>
      <c r="I24" s="290">
        <v>133571.30915857331</v>
      </c>
      <c r="J24" s="290">
        <v>592243.56195307558</v>
      </c>
      <c r="K24" s="290">
        <v>370226.02649227454</v>
      </c>
      <c r="L24" s="290">
        <v>113504.26607386791</v>
      </c>
      <c r="M24" s="290">
        <v>552156.80884955963</v>
      </c>
      <c r="N24" s="290"/>
      <c r="O24" s="290"/>
      <c r="P24" s="290"/>
      <c r="Q24" s="290"/>
      <c r="R24" s="290"/>
      <c r="S24" s="290"/>
      <c r="T24" s="290"/>
      <c r="U24" s="290"/>
      <c r="V24" s="290"/>
      <c r="W24" s="290"/>
      <c r="X24" s="290"/>
      <c r="Y24" s="290"/>
      <c r="Z24" s="290"/>
      <c r="AA24" s="290"/>
      <c r="AB24" s="290"/>
      <c r="AC24" s="290"/>
      <c r="AD24" s="290"/>
      <c r="AE24" s="290"/>
      <c r="AF24" s="290"/>
      <c r="AG24" s="290"/>
      <c r="AH24" s="290"/>
      <c r="AI24" s="290"/>
      <c r="AJ24" s="290"/>
      <c r="AK24" s="290"/>
      <c r="AL24" s="290"/>
      <c r="AM24" s="290"/>
      <c r="AN24" s="290"/>
      <c r="AO24" s="290"/>
      <c r="AP24" s="290"/>
      <c r="AQ24" s="290"/>
      <c r="AR24" s="290"/>
      <c r="AS24" s="290"/>
      <c r="AT24" s="290"/>
      <c r="AU24" s="290"/>
      <c r="AV24" s="290"/>
      <c r="AW24" s="290"/>
      <c r="AX24" s="290"/>
      <c r="AY24" s="290"/>
      <c r="AZ24" s="290"/>
      <c r="BA24" s="290"/>
      <c r="BB24" s="290"/>
      <c r="BC24" s="290"/>
      <c r="BD24" s="290"/>
      <c r="BE24" s="290"/>
      <c r="BF24" s="290"/>
      <c r="BG24" s="290"/>
      <c r="BH24" s="290"/>
    </row>
    <row r="25" spans="2:62" x14ac:dyDescent="0.2">
      <c r="B25" s="331"/>
      <c r="C25" s="59"/>
      <c r="D25" s="60" t="s">
        <v>389</v>
      </c>
      <c r="E25" s="302">
        <f t="shared" si="4"/>
        <v>0</v>
      </c>
      <c r="F25" s="290">
        <v>0</v>
      </c>
      <c r="G25" s="290">
        <v>0</v>
      </c>
      <c r="H25" s="290">
        <v>0</v>
      </c>
      <c r="I25" s="290">
        <v>0</v>
      </c>
      <c r="J25" s="290">
        <v>0</v>
      </c>
      <c r="K25" s="290">
        <v>0</v>
      </c>
      <c r="L25" s="290">
        <v>0</v>
      </c>
      <c r="M25" s="290">
        <v>0</v>
      </c>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c r="AX25" s="290"/>
      <c r="AY25" s="290"/>
      <c r="AZ25" s="290"/>
      <c r="BA25" s="290"/>
      <c r="BB25" s="290"/>
      <c r="BC25" s="290"/>
      <c r="BD25" s="290"/>
      <c r="BE25" s="290"/>
      <c r="BF25" s="290"/>
      <c r="BG25" s="290"/>
      <c r="BH25" s="290"/>
    </row>
    <row r="26" spans="2:62" x14ac:dyDescent="0.2">
      <c r="B26" s="331"/>
      <c r="C26" s="59"/>
      <c r="D26" s="60" t="s">
        <v>390</v>
      </c>
      <c r="E26" s="302">
        <f t="shared" si="4"/>
        <v>-7740.9697249212886</v>
      </c>
      <c r="F26" s="290">
        <v>0</v>
      </c>
      <c r="G26" s="290">
        <v>0</v>
      </c>
      <c r="H26" s="290">
        <v>0</v>
      </c>
      <c r="I26" s="290">
        <v>0</v>
      </c>
      <c r="J26" s="290">
        <v>0</v>
      </c>
      <c r="K26" s="290">
        <v>0</v>
      </c>
      <c r="L26" s="290">
        <v>0</v>
      </c>
      <c r="M26" s="290">
        <v>-7740.9697249212886</v>
      </c>
      <c r="N26" s="290"/>
      <c r="O26" s="290"/>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290"/>
      <c r="AM26" s="290"/>
      <c r="AN26" s="290"/>
      <c r="AO26" s="290"/>
      <c r="AP26" s="290"/>
      <c r="AQ26" s="290"/>
      <c r="AR26" s="290"/>
      <c r="AS26" s="290"/>
      <c r="AT26" s="290"/>
      <c r="AU26" s="290"/>
      <c r="AV26" s="290"/>
      <c r="AW26" s="290"/>
      <c r="AX26" s="290"/>
      <c r="AY26" s="290"/>
      <c r="AZ26" s="290"/>
      <c r="BA26" s="290"/>
      <c r="BB26" s="290"/>
      <c r="BC26" s="290"/>
      <c r="BD26" s="290"/>
      <c r="BE26" s="290"/>
      <c r="BF26" s="290"/>
      <c r="BG26" s="290"/>
      <c r="BH26" s="290"/>
    </row>
    <row r="27" spans="2:62" x14ac:dyDescent="0.2">
      <c r="B27" s="331"/>
      <c r="C27" s="59"/>
      <c r="D27" s="60" t="s">
        <v>391</v>
      </c>
      <c r="E27" s="302">
        <f t="shared" si="4"/>
        <v>74116.078131633025</v>
      </c>
      <c r="F27" s="290">
        <v>0</v>
      </c>
      <c r="G27" s="290">
        <v>0</v>
      </c>
      <c r="H27" s="290">
        <v>0</v>
      </c>
      <c r="I27" s="290">
        <v>0</v>
      </c>
      <c r="J27" s="290">
        <v>0</v>
      </c>
      <c r="K27" s="290">
        <v>0</v>
      </c>
      <c r="L27" s="290">
        <v>0</v>
      </c>
      <c r="M27" s="290">
        <v>74116.078131633025</v>
      </c>
      <c r="N27" s="290"/>
      <c r="O27" s="290"/>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290"/>
      <c r="AM27" s="290"/>
      <c r="AN27" s="290"/>
      <c r="AO27" s="290"/>
      <c r="AP27" s="290"/>
      <c r="AQ27" s="290"/>
      <c r="AR27" s="290"/>
      <c r="AS27" s="290"/>
      <c r="AT27" s="290"/>
      <c r="AU27" s="290"/>
      <c r="AV27" s="290"/>
      <c r="AW27" s="290"/>
      <c r="AX27" s="290"/>
      <c r="AY27" s="290"/>
      <c r="AZ27" s="290"/>
      <c r="BA27" s="290"/>
      <c r="BB27" s="290"/>
      <c r="BC27" s="290"/>
      <c r="BD27" s="290"/>
      <c r="BE27" s="290"/>
      <c r="BF27" s="290"/>
      <c r="BG27" s="290"/>
      <c r="BH27" s="290"/>
    </row>
    <row r="28" spans="2:62" x14ac:dyDescent="0.2">
      <c r="B28" s="331"/>
      <c r="C28" s="59"/>
      <c r="D28" s="173" t="s">
        <v>395</v>
      </c>
      <c r="E28" s="302">
        <f>SUM(F28:BH28)</f>
        <v>2781593.5997945815</v>
      </c>
      <c r="F28" s="15">
        <f>SUM(F22:F27)</f>
        <v>0</v>
      </c>
      <c r="G28" s="15">
        <f t="shared" ref="G28:BH28" si="5">SUM(G22:G27)</f>
        <v>741330.15413133684</v>
      </c>
      <c r="H28" s="15">
        <f t="shared" si="5"/>
        <v>212186.36472918175</v>
      </c>
      <c r="I28" s="15">
        <f t="shared" si="5"/>
        <v>133571.30915857331</v>
      </c>
      <c r="J28" s="15">
        <f t="shared" si="5"/>
        <v>592243.56195307558</v>
      </c>
      <c r="K28" s="15">
        <f t="shared" si="5"/>
        <v>370226.02649227454</v>
      </c>
      <c r="L28" s="15">
        <f t="shared" si="5"/>
        <v>113504.26607386791</v>
      </c>
      <c r="M28" s="15">
        <f t="shared" si="5"/>
        <v>618531.91725627135</v>
      </c>
      <c r="N28" s="15">
        <f t="shared" si="5"/>
        <v>0</v>
      </c>
      <c r="O28" s="15">
        <f t="shared" si="5"/>
        <v>0</v>
      </c>
      <c r="P28" s="15">
        <f t="shared" si="5"/>
        <v>0</v>
      </c>
      <c r="Q28" s="15">
        <f t="shared" si="5"/>
        <v>0</v>
      </c>
      <c r="R28" s="15">
        <f t="shared" si="5"/>
        <v>0</v>
      </c>
      <c r="S28" s="15">
        <f t="shared" si="5"/>
        <v>0</v>
      </c>
      <c r="T28" s="15">
        <f t="shared" si="5"/>
        <v>0</v>
      </c>
      <c r="U28" s="15">
        <f t="shared" si="5"/>
        <v>0</v>
      </c>
      <c r="V28" s="15">
        <f t="shared" si="5"/>
        <v>0</v>
      </c>
      <c r="W28" s="15">
        <f t="shared" si="5"/>
        <v>0</v>
      </c>
      <c r="X28" s="15">
        <f t="shared" si="5"/>
        <v>0</v>
      </c>
      <c r="Y28" s="15">
        <f t="shared" si="5"/>
        <v>0</v>
      </c>
      <c r="Z28" s="15">
        <f t="shared" si="5"/>
        <v>0</v>
      </c>
      <c r="AA28" s="15">
        <f t="shared" si="5"/>
        <v>0</v>
      </c>
      <c r="AB28" s="15">
        <f t="shared" si="5"/>
        <v>0</v>
      </c>
      <c r="AC28" s="15">
        <f t="shared" si="5"/>
        <v>0</v>
      </c>
      <c r="AD28" s="15">
        <f t="shared" si="5"/>
        <v>0</v>
      </c>
      <c r="AE28" s="15">
        <f t="shared" si="5"/>
        <v>0</v>
      </c>
      <c r="AF28" s="15">
        <f t="shared" si="5"/>
        <v>0</v>
      </c>
      <c r="AG28" s="15">
        <f t="shared" si="5"/>
        <v>0</v>
      </c>
      <c r="AH28" s="15">
        <f t="shared" si="5"/>
        <v>0</v>
      </c>
      <c r="AI28" s="15">
        <f t="shared" si="5"/>
        <v>0</v>
      </c>
      <c r="AJ28" s="15">
        <f t="shared" si="5"/>
        <v>0</v>
      </c>
      <c r="AK28" s="15">
        <f t="shared" si="5"/>
        <v>0</v>
      </c>
      <c r="AL28" s="15">
        <f t="shared" si="5"/>
        <v>0</v>
      </c>
      <c r="AM28" s="15">
        <f t="shared" si="5"/>
        <v>0</v>
      </c>
      <c r="AN28" s="15">
        <f t="shared" si="5"/>
        <v>0</v>
      </c>
      <c r="AO28" s="15">
        <f t="shared" si="5"/>
        <v>0</v>
      </c>
      <c r="AP28" s="15">
        <f t="shared" si="5"/>
        <v>0</v>
      </c>
      <c r="AQ28" s="15">
        <f t="shared" si="5"/>
        <v>0</v>
      </c>
      <c r="AR28" s="15">
        <f t="shared" si="5"/>
        <v>0</v>
      </c>
      <c r="AS28" s="15">
        <f t="shared" si="5"/>
        <v>0</v>
      </c>
      <c r="AT28" s="15">
        <f t="shared" si="5"/>
        <v>0</v>
      </c>
      <c r="AU28" s="15">
        <f t="shared" si="5"/>
        <v>0</v>
      </c>
      <c r="AV28" s="15">
        <f t="shared" si="5"/>
        <v>0</v>
      </c>
      <c r="AW28" s="15">
        <f t="shared" si="5"/>
        <v>0</v>
      </c>
      <c r="AX28" s="15">
        <f t="shared" si="5"/>
        <v>0</v>
      </c>
      <c r="AY28" s="15">
        <f t="shared" si="5"/>
        <v>0</v>
      </c>
      <c r="AZ28" s="15">
        <f t="shared" si="5"/>
        <v>0</v>
      </c>
      <c r="BA28" s="15">
        <f t="shared" si="5"/>
        <v>0</v>
      </c>
      <c r="BB28" s="15">
        <f t="shared" si="5"/>
        <v>0</v>
      </c>
      <c r="BC28" s="15">
        <f t="shared" si="5"/>
        <v>0</v>
      </c>
      <c r="BD28" s="15">
        <f t="shared" si="5"/>
        <v>0</v>
      </c>
      <c r="BE28" s="15">
        <f t="shared" si="5"/>
        <v>0</v>
      </c>
      <c r="BF28" s="15">
        <f t="shared" si="5"/>
        <v>0</v>
      </c>
      <c r="BG28" s="15">
        <f t="shared" si="5"/>
        <v>0</v>
      </c>
      <c r="BH28" s="15">
        <f t="shared" si="5"/>
        <v>0</v>
      </c>
    </row>
    <row r="29" spans="2:62" x14ac:dyDescent="0.2">
      <c r="B29" s="331"/>
      <c r="C29" s="59"/>
      <c r="D29" s="59" t="s">
        <v>85</v>
      </c>
      <c r="E29" s="302">
        <f>E20+E28</f>
        <v>88300784.553588182</v>
      </c>
      <c r="F29" s="302">
        <f>F20+F28</f>
        <v>52828917.986268312</v>
      </c>
      <c r="G29" s="302">
        <f t="shared" ref="G29:AJ29" si="6">G20+G28</f>
        <v>13790731.83755954</v>
      </c>
      <c r="H29" s="302">
        <f t="shared" si="6"/>
        <v>208006.25310875883</v>
      </c>
      <c r="I29" s="302">
        <f t="shared" si="6"/>
        <v>199256.18020383877</v>
      </c>
      <c r="J29" s="302">
        <f t="shared" si="6"/>
        <v>668530.59902579279</v>
      </c>
      <c r="K29" s="302">
        <f t="shared" si="6"/>
        <v>449816.04889421421</v>
      </c>
      <c r="L29" s="302">
        <f t="shared" si="6"/>
        <v>505655.02445877891</v>
      </c>
      <c r="M29" s="302">
        <f t="shared" si="6"/>
        <v>19649870.624068942</v>
      </c>
      <c r="N29" s="302">
        <f t="shared" si="6"/>
        <v>0</v>
      </c>
      <c r="O29" s="302">
        <f t="shared" si="6"/>
        <v>0</v>
      </c>
      <c r="P29" s="302">
        <f t="shared" si="6"/>
        <v>0</v>
      </c>
      <c r="Q29" s="302">
        <f t="shared" si="6"/>
        <v>0</v>
      </c>
      <c r="R29" s="302">
        <f t="shared" si="6"/>
        <v>0</v>
      </c>
      <c r="S29" s="302">
        <f t="shared" si="6"/>
        <v>0</v>
      </c>
      <c r="T29" s="302">
        <f t="shared" si="6"/>
        <v>0</v>
      </c>
      <c r="U29" s="302">
        <f t="shared" si="6"/>
        <v>0</v>
      </c>
      <c r="V29" s="302">
        <f t="shared" si="6"/>
        <v>0</v>
      </c>
      <c r="W29" s="302">
        <f t="shared" si="6"/>
        <v>0</v>
      </c>
      <c r="X29" s="302">
        <f t="shared" si="6"/>
        <v>0</v>
      </c>
      <c r="Y29" s="302">
        <f t="shared" si="6"/>
        <v>0</v>
      </c>
      <c r="Z29" s="302">
        <f t="shared" si="6"/>
        <v>0</v>
      </c>
      <c r="AA29" s="302">
        <f t="shared" si="6"/>
        <v>0</v>
      </c>
      <c r="AB29" s="302">
        <f t="shared" si="6"/>
        <v>0</v>
      </c>
      <c r="AC29" s="302">
        <f t="shared" si="6"/>
        <v>0</v>
      </c>
      <c r="AD29" s="302">
        <f t="shared" si="6"/>
        <v>0</v>
      </c>
      <c r="AE29" s="302">
        <f t="shared" si="6"/>
        <v>0</v>
      </c>
      <c r="AF29" s="302">
        <f t="shared" si="6"/>
        <v>0</v>
      </c>
      <c r="AG29" s="302">
        <f t="shared" si="6"/>
        <v>0</v>
      </c>
      <c r="AH29" s="302">
        <f t="shared" si="6"/>
        <v>0</v>
      </c>
      <c r="AI29" s="302">
        <f t="shared" si="6"/>
        <v>0</v>
      </c>
      <c r="AJ29" s="302">
        <f t="shared" si="6"/>
        <v>0</v>
      </c>
      <c r="AK29" s="302">
        <f t="shared" ref="AK29:BH29" si="7">AK20+AK28</f>
        <v>0</v>
      </c>
      <c r="AL29" s="302">
        <f t="shared" si="7"/>
        <v>0</v>
      </c>
      <c r="AM29" s="302">
        <f t="shared" si="7"/>
        <v>0</v>
      </c>
      <c r="AN29" s="302">
        <f t="shared" si="7"/>
        <v>0</v>
      </c>
      <c r="AO29" s="302">
        <f t="shared" si="7"/>
        <v>0</v>
      </c>
      <c r="AP29" s="302">
        <f t="shared" si="7"/>
        <v>0</v>
      </c>
      <c r="AQ29" s="302">
        <f t="shared" si="7"/>
        <v>0</v>
      </c>
      <c r="AR29" s="302">
        <f t="shared" si="7"/>
        <v>0</v>
      </c>
      <c r="AS29" s="302">
        <f t="shared" si="7"/>
        <v>0</v>
      </c>
      <c r="AT29" s="302">
        <f t="shared" si="7"/>
        <v>0</v>
      </c>
      <c r="AU29" s="302">
        <f t="shared" si="7"/>
        <v>0</v>
      </c>
      <c r="AV29" s="302">
        <f t="shared" si="7"/>
        <v>0</v>
      </c>
      <c r="AW29" s="302">
        <f t="shared" si="7"/>
        <v>0</v>
      </c>
      <c r="AX29" s="302">
        <f t="shared" si="7"/>
        <v>0</v>
      </c>
      <c r="AY29" s="302">
        <f t="shared" si="7"/>
        <v>0</v>
      </c>
      <c r="AZ29" s="302">
        <f t="shared" si="7"/>
        <v>0</v>
      </c>
      <c r="BA29" s="302">
        <f t="shared" si="7"/>
        <v>0</v>
      </c>
      <c r="BB29" s="302">
        <f t="shared" si="7"/>
        <v>0</v>
      </c>
      <c r="BC29" s="302">
        <f t="shared" si="7"/>
        <v>0</v>
      </c>
      <c r="BD29" s="302">
        <f t="shared" si="7"/>
        <v>0</v>
      </c>
      <c r="BE29" s="302">
        <f t="shared" si="7"/>
        <v>0</v>
      </c>
      <c r="BF29" s="302">
        <f t="shared" si="7"/>
        <v>0</v>
      </c>
      <c r="BG29" s="302">
        <f t="shared" si="7"/>
        <v>0</v>
      </c>
      <c r="BH29" s="302">
        <f t="shared" si="7"/>
        <v>0</v>
      </c>
    </row>
    <row r="30" spans="2:62" x14ac:dyDescent="0.2">
      <c r="B30" s="331"/>
      <c r="C30" s="59" t="s">
        <v>396</v>
      </c>
      <c r="D30" s="59"/>
      <c r="E30" s="302"/>
      <c r="F30" s="323"/>
      <c r="G30" s="323"/>
      <c r="H30" s="323"/>
      <c r="I30" s="323"/>
      <c r="J30" s="323"/>
      <c r="K30" s="323"/>
      <c r="L30" s="323"/>
      <c r="M30" s="323"/>
      <c r="N30" s="323"/>
      <c r="O30" s="323"/>
      <c r="P30" s="323"/>
      <c r="Q30" s="323"/>
      <c r="R30" s="323"/>
      <c r="S30" s="323"/>
      <c r="T30" s="323"/>
      <c r="U30" s="323"/>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323"/>
      <c r="BC30" s="323"/>
      <c r="BD30" s="323"/>
      <c r="BE30" s="323"/>
      <c r="BF30" s="323"/>
      <c r="BG30" s="323"/>
      <c r="BH30" s="323"/>
    </row>
    <row r="31" spans="2:62" x14ac:dyDescent="0.2">
      <c r="B31" s="331"/>
      <c r="C31" s="59"/>
      <c r="D31" s="61" t="s">
        <v>136</v>
      </c>
      <c r="E31" s="302">
        <f t="shared" ref="E31:E37" si="8">SUM(F31:BH31)</f>
        <v>63065580.821421288</v>
      </c>
      <c r="F31" s="290">
        <v>1103374.8</v>
      </c>
      <c r="G31" s="290">
        <v>7971906.0999999996</v>
      </c>
      <c r="H31" s="290">
        <v>8139662.0599999996</v>
      </c>
      <c r="I31" s="290">
        <v>8210321.7000000002</v>
      </c>
      <c r="J31" s="290">
        <v>8484681</v>
      </c>
      <c r="K31" s="290">
        <v>9123008.6300000008</v>
      </c>
      <c r="L31" s="290">
        <v>9561445.7956801318</v>
      </c>
      <c r="M31" s="290">
        <v>10471180.735741159</v>
      </c>
      <c r="N31" s="290"/>
      <c r="O31" s="290"/>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290"/>
      <c r="AM31" s="290"/>
      <c r="AN31" s="290"/>
      <c r="AO31" s="290"/>
      <c r="AP31" s="290"/>
      <c r="AQ31" s="290"/>
      <c r="AR31" s="290"/>
      <c r="AS31" s="290"/>
      <c r="AT31" s="290"/>
      <c r="AU31" s="290"/>
      <c r="AV31" s="290"/>
      <c r="AW31" s="290"/>
      <c r="AX31" s="290"/>
      <c r="AY31" s="290"/>
      <c r="AZ31" s="290"/>
      <c r="BA31" s="290"/>
      <c r="BB31" s="290"/>
      <c r="BC31" s="290"/>
      <c r="BD31" s="290"/>
      <c r="BE31" s="290"/>
      <c r="BF31" s="290"/>
      <c r="BG31" s="290"/>
      <c r="BH31" s="290"/>
    </row>
    <row r="32" spans="2:62" x14ac:dyDescent="0.2">
      <c r="B32" s="331"/>
      <c r="C32" s="59"/>
      <c r="D32" s="61" t="s">
        <v>397</v>
      </c>
      <c r="E32" s="302">
        <f t="shared" si="8"/>
        <v>-10358089.994104099</v>
      </c>
      <c r="F32" s="290">
        <v>-60255.283940111411</v>
      </c>
      <c r="G32" s="290">
        <v>-1339897.8345457059</v>
      </c>
      <c r="H32" s="290">
        <v>-1168264.9556741095</v>
      </c>
      <c r="I32" s="290">
        <v>-911470.28496768617</v>
      </c>
      <c r="J32" s="290">
        <v>-1147350.1164054933</v>
      </c>
      <c r="K32" s="290">
        <v>-1786774.9186434525</v>
      </c>
      <c r="L32" s="290">
        <v>-1915645.3578808457</v>
      </c>
      <c r="M32" s="290">
        <v>-2028431.2420466945</v>
      </c>
      <c r="N32" s="290"/>
      <c r="O32" s="290"/>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290"/>
      <c r="AM32" s="290"/>
      <c r="AN32" s="290"/>
      <c r="AO32" s="290"/>
      <c r="AP32" s="290"/>
      <c r="AQ32" s="290"/>
      <c r="AR32" s="290"/>
      <c r="AS32" s="290"/>
      <c r="AT32" s="290"/>
      <c r="AU32" s="290"/>
      <c r="AV32" s="290"/>
      <c r="AW32" s="290"/>
      <c r="AX32" s="290"/>
      <c r="AY32" s="290"/>
      <c r="AZ32" s="290"/>
      <c r="BA32" s="290"/>
      <c r="BB32" s="290"/>
      <c r="BC32" s="290"/>
      <c r="BD32" s="290"/>
      <c r="BE32" s="290"/>
      <c r="BF32" s="290"/>
      <c r="BG32" s="290"/>
      <c r="BH32" s="290"/>
      <c r="BJ32" s="273"/>
    </row>
    <row r="33" spans="2:60" x14ac:dyDescent="0.2">
      <c r="B33" s="331"/>
      <c r="C33" s="59"/>
      <c r="D33" s="61" t="s">
        <v>398</v>
      </c>
      <c r="E33" s="302">
        <f t="shared" si="8"/>
        <v>-4991637.0559972599</v>
      </c>
      <c r="F33" s="290">
        <v>0</v>
      </c>
      <c r="G33" s="290">
        <v>-532373.26213531999</v>
      </c>
      <c r="H33" s="290">
        <v>-539733.8048093993</v>
      </c>
      <c r="I33" s="290">
        <v>-630233.16821739159</v>
      </c>
      <c r="J33" s="290">
        <v>-731560.89632844483</v>
      </c>
      <c r="K33" s="290">
        <v>-785596.7342657384</v>
      </c>
      <c r="L33" s="290">
        <v>-850788.16769350611</v>
      </c>
      <c r="M33" s="290">
        <v>-921351.02254746004</v>
      </c>
      <c r="N33" s="290"/>
      <c r="O33" s="290"/>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290"/>
      <c r="AM33" s="290"/>
      <c r="AN33" s="290"/>
      <c r="AO33" s="290"/>
      <c r="AP33" s="290"/>
      <c r="AQ33" s="290"/>
      <c r="AR33" s="290"/>
      <c r="AS33" s="290"/>
      <c r="AT33" s="290"/>
      <c r="AU33" s="290"/>
      <c r="AV33" s="290"/>
      <c r="AW33" s="290"/>
      <c r="AX33" s="290"/>
      <c r="AY33" s="290"/>
      <c r="AZ33" s="290"/>
      <c r="BA33" s="290"/>
      <c r="BB33" s="290"/>
      <c r="BC33" s="290"/>
      <c r="BD33" s="290"/>
      <c r="BE33" s="290"/>
      <c r="BF33" s="290"/>
      <c r="BG33" s="290"/>
      <c r="BH33" s="290"/>
    </row>
    <row r="34" spans="2:60" x14ac:dyDescent="0.2">
      <c r="B34" s="331"/>
      <c r="C34" s="59"/>
      <c r="D34" s="60" t="s">
        <v>399</v>
      </c>
      <c r="E34" s="302">
        <f t="shared" si="8"/>
        <v>-42631.445367838023</v>
      </c>
      <c r="F34" s="290">
        <v>0</v>
      </c>
      <c r="G34" s="290">
        <v>0</v>
      </c>
      <c r="H34" s="290">
        <v>-5920.0635291329208</v>
      </c>
      <c r="I34" s="290">
        <v>-5153.5198803943313</v>
      </c>
      <c r="J34" s="290">
        <v>-4270.7157008228141</v>
      </c>
      <c r="K34" s="290">
        <v>-7870.7186752658226</v>
      </c>
      <c r="L34" s="290">
        <v>-8706.4933008722492</v>
      </c>
      <c r="M34" s="290">
        <v>-10709.934281349886</v>
      </c>
      <c r="N34" s="290"/>
      <c r="O34" s="290"/>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290"/>
      <c r="AM34" s="290"/>
      <c r="AN34" s="290"/>
      <c r="AO34" s="290"/>
      <c r="AP34" s="290"/>
      <c r="AQ34" s="290"/>
      <c r="AR34" s="290"/>
      <c r="AS34" s="290"/>
      <c r="AT34" s="290"/>
      <c r="AU34" s="290"/>
      <c r="AV34" s="290"/>
      <c r="AW34" s="290"/>
      <c r="AX34" s="290"/>
      <c r="AY34" s="290"/>
      <c r="AZ34" s="290"/>
      <c r="BA34" s="290"/>
      <c r="BB34" s="290"/>
      <c r="BC34" s="290"/>
      <c r="BD34" s="290"/>
      <c r="BE34" s="290"/>
      <c r="BF34" s="290"/>
      <c r="BG34" s="290"/>
      <c r="BH34" s="290"/>
    </row>
    <row r="35" spans="2:60" x14ac:dyDescent="0.2">
      <c r="B35" s="331"/>
      <c r="C35" s="59"/>
      <c r="D35" s="61" t="s">
        <v>400</v>
      </c>
      <c r="E35" s="302">
        <f>SUM(F35:BH35)</f>
        <v>-25210175.849296492</v>
      </c>
      <c r="F35" s="290">
        <v>0</v>
      </c>
      <c r="G35" s="290">
        <v>-3603457.0315339938</v>
      </c>
      <c r="H35" s="290">
        <v>-3799769.3438562932</v>
      </c>
      <c r="I35" s="290">
        <v>-3624697.8045314159</v>
      </c>
      <c r="J35" s="290">
        <v>-3361812.4684773744</v>
      </c>
      <c r="K35" s="290">
        <v>-3593499.156311295</v>
      </c>
      <c r="L35" s="290">
        <v>-3610601.0854573073</v>
      </c>
      <c r="M35" s="290">
        <v>-3616338.9591288129</v>
      </c>
      <c r="N35" s="290"/>
      <c r="O35" s="290"/>
      <c r="P35" s="290"/>
      <c r="Q35" s="290"/>
      <c r="R35" s="290"/>
      <c r="S35" s="290"/>
      <c r="T35" s="290"/>
      <c r="U35" s="290"/>
      <c r="V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row>
    <row r="36" spans="2:60" x14ac:dyDescent="0.2">
      <c r="B36" s="331"/>
      <c r="C36" s="59"/>
      <c r="D36" s="59" t="s">
        <v>401</v>
      </c>
      <c r="E36" s="302">
        <f t="shared" si="8"/>
        <v>22463046.476655602</v>
      </c>
      <c r="F36" s="15">
        <f t="shared" ref="F36:M36" si="9">SUM(F31:F35)</f>
        <v>1043119.5160598886</v>
      </c>
      <c r="G36" s="15">
        <f t="shared" si="9"/>
        <v>2496177.97178498</v>
      </c>
      <c r="H36" s="15">
        <f t="shared" si="9"/>
        <v>2625973.8921310655</v>
      </c>
      <c r="I36" s="15">
        <f t="shared" si="9"/>
        <v>3038766.9224031121</v>
      </c>
      <c r="J36" s="15">
        <f t="shared" si="9"/>
        <v>3239686.8030878645</v>
      </c>
      <c r="K36" s="15">
        <f t="shared" si="9"/>
        <v>2949267.1021042494</v>
      </c>
      <c r="L36" s="15">
        <f t="shared" si="9"/>
        <v>3175704.6913476009</v>
      </c>
      <c r="M36" s="15">
        <f t="shared" si="9"/>
        <v>3894349.5777368406</v>
      </c>
      <c r="N36" s="15">
        <f t="shared" ref="N36:AK36" si="10">SUM(N31:N35)</f>
        <v>0</v>
      </c>
      <c r="O36" s="15">
        <f t="shared" si="10"/>
        <v>0</v>
      </c>
      <c r="P36" s="15">
        <f t="shared" si="10"/>
        <v>0</v>
      </c>
      <c r="Q36" s="15">
        <f t="shared" si="10"/>
        <v>0</v>
      </c>
      <c r="R36" s="15">
        <f t="shared" si="10"/>
        <v>0</v>
      </c>
      <c r="S36" s="15">
        <f t="shared" si="10"/>
        <v>0</v>
      </c>
      <c r="T36" s="15">
        <f t="shared" si="10"/>
        <v>0</v>
      </c>
      <c r="U36" s="15">
        <f t="shared" si="10"/>
        <v>0</v>
      </c>
      <c r="V36" s="15">
        <f t="shared" si="10"/>
        <v>0</v>
      </c>
      <c r="W36" s="15">
        <f t="shared" si="10"/>
        <v>0</v>
      </c>
      <c r="X36" s="15">
        <f t="shared" si="10"/>
        <v>0</v>
      </c>
      <c r="Y36" s="15">
        <f t="shared" si="10"/>
        <v>0</v>
      </c>
      <c r="Z36" s="15">
        <f t="shared" si="10"/>
        <v>0</v>
      </c>
      <c r="AA36" s="15">
        <f t="shared" si="10"/>
        <v>0</v>
      </c>
      <c r="AB36" s="15">
        <f t="shared" si="10"/>
        <v>0</v>
      </c>
      <c r="AC36" s="15">
        <f t="shared" si="10"/>
        <v>0</v>
      </c>
      <c r="AD36" s="15">
        <f t="shared" si="10"/>
        <v>0</v>
      </c>
      <c r="AE36" s="15">
        <f t="shared" si="10"/>
        <v>0</v>
      </c>
      <c r="AF36" s="15">
        <f t="shared" si="10"/>
        <v>0</v>
      </c>
      <c r="AG36" s="15">
        <f t="shared" si="10"/>
        <v>0</v>
      </c>
      <c r="AH36" s="15">
        <f t="shared" si="10"/>
        <v>0</v>
      </c>
      <c r="AI36" s="15">
        <f t="shared" si="10"/>
        <v>0</v>
      </c>
      <c r="AJ36" s="15">
        <f t="shared" si="10"/>
        <v>0</v>
      </c>
      <c r="AK36" s="15">
        <f t="shared" si="10"/>
        <v>0</v>
      </c>
      <c r="AL36" s="15">
        <f t="shared" ref="AL36:BH36" si="11">SUM(AL31:AL35)</f>
        <v>0</v>
      </c>
      <c r="AM36" s="15">
        <f t="shared" si="11"/>
        <v>0</v>
      </c>
      <c r="AN36" s="15">
        <f t="shared" si="11"/>
        <v>0</v>
      </c>
      <c r="AO36" s="15">
        <f t="shared" si="11"/>
        <v>0</v>
      </c>
      <c r="AP36" s="15">
        <f t="shared" si="11"/>
        <v>0</v>
      </c>
      <c r="AQ36" s="15">
        <f t="shared" si="11"/>
        <v>0</v>
      </c>
      <c r="AR36" s="15">
        <f t="shared" si="11"/>
        <v>0</v>
      </c>
      <c r="AS36" s="15">
        <f t="shared" si="11"/>
        <v>0</v>
      </c>
      <c r="AT36" s="15">
        <f t="shared" si="11"/>
        <v>0</v>
      </c>
      <c r="AU36" s="15">
        <f t="shared" si="11"/>
        <v>0</v>
      </c>
      <c r="AV36" s="15">
        <f t="shared" si="11"/>
        <v>0</v>
      </c>
      <c r="AW36" s="15">
        <f t="shared" si="11"/>
        <v>0</v>
      </c>
      <c r="AX36" s="15">
        <f t="shared" si="11"/>
        <v>0</v>
      </c>
      <c r="AY36" s="15">
        <f t="shared" si="11"/>
        <v>0</v>
      </c>
      <c r="AZ36" s="15">
        <f t="shared" si="11"/>
        <v>0</v>
      </c>
      <c r="BA36" s="15">
        <f t="shared" si="11"/>
        <v>0</v>
      </c>
      <c r="BB36" s="15">
        <f t="shared" si="11"/>
        <v>0</v>
      </c>
      <c r="BC36" s="15">
        <f t="shared" si="11"/>
        <v>0</v>
      </c>
      <c r="BD36" s="15">
        <f t="shared" si="11"/>
        <v>0</v>
      </c>
      <c r="BE36" s="15">
        <f t="shared" si="11"/>
        <v>0</v>
      </c>
      <c r="BF36" s="15">
        <f t="shared" si="11"/>
        <v>0</v>
      </c>
      <c r="BG36" s="15">
        <f t="shared" si="11"/>
        <v>0</v>
      </c>
      <c r="BH36" s="15">
        <f t="shared" si="11"/>
        <v>0</v>
      </c>
    </row>
    <row r="37" spans="2:60" ht="23.25" customHeight="1" x14ac:dyDescent="0.2">
      <c r="B37" s="331"/>
      <c r="C37" s="70"/>
      <c r="D37" s="64" t="s">
        <v>402</v>
      </c>
      <c r="E37" s="291">
        <f t="shared" si="8"/>
        <v>65837738.076932579</v>
      </c>
      <c r="F37" s="15">
        <f>F20+F28-F36</f>
        <v>51785798.470208421</v>
      </c>
      <c r="G37" s="15">
        <f t="shared" ref="G37:AK37" si="12">G20+G28-G36</f>
        <v>11294553.865774561</v>
      </c>
      <c r="H37" s="15">
        <f t="shared" si="12"/>
        <v>-2417967.6390223065</v>
      </c>
      <c r="I37" s="15">
        <f t="shared" si="12"/>
        <v>-2839510.7421992733</v>
      </c>
      <c r="J37" s="15">
        <f t="shared" si="12"/>
        <v>-2571156.2040620716</v>
      </c>
      <c r="K37" s="15">
        <f t="shared" si="12"/>
        <v>-2499451.053210035</v>
      </c>
      <c r="L37" s="15">
        <f t="shared" si="12"/>
        <v>-2670049.6668888219</v>
      </c>
      <c r="M37" s="15">
        <f t="shared" si="12"/>
        <v>15755521.046332102</v>
      </c>
      <c r="N37" s="15">
        <f t="shared" si="12"/>
        <v>0</v>
      </c>
      <c r="O37" s="15">
        <f t="shared" si="12"/>
        <v>0</v>
      </c>
      <c r="P37" s="15">
        <f t="shared" si="12"/>
        <v>0</v>
      </c>
      <c r="Q37" s="15">
        <f t="shared" si="12"/>
        <v>0</v>
      </c>
      <c r="R37" s="15">
        <f t="shared" si="12"/>
        <v>0</v>
      </c>
      <c r="S37" s="15">
        <f t="shared" si="12"/>
        <v>0</v>
      </c>
      <c r="T37" s="15">
        <f t="shared" si="12"/>
        <v>0</v>
      </c>
      <c r="U37" s="15">
        <f t="shared" si="12"/>
        <v>0</v>
      </c>
      <c r="V37" s="15">
        <f t="shared" si="12"/>
        <v>0</v>
      </c>
      <c r="W37" s="15">
        <f t="shared" si="12"/>
        <v>0</v>
      </c>
      <c r="X37" s="15">
        <f t="shared" si="12"/>
        <v>0</v>
      </c>
      <c r="Y37" s="15">
        <f t="shared" si="12"/>
        <v>0</v>
      </c>
      <c r="Z37" s="15">
        <f t="shared" si="12"/>
        <v>0</v>
      </c>
      <c r="AA37" s="15">
        <f t="shared" si="12"/>
        <v>0</v>
      </c>
      <c r="AB37" s="15">
        <f t="shared" si="12"/>
        <v>0</v>
      </c>
      <c r="AC37" s="15">
        <f t="shared" si="12"/>
        <v>0</v>
      </c>
      <c r="AD37" s="15">
        <f t="shared" si="12"/>
        <v>0</v>
      </c>
      <c r="AE37" s="15">
        <f t="shared" si="12"/>
        <v>0</v>
      </c>
      <c r="AF37" s="15">
        <f t="shared" si="12"/>
        <v>0</v>
      </c>
      <c r="AG37" s="15">
        <f t="shared" si="12"/>
        <v>0</v>
      </c>
      <c r="AH37" s="15">
        <f t="shared" si="12"/>
        <v>0</v>
      </c>
      <c r="AI37" s="15">
        <f t="shared" si="12"/>
        <v>0</v>
      </c>
      <c r="AJ37" s="15">
        <f t="shared" si="12"/>
        <v>0</v>
      </c>
      <c r="AK37" s="15">
        <f t="shared" si="12"/>
        <v>0</v>
      </c>
      <c r="AL37" s="15">
        <f t="shared" ref="AL37:BH37" si="13">AL20+AL28-AL36</f>
        <v>0</v>
      </c>
      <c r="AM37" s="15">
        <f t="shared" si="13"/>
        <v>0</v>
      </c>
      <c r="AN37" s="15">
        <f t="shared" si="13"/>
        <v>0</v>
      </c>
      <c r="AO37" s="15">
        <f t="shared" si="13"/>
        <v>0</v>
      </c>
      <c r="AP37" s="15">
        <f t="shared" si="13"/>
        <v>0</v>
      </c>
      <c r="AQ37" s="15">
        <f t="shared" si="13"/>
        <v>0</v>
      </c>
      <c r="AR37" s="15">
        <f t="shared" si="13"/>
        <v>0</v>
      </c>
      <c r="AS37" s="15">
        <f t="shared" si="13"/>
        <v>0</v>
      </c>
      <c r="AT37" s="15">
        <f t="shared" si="13"/>
        <v>0</v>
      </c>
      <c r="AU37" s="15">
        <f t="shared" si="13"/>
        <v>0</v>
      </c>
      <c r="AV37" s="15">
        <f t="shared" si="13"/>
        <v>0</v>
      </c>
      <c r="AW37" s="15">
        <f t="shared" si="13"/>
        <v>0</v>
      </c>
      <c r="AX37" s="15">
        <f t="shared" si="13"/>
        <v>0</v>
      </c>
      <c r="AY37" s="15">
        <f t="shared" si="13"/>
        <v>0</v>
      </c>
      <c r="AZ37" s="15">
        <f t="shared" si="13"/>
        <v>0</v>
      </c>
      <c r="BA37" s="15">
        <f t="shared" si="13"/>
        <v>0</v>
      </c>
      <c r="BB37" s="15">
        <f t="shared" si="13"/>
        <v>0</v>
      </c>
      <c r="BC37" s="15">
        <f t="shared" si="13"/>
        <v>0</v>
      </c>
      <c r="BD37" s="15">
        <f t="shared" si="13"/>
        <v>0</v>
      </c>
      <c r="BE37" s="15">
        <f t="shared" si="13"/>
        <v>0</v>
      </c>
      <c r="BF37" s="15">
        <f t="shared" si="13"/>
        <v>0</v>
      </c>
      <c r="BG37" s="15">
        <f t="shared" si="13"/>
        <v>0</v>
      </c>
      <c r="BH37" s="15">
        <f t="shared" si="13"/>
        <v>0</v>
      </c>
    </row>
    <row r="38" spans="2:60" x14ac:dyDescent="0.2">
      <c r="B38" s="331"/>
      <c r="C38" s="70" t="s">
        <v>403</v>
      </c>
      <c r="D38" s="62" t="s">
        <v>404</v>
      </c>
      <c r="E38" s="302"/>
      <c r="F38" s="302"/>
      <c r="G38" s="302">
        <f>F29+F38-F36</f>
        <v>51785798.470208421</v>
      </c>
      <c r="H38" s="302">
        <f t="shared" ref="H38:AL38" si="14">G29+G38-G36</f>
        <v>63080352.335982978</v>
      </c>
      <c r="I38" s="302">
        <f t="shared" si="14"/>
        <v>60662384.696960673</v>
      </c>
      <c r="J38" s="302">
        <f t="shared" si="14"/>
        <v>57822873.954761401</v>
      </c>
      <c r="K38" s="302">
        <f t="shared" si="14"/>
        <v>55251717.750699326</v>
      </c>
      <c r="L38" s="302">
        <f t="shared" si="14"/>
        <v>52752266.697489291</v>
      </c>
      <c r="M38" s="302">
        <f t="shared" si="14"/>
        <v>50082217.030600473</v>
      </c>
      <c r="N38" s="302">
        <f t="shared" si="14"/>
        <v>65837738.076932579</v>
      </c>
      <c r="O38" s="302">
        <f t="shared" si="14"/>
        <v>65837738.076932579</v>
      </c>
      <c r="P38" s="302">
        <f t="shared" si="14"/>
        <v>65837738.076932579</v>
      </c>
      <c r="Q38" s="302">
        <f t="shared" si="14"/>
        <v>65837738.076932579</v>
      </c>
      <c r="R38" s="302">
        <f t="shared" si="14"/>
        <v>65837738.076932579</v>
      </c>
      <c r="S38" s="302">
        <f t="shared" si="14"/>
        <v>65837738.076932579</v>
      </c>
      <c r="T38" s="302">
        <f t="shared" si="14"/>
        <v>65837738.076932579</v>
      </c>
      <c r="U38" s="302">
        <f t="shared" si="14"/>
        <v>65837738.076932579</v>
      </c>
      <c r="V38" s="302">
        <f t="shared" si="14"/>
        <v>65837738.076932579</v>
      </c>
      <c r="W38" s="302">
        <f t="shared" si="14"/>
        <v>65837738.076932579</v>
      </c>
      <c r="X38" s="302">
        <f t="shared" si="14"/>
        <v>65837738.076932579</v>
      </c>
      <c r="Y38" s="302">
        <f t="shared" si="14"/>
        <v>65837738.076932579</v>
      </c>
      <c r="Z38" s="302">
        <f t="shared" si="14"/>
        <v>65837738.076932579</v>
      </c>
      <c r="AA38" s="302">
        <f t="shared" si="14"/>
        <v>65837738.076932579</v>
      </c>
      <c r="AB38" s="302">
        <f t="shared" si="14"/>
        <v>65837738.076932579</v>
      </c>
      <c r="AC38" s="302">
        <f t="shared" si="14"/>
        <v>65837738.076932579</v>
      </c>
      <c r="AD38" s="302">
        <f t="shared" si="14"/>
        <v>65837738.076932579</v>
      </c>
      <c r="AE38" s="302">
        <f t="shared" si="14"/>
        <v>65837738.076932579</v>
      </c>
      <c r="AF38" s="302">
        <f t="shared" si="14"/>
        <v>65837738.076932579</v>
      </c>
      <c r="AG38" s="302">
        <f t="shared" si="14"/>
        <v>65837738.076932579</v>
      </c>
      <c r="AH38" s="302">
        <f t="shared" si="14"/>
        <v>65837738.076932579</v>
      </c>
      <c r="AI38" s="302">
        <f t="shared" si="14"/>
        <v>65837738.076932579</v>
      </c>
      <c r="AJ38" s="302">
        <f t="shared" si="14"/>
        <v>65837738.076932579</v>
      </c>
      <c r="AK38" s="302">
        <f t="shared" si="14"/>
        <v>65837738.076932579</v>
      </c>
      <c r="AL38" s="302">
        <f t="shared" si="14"/>
        <v>65837738.076932579</v>
      </c>
      <c r="AM38" s="302">
        <f t="shared" ref="AM38:BG38" si="15">AL29+AL38-AL36</f>
        <v>65837738.076932579</v>
      </c>
      <c r="AN38" s="302">
        <f t="shared" si="15"/>
        <v>65837738.076932579</v>
      </c>
      <c r="AO38" s="302">
        <f t="shared" si="15"/>
        <v>65837738.076932579</v>
      </c>
      <c r="AP38" s="302">
        <f t="shared" si="15"/>
        <v>65837738.076932579</v>
      </c>
      <c r="AQ38" s="302">
        <f t="shared" si="15"/>
        <v>65837738.076932579</v>
      </c>
      <c r="AR38" s="302">
        <f t="shared" si="15"/>
        <v>65837738.076932579</v>
      </c>
      <c r="AS38" s="302">
        <f t="shared" si="15"/>
        <v>65837738.076932579</v>
      </c>
      <c r="AT38" s="302">
        <f t="shared" si="15"/>
        <v>65837738.076932579</v>
      </c>
      <c r="AU38" s="302">
        <f t="shared" si="15"/>
        <v>65837738.076932579</v>
      </c>
      <c r="AV38" s="302">
        <f t="shared" si="15"/>
        <v>65837738.076932579</v>
      </c>
      <c r="AW38" s="302">
        <f t="shared" si="15"/>
        <v>65837738.076932579</v>
      </c>
      <c r="AX38" s="302">
        <f t="shared" si="15"/>
        <v>65837738.076932579</v>
      </c>
      <c r="AY38" s="302">
        <f t="shared" si="15"/>
        <v>65837738.076932579</v>
      </c>
      <c r="AZ38" s="302">
        <f t="shared" si="15"/>
        <v>65837738.076932579</v>
      </c>
      <c r="BA38" s="302">
        <f t="shared" si="15"/>
        <v>65837738.076932579</v>
      </c>
      <c r="BB38" s="302">
        <f t="shared" si="15"/>
        <v>65837738.076932579</v>
      </c>
      <c r="BC38" s="302">
        <f t="shared" si="15"/>
        <v>65837738.076932579</v>
      </c>
      <c r="BD38" s="302">
        <f t="shared" si="15"/>
        <v>65837738.076932579</v>
      </c>
      <c r="BE38" s="302">
        <f t="shared" si="15"/>
        <v>65837738.076932579</v>
      </c>
      <c r="BF38" s="302">
        <f t="shared" si="15"/>
        <v>65837738.076932579</v>
      </c>
      <c r="BG38" s="302">
        <f t="shared" si="15"/>
        <v>65837738.076932579</v>
      </c>
      <c r="BH38" s="302">
        <f>BG29+BG38-BG36</f>
        <v>65837738.076932579</v>
      </c>
    </row>
    <row r="39" spans="2:60" x14ac:dyDescent="0.2">
      <c r="B39" s="331"/>
      <c r="C39" s="70" t="s">
        <v>403</v>
      </c>
      <c r="D39" s="62" t="s">
        <v>405</v>
      </c>
      <c r="E39" s="302"/>
      <c r="F39" s="332"/>
      <c r="G39" s="332">
        <v>6.9583884735709714E-2</v>
      </c>
      <c r="H39" s="332">
        <v>6.0252980086032103E-2</v>
      </c>
      <c r="I39" s="332">
        <v>5.9762804823028738E-2</v>
      </c>
      <c r="J39" s="332">
        <v>5.8158108571084541E-2</v>
      </c>
      <c r="K39" s="332">
        <v>6.5072441728290437E-2</v>
      </c>
      <c r="L39" s="332">
        <v>6.8472123196211876E-2</v>
      </c>
      <c r="M39" s="332">
        <v>7.2227701017222326E-2</v>
      </c>
      <c r="N39" s="332"/>
      <c r="O39" s="332"/>
      <c r="P39" s="332"/>
      <c r="Q39" s="332"/>
      <c r="R39" s="332"/>
      <c r="S39" s="332"/>
      <c r="T39" s="332"/>
      <c r="U39" s="332"/>
      <c r="V39" s="332"/>
      <c r="W39" s="332"/>
      <c r="X39" s="332"/>
      <c r="Y39" s="332"/>
      <c r="Z39" s="332"/>
      <c r="AA39" s="332"/>
      <c r="AB39" s="332"/>
      <c r="AC39" s="332"/>
      <c r="AD39" s="332"/>
      <c r="AE39" s="332"/>
      <c r="AF39" s="332"/>
      <c r="AG39" s="332"/>
      <c r="AH39" s="332"/>
      <c r="AI39" s="332"/>
      <c r="AJ39" s="332"/>
      <c r="AK39" s="332"/>
      <c r="AL39" s="332"/>
      <c r="AM39" s="332"/>
      <c r="AN39" s="332"/>
      <c r="AO39" s="332"/>
      <c r="AP39" s="332"/>
      <c r="AQ39" s="332"/>
      <c r="AR39" s="332"/>
      <c r="AS39" s="332"/>
      <c r="AT39" s="332"/>
      <c r="AU39" s="332"/>
      <c r="AV39" s="332"/>
      <c r="AW39" s="332"/>
      <c r="AX39" s="332"/>
      <c r="AY39" s="332"/>
      <c r="AZ39" s="332"/>
      <c r="BA39" s="332"/>
      <c r="BB39" s="332"/>
      <c r="BC39" s="332"/>
      <c r="BD39" s="332"/>
      <c r="BE39" s="332"/>
      <c r="BF39" s="332"/>
      <c r="BG39" s="332"/>
      <c r="BH39" s="332"/>
    </row>
    <row r="40" spans="2:60" ht="29.25" customHeight="1" x14ac:dyDescent="0.2">
      <c r="D40" s="174"/>
    </row>
    <row r="41" spans="2:60" ht="15.75" x14ac:dyDescent="0.25">
      <c r="B41" s="175" t="s">
        <v>406</v>
      </c>
      <c r="C41" s="4"/>
    </row>
    <row r="42" spans="2:60" x14ac:dyDescent="0.2">
      <c r="B42" s="176"/>
      <c r="C42" s="275"/>
    </row>
    <row r="43" spans="2:60" x14ac:dyDescent="0.2">
      <c r="B43" s="24" t="s">
        <v>114</v>
      </c>
      <c r="C43" s="333">
        <f>IF( '1. Pipeline information'!C14=0, "0/01/1960", '1. Pipeline information'!C14)</f>
        <v>43231</v>
      </c>
    </row>
    <row r="48" spans="2:60" x14ac:dyDescent="0.2">
      <c r="C48" s="177"/>
    </row>
    <row r="49" spans="3:3" x14ac:dyDescent="0.2">
      <c r="C49" s="177"/>
    </row>
    <row r="50" spans="3:3" x14ac:dyDescent="0.2">
      <c r="C50" s="273"/>
    </row>
  </sheetData>
  <sheetProtection sheet="1" insertColumns="0" deleteColumns="0"/>
  <mergeCells count="3">
    <mergeCell ref="F11:BH11"/>
    <mergeCell ref="C11:D11"/>
    <mergeCell ref="B6:D7"/>
  </mergeCells>
  <conditionalFormatting sqref="F35">
    <cfRule type="cellIs" dxfId="57" priority="55" stopIfTrue="1" operator="greaterThan">
      <formula>F$31</formula>
    </cfRule>
  </conditionalFormatting>
  <conditionalFormatting sqref="G35">
    <cfRule type="cellIs" dxfId="56" priority="54" stopIfTrue="1" operator="greaterThan">
      <formula>$G$31</formula>
    </cfRule>
  </conditionalFormatting>
  <conditionalFormatting sqref="H35">
    <cfRule type="cellIs" dxfId="55" priority="53" stopIfTrue="1" operator="greaterThan">
      <formula>$H$31</formula>
    </cfRule>
  </conditionalFormatting>
  <conditionalFormatting sqref="I35">
    <cfRule type="cellIs" dxfId="54" priority="52" stopIfTrue="1" operator="greaterThan">
      <formula>$I$31</formula>
    </cfRule>
  </conditionalFormatting>
  <conditionalFormatting sqref="J35">
    <cfRule type="cellIs" dxfId="53" priority="51" stopIfTrue="1" operator="greaterThan">
      <formula>$J$31</formula>
    </cfRule>
  </conditionalFormatting>
  <conditionalFormatting sqref="K35">
    <cfRule type="cellIs" dxfId="52" priority="50" stopIfTrue="1" operator="greaterThan">
      <formula>$K$31</formula>
    </cfRule>
  </conditionalFormatting>
  <conditionalFormatting sqref="L35">
    <cfRule type="cellIs" dxfId="51" priority="49" stopIfTrue="1" operator="greaterThan">
      <formula>$L$31</formula>
    </cfRule>
  </conditionalFormatting>
  <conditionalFormatting sqref="M35">
    <cfRule type="cellIs" dxfId="50" priority="48" stopIfTrue="1" operator="greaterThan">
      <formula>$M$31</formula>
    </cfRule>
  </conditionalFormatting>
  <conditionalFormatting sqref="N35">
    <cfRule type="cellIs" dxfId="49" priority="47" stopIfTrue="1" operator="greaterThan">
      <formula>$N$31</formula>
    </cfRule>
  </conditionalFormatting>
  <conditionalFormatting sqref="O35">
    <cfRule type="cellIs" dxfId="48" priority="46" stopIfTrue="1" operator="greaterThan">
      <formula>$O$31</formula>
    </cfRule>
  </conditionalFormatting>
  <conditionalFormatting sqref="P35">
    <cfRule type="cellIs" dxfId="47" priority="45" stopIfTrue="1" operator="greaterThan">
      <formula>$P$31</formula>
    </cfRule>
  </conditionalFormatting>
  <conditionalFormatting sqref="Q35">
    <cfRule type="cellIs" dxfId="46" priority="44" stopIfTrue="1" operator="greaterThan">
      <formula>$Q$31</formula>
    </cfRule>
  </conditionalFormatting>
  <conditionalFormatting sqref="R35">
    <cfRule type="cellIs" dxfId="45" priority="43" stopIfTrue="1" operator="greaterThan">
      <formula>$R$31</formula>
    </cfRule>
  </conditionalFormatting>
  <conditionalFormatting sqref="S35">
    <cfRule type="cellIs" dxfId="44" priority="42" stopIfTrue="1" operator="greaterThan">
      <formula>$S$31</formula>
    </cfRule>
  </conditionalFormatting>
  <conditionalFormatting sqref="T35">
    <cfRule type="cellIs" dxfId="43" priority="41" stopIfTrue="1" operator="greaterThan">
      <formula>$T$31</formula>
    </cfRule>
  </conditionalFormatting>
  <conditionalFormatting sqref="U35">
    <cfRule type="cellIs" dxfId="42" priority="40" stopIfTrue="1" operator="greaterThan">
      <formula>$U$31</formula>
    </cfRule>
  </conditionalFormatting>
  <conditionalFormatting sqref="V35">
    <cfRule type="cellIs" dxfId="41" priority="39" stopIfTrue="1" operator="greaterThan">
      <formula>$V$31</formula>
    </cfRule>
  </conditionalFormatting>
  <conditionalFormatting sqref="W35">
    <cfRule type="cellIs" dxfId="40" priority="38" stopIfTrue="1" operator="greaterThan">
      <formula>$W$31</formula>
    </cfRule>
  </conditionalFormatting>
  <conditionalFormatting sqref="X35">
    <cfRule type="cellIs" dxfId="39" priority="37" stopIfTrue="1" operator="greaterThan">
      <formula>$X$31</formula>
    </cfRule>
  </conditionalFormatting>
  <conditionalFormatting sqref="Y35">
    <cfRule type="cellIs" dxfId="38" priority="36" stopIfTrue="1" operator="greaterThan">
      <formula>$Y$31</formula>
    </cfRule>
  </conditionalFormatting>
  <conditionalFormatting sqref="Z35">
    <cfRule type="cellIs" dxfId="37" priority="35" stopIfTrue="1" operator="greaterThan">
      <formula>$Z$31</formula>
    </cfRule>
  </conditionalFormatting>
  <conditionalFormatting sqref="AA35">
    <cfRule type="cellIs" dxfId="36" priority="34" stopIfTrue="1" operator="greaterThan">
      <formula>$AA$31</formula>
    </cfRule>
  </conditionalFormatting>
  <conditionalFormatting sqref="AB35">
    <cfRule type="cellIs" dxfId="35" priority="33" stopIfTrue="1" operator="greaterThan">
      <formula>$AB$31</formula>
    </cfRule>
  </conditionalFormatting>
  <conditionalFormatting sqref="AC35">
    <cfRule type="cellIs" dxfId="34" priority="32" stopIfTrue="1" operator="greaterThan">
      <formula>$AC$31</formula>
    </cfRule>
  </conditionalFormatting>
  <conditionalFormatting sqref="AD35">
    <cfRule type="cellIs" dxfId="33" priority="31" stopIfTrue="1" operator="greaterThan">
      <formula>$AD$31</formula>
    </cfRule>
  </conditionalFormatting>
  <conditionalFormatting sqref="AE35">
    <cfRule type="cellIs" dxfId="32" priority="30" stopIfTrue="1" operator="greaterThan">
      <formula>$AE$31</formula>
    </cfRule>
  </conditionalFormatting>
  <conditionalFormatting sqref="AF35">
    <cfRule type="cellIs" dxfId="31" priority="29" stopIfTrue="1" operator="greaterThan">
      <formula>$AF$31</formula>
    </cfRule>
  </conditionalFormatting>
  <conditionalFormatting sqref="AG35">
    <cfRule type="cellIs" dxfId="30" priority="28" stopIfTrue="1" operator="greaterThan">
      <formula>$AG$31</formula>
    </cfRule>
  </conditionalFormatting>
  <conditionalFormatting sqref="AH35">
    <cfRule type="cellIs" dxfId="29" priority="27" stopIfTrue="1" operator="greaterThan">
      <formula>$AH$31</formula>
    </cfRule>
  </conditionalFormatting>
  <conditionalFormatting sqref="AI35">
    <cfRule type="cellIs" dxfId="28" priority="26" stopIfTrue="1" operator="greaterThan">
      <formula>$AI$31</formula>
    </cfRule>
  </conditionalFormatting>
  <conditionalFormatting sqref="AJ35">
    <cfRule type="cellIs" dxfId="27" priority="25" stopIfTrue="1" operator="greaterThan">
      <formula>$AJ$31</formula>
    </cfRule>
  </conditionalFormatting>
  <conditionalFormatting sqref="AK35">
    <cfRule type="cellIs" dxfId="26" priority="24" stopIfTrue="1" operator="greaterThan">
      <formula>$AK$31</formula>
    </cfRule>
  </conditionalFormatting>
  <conditionalFormatting sqref="AL35">
    <cfRule type="cellIs" dxfId="25" priority="23" stopIfTrue="1" operator="greaterThan">
      <formula>$AL$31</formula>
    </cfRule>
  </conditionalFormatting>
  <conditionalFormatting sqref="AM35">
    <cfRule type="cellIs" dxfId="24" priority="22" stopIfTrue="1" operator="greaterThan">
      <formula>$AM$31</formula>
    </cfRule>
  </conditionalFormatting>
  <conditionalFormatting sqref="AN35">
    <cfRule type="cellIs" dxfId="23" priority="21" stopIfTrue="1" operator="greaterThan">
      <formula>$AN$31</formula>
    </cfRule>
  </conditionalFormatting>
  <conditionalFormatting sqref="AO35">
    <cfRule type="cellIs" dxfId="22" priority="20" stopIfTrue="1" operator="greaterThan">
      <formula>$AO$31</formula>
    </cfRule>
  </conditionalFormatting>
  <conditionalFormatting sqref="AP35">
    <cfRule type="cellIs" dxfId="21" priority="19" stopIfTrue="1" operator="greaterThan">
      <formula>$AP$31</formula>
    </cfRule>
  </conditionalFormatting>
  <conditionalFormatting sqref="AQ35">
    <cfRule type="cellIs" dxfId="20" priority="18" stopIfTrue="1" operator="greaterThan">
      <formula>$AQ$31</formula>
    </cfRule>
  </conditionalFormatting>
  <conditionalFormatting sqref="AR35">
    <cfRule type="cellIs" dxfId="19" priority="17" stopIfTrue="1" operator="greaterThan">
      <formula>$AR$31</formula>
    </cfRule>
  </conditionalFormatting>
  <conditionalFormatting sqref="AS35">
    <cfRule type="cellIs" dxfId="18" priority="16" stopIfTrue="1" operator="greaterThan">
      <formula>$AS$31</formula>
    </cfRule>
  </conditionalFormatting>
  <conditionalFormatting sqref="AT35">
    <cfRule type="cellIs" dxfId="17" priority="15" stopIfTrue="1" operator="greaterThan">
      <formula>$AT$31</formula>
    </cfRule>
  </conditionalFormatting>
  <conditionalFormatting sqref="AU35">
    <cfRule type="cellIs" dxfId="16" priority="14" stopIfTrue="1" operator="greaterThan">
      <formula>$AU$31</formula>
    </cfRule>
  </conditionalFormatting>
  <conditionalFormatting sqref="AV35">
    <cfRule type="cellIs" dxfId="15" priority="13" stopIfTrue="1" operator="greaterThan">
      <formula>$AV$31</formula>
    </cfRule>
  </conditionalFormatting>
  <conditionalFormatting sqref="AW35">
    <cfRule type="cellIs" dxfId="14" priority="12" stopIfTrue="1" operator="greaterThan">
      <formula>$AW$31</formula>
    </cfRule>
  </conditionalFormatting>
  <conditionalFormatting sqref="AX35">
    <cfRule type="cellIs" dxfId="13" priority="11" stopIfTrue="1" operator="greaterThan">
      <formula>$AX$31</formula>
    </cfRule>
  </conditionalFormatting>
  <conditionalFormatting sqref="AY35">
    <cfRule type="cellIs" dxfId="12" priority="10" stopIfTrue="1" operator="greaterThan">
      <formula>$AY$31</formula>
    </cfRule>
  </conditionalFormatting>
  <conditionalFormatting sqref="AZ35">
    <cfRule type="cellIs" dxfId="11" priority="9" stopIfTrue="1" operator="greaterThan">
      <formula>$AZ$31</formula>
    </cfRule>
  </conditionalFormatting>
  <conditionalFormatting sqref="BA35">
    <cfRule type="cellIs" dxfId="10" priority="8" stopIfTrue="1" operator="greaterThan">
      <formula>$BA$31</formula>
    </cfRule>
  </conditionalFormatting>
  <conditionalFormatting sqref="BB35">
    <cfRule type="cellIs" dxfId="9" priority="7" stopIfTrue="1" operator="greaterThan">
      <formula>$BB$31</formula>
    </cfRule>
  </conditionalFormatting>
  <conditionalFormatting sqref="BC35">
    <cfRule type="cellIs" dxfId="8" priority="6" stopIfTrue="1" operator="greaterThan">
      <formula>$BC$31</formula>
    </cfRule>
  </conditionalFormatting>
  <conditionalFormatting sqref="BD35">
    <cfRule type="cellIs" dxfId="7" priority="5" stopIfTrue="1" operator="greaterThan">
      <formula>$BD$31</formula>
    </cfRule>
  </conditionalFormatting>
  <conditionalFormatting sqref="BE35">
    <cfRule type="cellIs" dxfId="6" priority="4" stopIfTrue="1" operator="greaterThan">
      <formula>$BE$31</formula>
    </cfRule>
  </conditionalFormatting>
  <conditionalFormatting sqref="BF35">
    <cfRule type="cellIs" dxfId="5" priority="3" stopIfTrue="1" operator="greaterThan">
      <formula>$BF$31</formula>
    </cfRule>
  </conditionalFormatting>
  <conditionalFormatting sqref="BG35">
    <cfRule type="cellIs" dxfId="4" priority="2" stopIfTrue="1" operator="greaterThan">
      <formula>$BG$31</formula>
    </cfRule>
  </conditionalFormatting>
  <conditionalFormatting sqref="BH35">
    <cfRule type="cellIs" dxfId="3" priority="1" stopIfTrue="1" operator="greaterThan">
      <formula>$BH$31</formula>
    </cfRule>
  </conditionalFormatting>
  <dataValidations disablePrompts="1" count="1">
    <dataValidation operator="lessThan" allowBlank="1" showInputMessage="1" showErrorMessage="1" errorTitle="Error" error="Return on capital should be less than Revenue." sqref="AK35" xr:uid="{F13AFDFE-3499-4B71-AE79-12BEA325FD1E}"/>
  </dataValidations>
  <pageMargins left="0.75" right="0.75" top="1" bottom="1" header="0.5" footer="0.5"/>
  <pageSetup paperSize="9" scale="30" orientation="landscape" r:id="rId1"/>
  <headerFooter alignWithMargins="0">
    <oddFooter>&amp;C_x000D_&amp;1#&amp;"Aptos"&amp;10&amp;K008000 APA-INTERNAL</oddFooter>
  </headerFooter>
  <drawing r:id="rId2"/>
  <legacyDrawing r:id="rId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9D9F5-6389-48F9-A19B-AB5B7B99D7A4}">
  <sheetPr>
    <tabColor theme="5" tint="0.79998168889431442"/>
  </sheetPr>
  <dimension ref="A1"/>
  <sheetViews>
    <sheetView showGridLines="0" workbookViewId="0"/>
  </sheetViews>
  <sheetFormatPr defaultColWidth="8.7109375" defaultRowHeight="12.75" x14ac:dyDescent="0.2"/>
  <cols>
    <col min="1" max="16384" width="8.7109375" style="244"/>
  </cols>
  <sheetData/>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9A522-044C-4063-BD3A-798CE7C7B480}">
  <sheetPr codeName="Sheet17">
    <tabColor rgb="FF17415D"/>
  </sheetPr>
  <dimension ref="B1:G98"/>
  <sheetViews>
    <sheetView zoomScaleNormal="100" workbookViewId="0">
      <pane xSplit="1" ySplit="9" topLeftCell="B10" activePane="bottomRight" state="frozen"/>
      <selection pane="topRight" activeCell="B1" sqref="B1"/>
      <selection pane="bottomLeft" activeCell="A10" sqref="A10"/>
      <selection pane="bottomRight"/>
    </sheetView>
  </sheetViews>
  <sheetFormatPr defaultColWidth="9.42578125" defaultRowHeight="12.75" x14ac:dyDescent="0.2"/>
  <cols>
    <col min="1" max="1" width="12.42578125" style="169" customWidth="1"/>
    <col min="2" max="2" width="21" style="169" customWidth="1"/>
    <col min="3" max="3" width="64.5703125" style="169" customWidth="1"/>
    <col min="4" max="5" width="42.42578125" style="169" customWidth="1"/>
    <col min="6" max="6" width="34.5703125" style="169" customWidth="1"/>
    <col min="7" max="7" width="44" style="169" customWidth="1"/>
    <col min="8" max="16384" width="9.42578125" style="169"/>
  </cols>
  <sheetData>
    <row r="1" spans="2:5" ht="20.25" customHeight="1" x14ac:dyDescent="0.3">
      <c r="B1" s="103" t="s">
        <v>68</v>
      </c>
      <c r="C1" s="103"/>
      <c r="D1" s="168"/>
      <c r="E1" s="168"/>
    </row>
    <row r="2" spans="2:5" ht="20.25" x14ac:dyDescent="0.3">
      <c r="B2" s="103" t="str">
        <f>IF(Tradingname=0," ",Tradingname)</f>
        <v>APA Reedy Creek Wallumbilla Pty Limited</v>
      </c>
      <c r="C2" s="103"/>
      <c r="D2" s="170"/>
    </row>
    <row r="3" spans="2:5" ht="23.1" customHeight="1" x14ac:dyDescent="0.3">
      <c r="B3" s="103" t="s">
        <v>46</v>
      </c>
      <c r="C3" s="80">
        <f>IF(Yearending=0, "01/01/2000", Yearending)</f>
        <v>45838</v>
      </c>
    </row>
    <row r="4" spans="2:5" ht="20.25" x14ac:dyDescent="0.2">
      <c r="B4" s="72" t="s">
        <v>407</v>
      </c>
      <c r="C4" s="72"/>
    </row>
    <row r="6" spans="2:5" x14ac:dyDescent="0.2">
      <c r="B6" s="426" t="s">
        <v>408</v>
      </c>
      <c r="C6" s="426"/>
      <c r="D6" s="426"/>
      <c r="E6" s="426"/>
    </row>
    <row r="7" spans="2:5" ht="12.75" customHeight="1" x14ac:dyDescent="0.2">
      <c r="B7" s="426"/>
      <c r="C7" s="426"/>
      <c r="D7" s="426"/>
      <c r="E7" s="426"/>
    </row>
    <row r="8" spans="2:5" ht="12.75" customHeight="1" x14ac:dyDescent="0.2">
      <c r="B8" s="426"/>
      <c r="C8" s="426"/>
      <c r="D8" s="426"/>
      <c r="E8" s="426"/>
    </row>
    <row r="9" spans="2:5" ht="12.75" customHeight="1" x14ac:dyDescent="0.2">
      <c r="B9" s="426"/>
      <c r="C9" s="426"/>
      <c r="D9" s="426"/>
      <c r="E9" s="426"/>
    </row>
    <row r="12" spans="2:5" ht="15.75" x14ac:dyDescent="0.25">
      <c r="B12" s="171" t="s">
        <v>409</v>
      </c>
      <c r="C12" s="274"/>
      <c r="D12" s="274"/>
      <c r="E12" s="274"/>
    </row>
    <row r="13" spans="2:5" ht="15.75" x14ac:dyDescent="0.25">
      <c r="B13" s="171"/>
      <c r="C13" s="274"/>
      <c r="D13" s="274"/>
      <c r="E13" s="274"/>
    </row>
    <row r="14" spans="2:5" ht="25.5" x14ac:dyDescent="0.2">
      <c r="B14" s="39" t="s">
        <v>131</v>
      </c>
      <c r="C14" s="39" t="s">
        <v>410</v>
      </c>
      <c r="D14" s="39" t="s">
        <v>411</v>
      </c>
      <c r="E14" s="39" t="s">
        <v>412</v>
      </c>
    </row>
    <row r="15" spans="2:5" x14ac:dyDescent="0.2">
      <c r="B15" s="266" t="s">
        <v>413</v>
      </c>
      <c r="C15" s="334" t="s">
        <v>891</v>
      </c>
      <c r="D15" s="335" t="s">
        <v>414</v>
      </c>
      <c r="E15" s="301">
        <v>18380159.280000001</v>
      </c>
    </row>
    <row r="16" spans="2:5" x14ac:dyDescent="0.2">
      <c r="B16" s="303"/>
      <c r="C16" s="334"/>
      <c r="D16" s="336"/>
      <c r="E16" s="301"/>
    </row>
    <row r="17" spans="2:5" x14ac:dyDescent="0.2">
      <c r="B17" s="303"/>
      <c r="C17" s="334"/>
      <c r="D17" s="335"/>
      <c r="E17" s="301"/>
    </row>
    <row r="18" spans="2:5" x14ac:dyDescent="0.2">
      <c r="B18" s="303"/>
      <c r="C18" s="334"/>
      <c r="D18" s="335"/>
      <c r="E18" s="301"/>
    </row>
    <row r="19" spans="2:5" x14ac:dyDescent="0.2">
      <c r="B19" s="303"/>
      <c r="C19" s="334"/>
      <c r="D19" s="336"/>
      <c r="E19" s="301"/>
    </row>
    <row r="20" spans="2:5" x14ac:dyDescent="0.2">
      <c r="B20" s="303"/>
      <c r="C20" s="334"/>
      <c r="D20" s="336"/>
      <c r="E20" s="301"/>
    </row>
    <row r="21" spans="2:5" x14ac:dyDescent="0.2">
      <c r="B21" s="303"/>
      <c r="C21" s="334"/>
      <c r="D21" s="336"/>
      <c r="E21" s="301"/>
    </row>
    <row r="22" spans="2:5" x14ac:dyDescent="0.2">
      <c r="B22" s="303"/>
      <c r="C22" s="334"/>
      <c r="D22" s="336"/>
      <c r="E22" s="301"/>
    </row>
    <row r="23" spans="2:5" x14ac:dyDescent="0.2">
      <c r="B23" s="303"/>
      <c r="C23" s="334"/>
      <c r="D23" s="336"/>
      <c r="E23" s="301"/>
    </row>
    <row r="24" spans="2:5" x14ac:dyDescent="0.2">
      <c r="B24" s="303"/>
      <c r="C24" s="334"/>
      <c r="D24" s="336"/>
      <c r="E24" s="301"/>
    </row>
    <row r="25" spans="2:5" x14ac:dyDescent="0.2">
      <c r="B25" s="303"/>
      <c r="C25" s="334"/>
      <c r="D25" s="336"/>
      <c r="E25" s="301"/>
    </row>
    <row r="26" spans="2:5" x14ac:dyDescent="0.2">
      <c r="B26" s="303"/>
      <c r="C26" s="334"/>
      <c r="D26" s="336"/>
      <c r="E26" s="301"/>
    </row>
    <row r="27" spans="2:5" x14ac:dyDescent="0.2">
      <c r="B27" s="303"/>
      <c r="C27" s="334"/>
      <c r="D27" s="336"/>
      <c r="E27" s="301"/>
    </row>
    <row r="28" spans="2:5" x14ac:dyDescent="0.2">
      <c r="B28" s="303"/>
      <c r="C28" s="334"/>
      <c r="D28" s="336"/>
      <c r="E28" s="301"/>
    </row>
    <row r="29" spans="2:5" x14ac:dyDescent="0.2">
      <c r="B29" s="303"/>
      <c r="C29" s="334"/>
      <c r="D29" s="336"/>
      <c r="E29" s="301"/>
    </row>
    <row r="30" spans="2:5" x14ac:dyDescent="0.2">
      <c r="B30" s="303"/>
      <c r="C30" s="334"/>
      <c r="D30" s="336"/>
      <c r="E30" s="301"/>
    </row>
    <row r="31" spans="2:5" x14ac:dyDescent="0.2">
      <c r="B31" s="303"/>
      <c r="C31" s="334"/>
      <c r="D31" s="336"/>
      <c r="E31" s="301"/>
    </row>
    <row r="32" spans="2:5" x14ac:dyDescent="0.2">
      <c r="B32" s="303"/>
      <c r="C32" s="334"/>
      <c r="D32" s="336"/>
      <c r="E32" s="301"/>
    </row>
    <row r="33" spans="2:5" x14ac:dyDescent="0.2">
      <c r="B33" s="303"/>
      <c r="C33" s="334"/>
      <c r="D33" s="336"/>
      <c r="E33" s="301"/>
    </row>
    <row r="34" spans="2:5" x14ac:dyDescent="0.2">
      <c r="B34" s="303"/>
      <c r="C34" s="334"/>
      <c r="D34" s="336"/>
      <c r="E34" s="301"/>
    </row>
    <row r="35" spans="2:5" x14ac:dyDescent="0.2">
      <c r="B35" s="303"/>
      <c r="C35" s="334"/>
      <c r="D35" s="336"/>
      <c r="E35" s="301"/>
    </row>
    <row r="36" spans="2:5" x14ac:dyDescent="0.2">
      <c r="B36" s="303"/>
      <c r="C36" s="334"/>
      <c r="D36" s="336"/>
      <c r="E36" s="301"/>
    </row>
    <row r="37" spans="2:5" x14ac:dyDescent="0.2">
      <c r="B37" s="303"/>
      <c r="C37" s="334"/>
      <c r="D37" s="336"/>
      <c r="E37" s="301"/>
    </row>
    <row r="38" spans="2:5" x14ac:dyDescent="0.2">
      <c r="B38" s="303"/>
      <c r="C38" s="334"/>
      <c r="D38" s="336"/>
      <c r="E38" s="301"/>
    </row>
    <row r="39" spans="2:5" x14ac:dyDescent="0.2">
      <c r="B39" s="303"/>
      <c r="C39" s="334"/>
      <c r="D39" s="336"/>
      <c r="E39" s="301"/>
    </row>
    <row r="40" spans="2:5" x14ac:dyDescent="0.2">
      <c r="B40" s="303"/>
      <c r="C40" s="334"/>
      <c r="D40" s="336"/>
      <c r="E40" s="301"/>
    </row>
    <row r="41" spans="2:5" x14ac:dyDescent="0.2">
      <c r="B41" s="441" t="s">
        <v>415</v>
      </c>
      <c r="C41" s="442"/>
      <c r="D41" s="443"/>
      <c r="E41" s="337">
        <f>SUM(E15:E40)</f>
        <v>18380159.280000001</v>
      </c>
    </row>
    <row r="44" spans="2:5" ht="15.75" x14ac:dyDescent="0.25">
      <c r="B44" s="171" t="s">
        <v>416</v>
      </c>
      <c r="C44" s="274"/>
      <c r="D44" s="274"/>
      <c r="E44" s="274"/>
    </row>
    <row r="45" spans="2:5" ht="15.75" x14ac:dyDescent="0.25">
      <c r="B45" s="171"/>
      <c r="C45" s="274"/>
      <c r="D45" s="274"/>
      <c r="E45" s="274"/>
    </row>
    <row r="46" spans="2:5" ht="25.5" x14ac:dyDescent="0.2">
      <c r="B46" s="39" t="s">
        <v>131</v>
      </c>
      <c r="C46" s="39" t="s">
        <v>410</v>
      </c>
      <c r="D46" s="39" t="s">
        <v>411</v>
      </c>
      <c r="E46" s="39" t="s">
        <v>412</v>
      </c>
    </row>
    <row r="47" spans="2:5" x14ac:dyDescent="0.2">
      <c r="B47" s="270" t="s">
        <v>413</v>
      </c>
      <c r="C47" s="334" t="s">
        <v>891</v>
      </c>
      <c r="D47" s="335" t="s">
        <v>414</v>
      </c>
      <c r="E47" s="301">
        <v>18380159.280000001</v>
      </c>
    </row>
    <row r="48" spans="2:5" x14ac:dyDescent="0.2">
      <c r="B48" s="317"/>
      <c r="C48" s="334"/>
      <c r="D48" s="336"/>
      <c r="E48" s="301"/>
    </row>
    <row r="49" spans="2:5" x14ac:dyDescent="0.2">
      <c r="B49" s="317"/>
      <c r="C49" s="334"/>
      <c r="D49" s="336"/>
      <c r="E49" s="301"/>
    </row>
    <row r="50" spans="2:5" x14ac:dyDescent="0.2">
      <c r="B50" s="317"/>
      <c r="C50" s="334"/>
      <c r="D50" s="336"/>
      <c r="E50" s="301"/>
    </row>
    <row r="51" spans="2:5" x14ac:dyDescent="0.2">
      <c r="B51" s="317"/>
      <c r="C51" s="334"/>
      <c r="D51" s="336"/>
      <c r="E51" s="301"/>
    </row>
    <row r="52" spans="2:5" x14ac:dyDescent="0.2">
      <c r="B52" s="317"/>
      <c r="C52" s="334"/>
      <c r="D52" s="336"/>
      <c r="E52" s="301"/>
    </row>
    <row r="53" spans="2:5" x14ac:dyDescent="0.2">
      <c r="B53" s="317"/>
      <c r="C53" s="334"/>
      <c r="D53" s="336"/>
      <c r="E53" s="301"/>
    </row>
    <row r="54" spans="2:5" x14ac:dyDescent="0.2">
      <c r="B54" s="317"/>
      <c r="C54" s="334"/>
      <c r="D54" s="336"/>
      <c r="E54" s="301"/>
    </row>
    <row r="55" spans="2:5" x14ac:dyDescent="0.2">
      <c r="B55" s="317"/>
      <c r="C55" s="334"/>
      <c r="D55" s="336"/>
      <c r="E55" s="301"/>
    </row>
    <row r="56" spans="2:5" x14ac:dyDescent="0.2">
      <c r="B56" s="317"/>
      <c r="C56" s="334"/>
      <c r="D56" s="336"/>
      <c r="E56" s="301"/>
    </row>
    <row r="57" spans="2:5" x14ac:dyDescent="0.2">
      <c r="B57" s="317"/>
      <c r="C57" s="334"/>
      <c r="D57" s="336"/>
      <c r="E57" s="301"/>
    </row>
    <row r="58" spans="2:5" x14ac:dyDescent="0.2">
      <c r="B58" s="317"/>
      <c r="C58" s="334"/>
      <c r="D58" s="336"/>
      <c r="E58" s="301"/>
    </row>
    <row r="59" spans="2:5" x14ac:dyDescent="0.2">
      <c r="B59" s="317"/>
      <c r="C59" s="334"/>
      <c r="D59" s="336"/>
      <c r="E59" s="301"/>
    </row>
    <row r="60" spans="2:5" x14ac:dyDescent="0.2">
      <c r="B60" s="317"/>
      <c r="C60" s="334"/>
      <c r="D60" s="336"/>
      <c r="E60" s="301"/>
    </row>
    <row r="61" spans="2:5" x14ac:dyDescent="0.2">
      <c r="B61" s="317"/>
      <c r="C61" s="334"/>
      <c r="D61" s="336"/>
      <c r="E61" s="301"/>
    </row>
    <row r="62" spans="2:5" x14ac:dyDescent="0.2">
      <c r="B62" s="317"/>
      <c r="C62" s="334"/>
      <c r="D62" s="336"/>
      <c r="E62" s="301"/>
    </row>
    <row r="63" spans="2:5" x14ac:dyDescent="0.2">
      <c r="B63" s="317"/>
      <c r="C63" s="334"/>
      <c r="D63" s="336"/>
      <c r="E63" s="301"/>
    </row>
    <row r="64" spans="2:5" x14ac:dyDescent="0.2">
      <c r="B64" s="317"/>
      <c r="C64" s="334"/>
      <c r="D64" s="336"/>
      <c r="E64" s="301"/>
    </row>
    <row r="65" spans="2:7" x14ac:dyDescent="0.2">
      <c r="B65" s="317"/>
      <c r="C65" s="334"/>
      <c r="D65" s="336"/>
      <c r="E65" s="301"/>
    </row>
    <row r="66" spans="2:7" x14ac:dyDescent="0.2">
      <c r="B66" s="317"/>
      <c r="C66" s="334"/>
      <c r="D66" s="336"/>
      <c r="E66" s="301"/>
    </row>
    <row r="67" spans="2:7" x14ac:dyDescent="0.2">
      <c r="B67" s="317"/>
      <c r="C67" s="334"/>
      <c r="D67" s="336"/>
      <c r="E67" s="301"/>
    </row>
    <row r="68" spans="2:7" x14ac:dyDescent="0.2">
      <c r="B68" s="317"/>
      <c r="C68" s="334"/>
      <c r="D68" s="336"/>
      <c r="E68" s="301"/>
    </row>
    <row r="69" spans="2:7" x14ac:dyDescent="0.2">
      <c r="B69" s="317"/>
      <c r="C69" s="334"/>
      <c r="D69" s="336"/>
      <c r="E69" s="301"/>
    </row>
    <row r="70" spans="2:7" x14ac:dyDescent="0.2">
      <c r="B70" s="317"/>
      <c r="C70" s="334"/>
      <c r="D70" s="336"/>
      <c r="E70" s="301"/>
    </row>
    <row r="71" spans="2:7" x14ac:dyDescent="0.2">
      <c r="B71" s="317"/>
      <c r="C71" s="334"/>
      <c r="D71" s="336"/>
      <c r="E71" s="301"/>
    </row>
    <row r="72" spans="2:7" x14ac:dyDescent="0.2">
      <c r="B72" s="317"/>
      <c r="C72" s="334"/>
      <c r="D72" s="336"/>
      <c r="E72" s="301"/>
    </row>
    <row r="73" spans="2:7" x14ac:dyDescent="0.2">
      <c r="B73" s="441" t="s">
        <v>415</v>
      </c>
      <c r="C73" s="442"/>
      <c r="D73" s="443"/>
      <c r="E73" s="337">
        <f>SUM(E47:E72)</f>
        <v>18380159.280000001</v>
      </c>
    </row>
    <row r="76" spans="2:7" ht="15.75" x14ac:dyDescent="0.25">
      <c r="B76" s="172" t="s">
        <v>417</v>
      </c>
      <c r="C76" s="274"/>
      <c r="D76" s="274"/>
      <c r="E76" s="274"/>
      <c r="F76" s="299"/>
      <c r="G76" s="274"/>
    </row>
    <row r="77" spans="2:7" ht="15.75" x14ac:dyDescent="0.25">
      <c r="B77" s="171"/>
      <c r="C77" s="274"/>
      <c r="D77" s="274"/>
      <c r="E77" s="274"/>
      <c r="F77" s="299"/>
      <c r="G77" s="274"/>
    </row>
    <row r="78" spans="2:7" ht="42" customHeight="1" x14ac:dyDescent="0.2">
      <c r="B78" s="39" t="s">
        <v>131</v>
      </c>
      <c r="C78" s="39" t="s">
        <v>418</v>
      </c>
      <c r="D78" s="39" t="s">
        <v>419</v>
      </c>
      <c r="E78" s="51" t="s">
        <v>420</v>
      </c>
      <c r="F78" s="51" t="s">
        <v>421</v>
      </c>
      <c r="G78" s="51" t="s">
        <v>422</v>
      </c>
    </row>
    <row r="79" spans="2:7" x14ac:dyDescent="0.2">
      <c r="B79" s="71"/>
      <c r="C79" s="39"/>
      <c r="D79" s="55"/>
      <c r="E79" s="55"/>
      <c r="F79" s="55" t="s">
        <v>423</v>
      </c>
      <c r="G79" s="55" t="s">
        <v>134</v>
      </c>
    </row>
    <row r="80" spans="2:7" x14ac:dyDescent="0.2">
      <c r="B80" s="271" t="s">
        <v>413</v>
      </c>
      <c r="C80" s="338"/>
      <c r="D80" s="301"/>
      <c r="E80" s="301"/>
      <c r="F80" s="295"/>
      <c r="G80" s="290"/>
    </row>
    <row r="81" spans="2:7" x14ac:dyDescent="0.2">
      <c r="B81" s="300"/>
      <c r="C81" s="338"/>
      <c r="D81" s="301"/>
      <c r="E81" s="301"/>
      <c r="F81" s="295"/>
      <c r="G81" s="290"/>
    </row>
    <row r="82" spans="2:7" x14ac:dyDescent="0.2">
      <c r="B82" s="300"/>
      <c r="C82" s="338"/>
      <c r="D82" s="301"/>
      <c r="E82" s="301"/>
      <c r="F82" s="295"/>
      <c r="G82" s="290"/>
    </row>
    <row r="83" spans="2:7" x14ac:dyDescent="0.2">
      <c r="B83" s="300"/>
      <c r="C83" s="338"/>
      <c r="D83" s="301"/>
      <c r="E83" s="301"/>
      <c r="F83" s="295"/>
      <c r="G83" s="290"/>
    </row>
    <row r="84" spans="2:7" x14ac:dyDescent="0.2">
      <c r="B84" s="300"/>
      <c r="C84" s="338"/>
      <c r="D84" s="301"/>
      <c r="E84" s="301"/>
      <c r="F84" s="295"/>
      <c r="G84" s="290"/>
    </row>
    <row r="85" spans="2:7" x14ac:dyDescent="0.2">
      <c r="B85" s="300"/>
      <c r="C85" s="338"/>
      <c r="D85" s="301"/>
      <c r="E85" s="301"/>
      <c r="F85" s="295"/>
      <c r="G85" s="290"/>
    </row>
    <row r="86" spans="2:7" x14ac:dyDescent="0.2">
      <c r="B86" s="300"/>
      <c r="C86" s="338"/>
      <c r="D86" s="301"/>
      <c r="E86" s="301"/>
      <c r="F86" s="295"/>
      <c r="G86" s="290"/>
    </row>
    <row r="87" spans="2:7" x14ac:dyDescent="0.2">
      <c r="B87" s="300"/>
      <c r="C87" s="338"/>
      <c r="D87" s="301"/>
      <c r="E87" s="301"/>
      <c r="F87" s="295"/>
      <c r="G87" s="290"/>
    </row>
    <row r="88" spans="2:7" x14ac:dyDescent="0.2">
      <c r="B88" s="300"/>
      <c r="C88" s="338"/>
      <c r="D88" s="301"/>
      <c r="E88" s="301"/>
      <c r="F88" s="295"/>
      <c r="G88" s="290"/>
    </row>
    <row r="89" spans="2:7" x14ac:dyDescent="0.2">
      <c r="B89" s="300"/>
      <c r="C89" s="338"/>
      <c r="D89" s="301"/>
      <c r="E89" s="301"/>
      <c r="F89" s="295"/>
      <c r="G89" s="290"/>
    </row>
    <row r="90" spans="2:7" x14ac:dyDescent="0.2">
      <c r="B90" s="300"/>
      <c r="C90" s="338"/>
      <c r="D90" s="301"/>
      <c r="E90" s="301"/>
      <c r="F90" s="295"/>
      <c r="G90" s="290"/>
    </row>
    <row r="91" spans="2:7" x14ac:dyDescent="0.2">
      <c r="B91" s="300"/>
      <c r="C91" s="338"/>
      <c r="D91" s="301"/>
      <c r="E91" s="301"/>
      <c r="F91" s="295"/>
      <c r="G91" s="290"/>
    </row>
    <row r="92" spans="2:7" x14ac:dyDescent="0.2">
      <c r="B92" s="300"/>
      <c r="C92" s="338"/>
      <c r="D92" s="301"/>
      <c r="E92" s="301"/>
      <c r="F92" s="295"/>
      <c r="G92" s="290"/>
    </row>
    <row r="93" spans="2:7" x14ac:dyDescent="0.2">
      <c r="B93" s="300"/>
      <c r="C93" s="338"/>
      <c r="D93" s="301"/>
      <c r="E93" s="301"/>
      <c r="F93" s="295"/>
      <c r="G93" s="290"/>
    </row>
    <row r="94" spans="2:7" x14ac:dyDescent="0.2">
      <c r="B94" s="300"/>
      <c r="C94" s="338"/>
      <c r="D94" s="301"/>
      <c r="E94" s="301"/>
      <c r="F94" s="295"/>
      <c r="G94" s="290"/>
    </row>
    <row r="95" spans="2:7" x14ac:dyDescent="0.2">
      <c r="B95" s="300"/>
      <c r="C95" s="338"/>
      <c r="D95" s="301"/>
      <c r="E95" s="301"/>
      <c r="F95" s="295"/>
      <c r="G95" s="290"/>
    </row>
    <row r="96" spans="2:7" x14ac:dyDescent="0.2">
      <c r="B96" s="300"/>
      <c r="C96" s="338"/>
      <c r="D96" s="301"/>
      <c r="E96" s="301"/>
      <c r="F96" s="295"/>
      <c r="G96" s="290"/>
    </row>
    <row r="97" spans="2:7" x14ac:dyDescent="0.2">
      <c r="B97" s="300"/>
      <c r="C97" s="338"/>
      <c r="D97" s="301"/>
      <c r="E97" s="301"/>
      <c r="F97" s="295"/>
      <c r="G97" s="290"/>
    </row>
    <row r="98" spans="2:7" x14ac:dyDescent="0.2">
      <c r="B98" s="439" t="s">
        <v>424</v>
      </c>
      <c r="C98" s="440"/>
      <c r="D98" s="440"/>
      <c r="E98" s="440"/>
      <c r="F98" s="440"/>
      <c r="G98" s="291">
        <f>SUM(G80:G97)</f>
        <v>0</v>
      </c>
    </row>
  </sheetData>
  <sheetProtection sheet="1" insertRows="0" deleteRows="0"/>
  <mergeCells count="4">
    <mergeCell ref="B98:F98"/>
    <mergeCell ref="B41:D41"/>
    <mergeCell ref="B6:E9"/>
    <mergeCell ref="B73:D73"/>
  </mergeCells>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0283A-2973-470B-8057-5ECC654C9555}">
  <sheetPr>
    <tabColor theme="5" tint="0.79998168889431442"/>
  </sheetPr>
  <dimension ref="A1:M1"/>
  <sheetViews>
    <sheetView workbookViewId="0"/>
  </sheetViews>
  <sheetFormatPr defaultColWidth="9.42578125" defaultRowHeight="12.75" x14ac:dyDescent="0.2"/>
  <cols>
    <col min="1" max="16384" width="9.42578125" style="244"/>
  </cols>
  <sheetData>
    <row r="1" spans="1:13" x14ac:dyDescent="0.2">
      <c r="A1"/>
      <c r="M1"/>
    </row>
  </sheetData>
  <pageMargins left="0.7" right="0.7" top="0.75" bottom="0.75" header="0.3" footer="0.3"/>
  <headerFooter>
    <oddFooter>&amp;C_x000D_&amp;1#&amp;"Aptos"&amp;10&amp;K008000 APA-INTERNAL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B3197-E350-48A5-8746-F268945FBA80}">
  <sheetPr codeName="Sheet26">
    <tabColor rgb="FF17415D"/>
  </sheetPr>
  <dimension ref="B1:I408"/>
  <sheetViews>
    <sheetView showGridLines="0" tabSelected="1" zoomScaleNormal="100" workbookViewId="0">
      <pane xSplit="1" ySplit="9" topLeftCell="B10" activePane="bottomRight" state="frozen"/>
      <selection pane="topRight" activeCell="B1" sqref="B1"/>
      <selection pane="bottomLeft" activeCell="A10" sqref="A10"/>
      <selection pane="bottomRight" activeCell="B10" sqref="B10"/>
    </sheetView>
  </sheetViews>
  <sheetFormatPr defaultColWidth="8.5703125" defaultRowHeight="12.75" x14ac:dyDescent="0.2"/>
  <cols>
    <col min="1" max="1" width="11.42578125" customWidth="1"/>
    <col min="2" max="2" width="47.42578125" customWidth="1"/>
    <col min="3" max="3" width="30.5703125" customWidth="1"/>
    <col min="4" max="4" width="74.42578125" customWidth="1"/>
    <col min="5" max="9" width="30.5703125" customWidth="1"/>
    <col min="10" max="60" width="10.5703125" customWidth="1"/>
    <col min="62" max="62" width="13.5703125" customWidth="1"/>
  </cols>
  <sheetData>
    <row r="1" spans="2:4" ht="20.25" x14ac:dyDescent="0.2">
      <c r="B1" s="103" t="s">
        <v>68</v>
      </c>
      <c r="C1" s="103"/>
    </row>
    <row r="2" spans="2:4" ht="25.5" customHeight="1" x14ac:dyDescent="0.2">
      <c r="B2" s="103" t="str">
        <f>IF(Tradingname=0," ",Tradingname)</f>
        <v>APA Reedy Creek Wallumbilla Pty Limited</v>
      </c>
      <c r="C2" s="103"/>
    </row>
    <row r="3" spans="2:4" ht="19.5" customHeight="1" x14ac:dyDescent="0.3">
      <c r="B3" s="103" t="s">
        <v>46</v>
      </c>
      <c r="C3" s="80">
        <f>IF(Yearending=0, "01/01/2000", Yearending)</f>
        <v>45838</v>
      </c>
    </row>
    <row r="4" spans="2:4" ht="20.25" x14ac:dyDescent="0.2">
      <c r="B4" s="72" t="s">
        <v>87</v>
      </c>
      <c r="C4" s="72"/>
    </row>
    <row r="5" spans="2:4" ht="12" customHeight="1" x14ac:dyDescent="0.2"/>
    <row r="6" spans="2:4" ht="12" customHeight="1" x14ac:dyDescent="0.2">
      <c r="B6" s="426" t="s">
        <v>425</v>
      </c>
      <c r="C6" s="426"/>
      <c r="D6" s="426"/>
    </row>
    <row r="7" spans="2:4" ht="12" customHeight="1" x14ac:dyDescent="0.2">
      <c r="B7" s="426"/>
      <c r="C7" s="426"/>
      <c r="D7" s="426"/>
    </row>
    <row r="8" spans="2:4" ht="12" customHeight="1" x14ac:dyDescent="0.2">
      <c r="B8" s="426"/>
      <c r="C8" s="426"/>
      <c r="D8" s="426"/>
    </row>
    <row r="9" spans="2:4" ht="12" customHeight="1" x14ac:dyDescent="0.2">
      <c r="B9" s="426"/>
      <c r="C9" s="426"/>
      <c r="D9" s="426"/>
    </row>
    <row r="10" spans="2:4" ht="12" customHeight="1" x14ac:dyDescent="0.2"/>
    <row r="11" spans="2:4" ht="12" customHeight="1" x14ac:dyDescent="0.2"/>
    <row r="12" spans="2:4" ht="15.75" x14ac:dyDescent="0.25">
      <c r="B12" s="162" t="s">
        <v>426</v>
      </c>
    </row>
    <row r="14" spans="2:4" x14ac:dyDescent="0.2">
      <c r="B14" s="53" t="s">
        <v>131</v>
      </c>
      <c r="C14" s="52" t="s">
        <v>427</v>
      </c>
      <c r="D14" s="52" t="s">
        <v>428</v>
      </c>
    </row>
    <row r="15" spans="2:4" x14ac:dyDescent="0.2">
      <c r="B15" s="272" t="s">
        <v>429</v>
      </c>
      <c r="C15" s="339" t="s">
        <v>430</v>
      </c>
      <c r="D15" s="339" t="s">
        <v>431</v>
      </c>
    </row>
    <row r="16" spans="2:4" x14ac:dyDescent="0.2">
      <c r="B16" s="272" t="s">
        <v>429</v>
      </c>
      <c r="C16" s="339" t="s">
        <v>432</v>
      </c>
      <c r="D16" s="339" t="s">
        <v>431</v>
      </c>
    </row>
    <row r="17" spans="2:6" x14ac:dyDescent="0.2">
      <c r="B17" s="270"/>
      <c r="C17" s="339"/>
      <c r="D17" s="339"/>
    </row>
    <row r="18" spans="2:6" x14ac:dyDescent="0.2">
      <c r="B18" s="270"/>
      <c r="C18" s="340"/>
      <c r="D18" s="340"/>
    </row>
    <row r="19" spans="2:6" x14ac:dyDescent="0.2">
      <c r="B19" s="341"/>
      <c r="C19" s="340"/>
      <c r="D19" s="340"/>
    </row>
    <row r="22" spans="2:6" ht="15.75" x14ac:dyDescent="0.25">
      <c r="B22" s="162" t="s">
        <v>433</v>
      </c>
    </row>
    <row r="24" spans="2:6" s="9" customFormat="1" x14ac:dyDescent="0.2">
      <c r="B24" s="82"/>
      <c r="C24" s="83" t="s">
        <v>434</v>
      </c>
    </row>
    <row r="25" spans="2:6" s="9" customFormat="1" x14ac:dyDescent="0.2">
      <c r="B25" s="82"/>
      <c r="C25" s="82" t="s">
        <v>435</v>
      </c>
      <c r="D25" s="161"/>
    </row>
    <row r="26" spans="2:6" ht="14.25" x14ac:dyDescent="0.2">
      <c r="B26" s="91" t="s">
        <v>93</v>
      </c>
      <c r="C26" s="301">
        <f>C42/365</f>
        <v>610.02739726027403</v>
      </c>
      <c r="D26" s="160"/>
      <c r="E26" s="273"/>
      <c r="F26" s="273"/>
    </row>
    <row r="27" spans="2:6" ht="14.25" x14ac:dyDescent="0.2">
      <c r="B27" s="91" t="s">
        <v>95</v>
      </c>
      <c r="C27" s="301"/>
      <c r="D27" s="160"/>
      <c r="E27" s="273"/>
      <c r="F27" s="273"/>
    </row>
    <row r="28" spans="2:6" ht="14.25" x14ac:dyDescent="0.2">
      <c r="B28" s="91" t="s">
        <v>96</v>
      </c>
      <c r="C28" s="301"/>
      <c r="D28" s="160"/>
      <c r="E28" s="273"/>
      <c r="F28" s="273"/>
    </row>
    <row r="29" spans="2:6" ht="14.25" x14ac:dyDescent="0.2">
      <c r="B29" s="91" t="s">
        <v>97</v>
      </c>
      <c r="C29" s="301"/>
      <c r="D29" s="160"/>
      <c r="E29" s="273"/>
      <c r="F29" s="273"/>
    </row>
    <row r="30" spans="2:6" ht="25.5" x14ac:dyDescent="0.2">
      <c r="B30" s="159" t="s">
        <v>98</v>
      </c>
      <c r="C30" s="301"/>
      <c r="D30" s="160"/>
      <c r="E30" s="273"/>
      <c r="F30" s="273"/>
    </row>
    <row r="31" spans="2:6" ht="14.25" x14ac:dyDescent="0.2">
      <c r="B31" s="91" t="s">
        <v>99</v>
      </c>
      <c r="C31" s="301"/>
      <c r="D31" s="160"/>
      <c r="E31" s="273"/>
      <c r="F31" s="273"/>
    </row>
    <row r="32" spans="2:6" ht="14.25" x14ac:dyDescent="0.2">
      <c r="B32" s="91" t="s">
        <v>100</v>
      </c>
      <c r="C32" s="301"/>
      <c r="D32" s="160"/>
      <c r="E32" s="273"/>
      <c r="F32" s="273"/>
    </row>
    <row r="33" spans="2:9" x14ac:dyDescent="0.2">
      <c r="B33" s="91" t="s">
        <v>101</v>
      </c>
      <c r="C33" s="301"/>
      <c r="D33" s="273"/>
      <c r="E33" s="273"/>
      <c r="F33" s="273"/>
    </row>
    <row r="34" spans="2:9" x14ac:dyDescent="0.2">
      <c r="B34" s="91" t="s">
        <v>103</v>
      </c>
      <c r="C34" s="301"/>
      <c r="D34" s="273"/>
      <c r="E34" s="273"/>
      <c r="F34" s="273"/>
    </row>
    <row r="35" spans="2:9" x14ac:dyDescent="0.2">
      <c r="B35" s="91" t="s">
        <v>105</v>
      </c>
      <c r="C35" s="301"/>
    </row>
    <row r="38" spans="2:9" ht="15.75" x14ac:dyDescent="0.25">
      <c r="B38" s="162" t="s">
        <v>436</v>
      </c>
    </row>
    <row r="40" spans="2:9" s="9" customFormat="1" ht="25.5" x14ac:dyDescent="0.2">
      <c r="B40" s="82"/>
      <c r="C40" s="83" t="s">
        <v>437</v>
      </c>
      <c r="D40" s="83" t="s">
        <v>438</v>
      </c>
      <c r="E40" s="83" t="s">
        <v>439</v>
      </c>
      <c r="F40" s="83" t="s">
        <v>113</v>
      </c>
      <c r="G40" s="83" t="s">
        <v>440</v>
      </c>
      <c r="H40" s="83" t="s">
        <v>441</v>
      </c>
      <c r="I40" s="83" t="s">
        <v>442</v>
      </c>
    </row>
    <row r="41" spans="2:9" s="9" customFormat="1" x14ac:dyDescent="0.2">
      <c r="B41" s="82"/>
      <c r="C41" s="84" t="s">
        <v>435</v>
      </c>
      <c r="D41" s="84" t="s">
        <v>435</v>
      </c>
      <c r="E41" s="84" t="s">
        <v>435</v>
      </c>
      <c r="F41" s="84" t="s">
        <v>435</v>
      </c>
      <c r="G41" s="83"/>
      <c r="H41" s="83"/>
      <c r="I41" s="83"/>
    </row>
    <row r="42" spans="2:9" x14ac:dyDescent="0.2">
      <c r="B42" s="158" t="s">
        <v>71</v>
      </c>
      <c r="C42" s="15">
        <f>SUM(C43:C408)</f>
        <v>222660</v>
      </c>
      <c r="D42" s="15">
        <f>SUM(D43:D408)</f>
        <v>0</v>
      </c>
      <c r="E42" s="15">
        <f>SUM(E43:E408)</f>
        <v>37065.286999999982</v>
      </c>
      <c r="F42" s="15" t="s">
        <v>443</v>
      </c>
      <c r="G42" s="15">
        <f>SUM(G43:G408)</f>
        <v>262234.71300000016</v>
      </c>
      <c r="H42" s="15">
        <f>SUM(H43:H408)</f>
        <v>76640</v>
      </c>
      <c r="I42" s="15">
        <f>SUM(I43:I408)</f>
        <v>185594.71300000011</v>
      </c>
    </row>
    <row r="43" spans="2:9" x14ac:dyDescent="0.2">
      <c r="B43" s="157">
        <f>IF(Yearstart=0, "1/01/1999", Yearstart)</f>
        <v>45474</v>
      </c>
      <c r="C43" s="342">
        <v>600</v>
      </c>
      <c r="D43" s="342"/>
      <c r="E43" s="342">
        <v>205.92</v>
      </c>
      <c r="F43" s="342">
        <v>820</v>
      </c>
      <c r="G43" s="15">
        <f>F43-E43</f>
        <v>614.08000000000004</v>
      </c>
      <c r="H43" s="15">
        <f>'5. Historical demand'!F43-'5. Historical demand'!C43-'5. Historical demand'!D43</f>
        <v>220</v>
      </c>
      <c r="I43" s="15">
        <f>C43+D43-E43</f>
        <v>394.08000000000004</v>
      </c>
    </row>
    <row r="44" spans="2:9" x14ac:dyDescent="0.2">
      <c r="B44" s="157">
        <f t="shared" ref="B44:B107" si="0">IFERROR(IF(Yearending&gt;B43, B43+1, ""),"")</f>
        <v>45475</v>
      </c>
      <c r="C44" s="342">
        <v>600</v>
      </c>
      <c r="D44" s="342"/>
      <c r="E44" s="342">
        <v>186.43100000000001</v>
      </c>
      <c r="F44" s="342">
        <v>820</v>
      </c>
      <c r="G44" s="15">
        <f t="shared" ref="G44:G107" si="1">IFERROR(IF(Yearending&gt;B43,F44-E44,""),"")</f>
        <v>633.56899999999996</v>
      </c>
      <c r="H44" s="15">
        <f>IFERROR(IF(Yearending&gt;B43,'5. Historical demand'!F44-'5. Historical demand'!C44-'5. Historical demand'!D44,""),"")</f>
        <v>220</v>
      </c>
      <c r="I44" s="15">
        <f t="shared" ref="I44:I107" si="2">IFERROR(IF(Yearending&gt;B43,C44+D44-E44,""),"")</f>
        <v>413.56899999999996</v>
      </c>
    </row>
    <row r="45" spans="2:9" x14ac:dyDescent="0.2">
      <c r="B45" s="157">
        <f t="shared" si="0"/>
        <v>45476</v>
      </c>
      <c r="C45" s="342">
        <v>600</v>
      </c>
      <c r="D45" s="342"/>
      <c r="E45" s="342">
        <v>190.73599999999999</v>
      </c>
      <c r="F45" s="342">
        <v>820</v>
      </c>
      <c r="G45" s="15">
        <f t="shared" si="1"/>
        <v>629.26400000000001</v>
      </c>
      <c r="H45" s="15">
        <f>IFERROR(IF(Yearending&gt;B44,'5. Historical demand'!F45-'5. Historical demand'!C45-'5. Historical demand'!D45,""),"")</f>
        <v>220</v>
      </c>
      <c r="I45" s="15">
        <f t="shared" si="2"/>
        <v>409.26400000000001</v>
      </c>
    </row>
    <row r="46" spans="2:9" x14ac:dyDescent="0.2">
      <c r="B46" s="157">
        <f t="shared" si="0"/>
        <v>45477</v>
      </c>
      <c r="C46" s="342">
        <v>600</v>
      </c>
      <c r="D46" s="342"/>
      <c r="E46" s="342">
        <v>175.93600000000001</v>
      </c>
      <c r="F46" s="342">
        <v>820</v>
      </c>
      <c r="G46" s="15">
        <f t="shared" si="1"/>
        <v>644.06399999999996</v>
      </c>
      <c r="H46" s="15">
        <f>IFERROR(IF(Yearending&gt;B45,'5. Historical demand'!F46-'5. Historical demand'!C46-'5. Historical demand'!D46,""),"")</f>
        <v>220</v>
      </c>
      <c r="I46" s="15">
        <f t="shared" si="2"/>
        <v>424.06399999999996</v>
      </c>
    </row>
    <row r="47" spans="2:9" x14ac:dyDescent="0.2">
      <c r="B47" s="157">
        <f t="shared" si="0"/>
        <v>45478</v>
      </c>
      <c r="C47" s="342">
        <v>600</v>
      </c>
      <c r="D47" s="342"/>
      <c r="E47" s="342">
        <v>156.27699999999999</v>
      </c>
      <c r="F47" s="342">
        <v>820</v>
      </c>
      <c r="G47" s="15">
        <f t="shared" si="1"/>
        <v>663.72299999999996</v>
      </c>
      <c r="H47" s="15">
        <f>IFERROR(IF(Yearending&gt;B46,'5. Historical demand'!F47-'5. Historical demand'!C47-'5. Historical demand'!D47,""),"")</f>
        <v>220</v>
      </c>
      <c r="I47" s="15">
        <f t="shared" si="2"/>
        <v>443.72300000000001</v>
      </c>
    </row>
    <row r="48" spans="2:9" x14ac:dyDescent="0.2">
      <c r="B48" s="157">
        <f t="shared" si="0"/>
        <v>45479</v>
      </c>
      <c r="C48" s="342">
        <v>600</v>
      </c>
      <c r="D48" s="342"/>
      <c r="E48" s="342">
        <v>187.447</v>
      </c>
      <c r="F48" s="342">
        <v>820</v>
      </c>
      <c r="G48" s="15">
        <f t="shared" si="1"/>
        <v>632.553</v>
      </c>
      <c r="H48" s="15">
        <f>IFERROR(IF(Yearending&gt;B47,'5. Historical demand'!F48-'5. Historical demand'!C48-'5. Historical demand'!D48,""),"")</f>
        <v>220</v>
      </c>
      <c r="I48" s="15">
        <f t="shared" si="2"/>
        <v>412.553</v>
      </c>
    </row>
    <row r="49" spans="2:9" x14ac:dyDescent="0.2">
      <c r="B49" s="157">
        <f t="shared" si="0"/>
        <v>45480</v>
      </c>
      <c r="C49" s="342">
        <v>600</v>
      </c>
      <c r="D49" s="342"/>
      <c r="E49" s="342">
        <v>179.45099999999999</v>
      </c>
      <c r="F49" s="342">
        <v>820</v>
      </c>
      <c r="G49" s="15">
        <f t="shared" si="1"/>
        <v>640.54899999999998</v>
      </c>
      <c r="H49" s="15">
        <f>IFERROR(IF(Yearending&gt;B48,'5. Historical demand'!F49-'5. Historical demand'!C49-'5. Historical demand'!D49,""),"")</f>
        <v>220</v>
      </c>
      <c r="I49" s="15">
        <f t="shared" si="2"/>
        <v>420.54899999999998</v>
      </c>
    </row>
    <row r="50" spans="2:9" x14ac:dyDescent="0.2">
      <c r="B50" s="157">
        <f t="shared" si="0"/>
        <v>45481</v>
      </c>
      <c r="C50" s="342">
        <v>600</v>
      </c>
      <c r="D50" s="342"/>
      <c r="E50" s="342">
        <v>182.46100000000001</v>
      </c>
      <c r="F50" s="342">
        <v>820</v>
      </c>
      <c r="G50" s="15">
        <f t="shared" si="1"/>
        <v>637.53899999999999</v>
      </c>
      <c r="H50" s="15">
        <f>IFERROR(IF(Yearending&gt;B49,'5. Historical demand'!F50-'5. Historical demand'!C50-'5. Historical demand'!D50,""),"")</f>
        <v>220</v>
      </c>
      <c r="I50" s="15">
        <f t="shared" si="2"/>
        <v>417.53899999999999</v>
      </c>
    </row>
    <row r="51" spans="2:9" x14ac:dyDescent="0.2">
      <c r="B51" s="157">
        <f t="shared" si="0"/>
        <v>45482</v>
      </c>
      <c r="C51" s="342">
        <v>600</v>
      </c>
      <c r="D51" s="342"/>
      <c r="E51" s="342">
        <v>132.464</v>
      </c>
      <c r="F51" s="342">
        <v>820</v>
      </c>
      <c r="G51" s="15">
        <f t="shared" si="1"/>
        <v>687.53600000000006</v>
      </c>
      <c r="H51" s="15">
        <f>IFERROR(IF(Yearending&gt;B50,'5. Historical demand'!F51-'5. Historical demand'!C51-'5. Historical demand'!D51,""),"")</f>
        <v>220</v>
      </c>
      <c r="I51" s="15">
        <f t="shared" si="2"/>
        <v>467.536</v>
      </c>
    </row>
    <row r="52" spans="2:9" x14ac:dyDescent="0.2">
      <c r="B52" s="157">
        <f t="shared" si="0"/>
        <v>45483</v>
      </c>
      <c r="C52" s="342">
        <v>600</v>
      </c>
      <c r="D52" s="342"/>
      <c r="E52" s="342">
        <v>151.46700000000001</v>
      </c>
      <c r="F52" s="342">
        <v>820</v>
      </c>
      <c r="G52" s="15">
        <f t="shared" si="1"/>
        <v>668.53300000000002</v>
      </c>
      <c r="H52" s="15">
        <f>IFERROR(IF(Yearending&gt;B51,'5. Historical demand'!F52-'5. Historical demand'!C52-'5. Historical demand'!D52,""),"")</f>
        <v>220</v>
      </c>
      <c r="I52" s="15">
        <f t="shared" si="2"/>
        <v>448.53300000000002</v>
      </c>
    </row>
    <row r="53" spans="2:9" x14ac:dyDescent="0.2">
      <c r="B53" s="157">
        <f t="shared" si="0"/>
        <v>45484</v>
      </c>
      <c r="C53" s="342">
        <v>600</v>
      </c>
      <c r="D53" s="342"/>
      <c r="E53" s="342">
        <v>128.67400000000001</v>
      </c>
      <c r="F53" s="342">
        <v>820</v>
      </c>
      <c r="G53" s="15">
        <f t="shared" si="1"/>
        <v>691.32600000000002</v>
      </c>
      <c r="H53" s="15">
        <f>IFERROR(IF(Yearending&gt;B52,'5. Historical demand'!F53-'5. Historical demand'!C53-'5. Historical demand'!D53,""),"")</f>
        <v>220</v>
      </c>
      <c r="I53" s="15">
        <f t="shared" si="2"/>
        <v>471.32600000000002</v>
      </c>
    </row>
    <row r="54" spans="2:9" x14ac:dyDescent="0.2">
      <c r="B54" s="157">
        <f t="shared" si="0"/>
        <v>45485</v>
      </c>
      <c r="C54" s="342">
        <v>600</v>
      </c>
      <c r="D54" s="342"/>
      <c r="E54" s="342">
        <v>198.977</v>
      </c>
      <c r="F54" s="342">
        <v>820</v>
      </c>
      <c r="G54" s="15">
        <f t="shared" si="1"/>
        <v>621.02300000000002</v>
      </c>
      <c r="H54" s="15">
        <f>IFERROR(IF(Yearending&gt;B53,'5. Historical demand'!F54-'5. Historical demand'!C54-'5. Historical demand'!D54,""),"")</f>
        <v>220</v>
      </c>
      <c r="I54" s="15">
        <f t="shared" si="2"/>
        <v>401.02300000000002</v>
      </c>
    </row>
    <row r="55" spans="2:9" x14ac:dyDescent="0.2">
      <c r="B55" s="157">
        <f t="shared" si="0"/>
        <v>45486</v>
      </c>
      <c r="C55" s="342">
        <v>600</v>
      </c>
      <c r="D55" s="342"/>
      <c r="E55" s="342">
        <v>197.68</v>
      </c>
      <c r="F55" s="342">
        <v>820</v>
      </c>
      <c r="G55" s="15">
        <f t="shared" si="1"/>
        <v>622.31999999999994</v>
      </c>
      <c r="H55" s="15">
        <f>IFERROR(IF(Yearending&gt;B54,'5. Historical demand'!F55-'5. Historical demand'!C55-'5. Historical demand'!D55,""),"")</f>
        <v>220</v>
      </c>
      <c r="I55" s="15">
        <f t="shared" si="2"/>
        <v>402.32</v>
      </c>
    </row>
    <row r="56" spans="2:9" x14ac:dyDescent="0.2">
      <c r="B56" s="157">
        <f t="shared" si="0"/>
        <v>45487</v>
      </c>
      <c r="C56" s="342">
        <v>600</v>
      </c>
      <c r="D56" s="342"/>
      <c r="E56" s="342">
        <v>192.67099999999999</v>
      </c>
      <c r="F56" s="342">
        <v>820</v>
      </c>
      <c r="G56" s="15">
        <f t="shared" si="1"/>
        <v>627.32899999999995</v>
      </c>
      <c r="H56" s="15">
        <f>IFERROR(IF(Yearending&gt;B55,'5. Historical demand'!F56-'5. Historical demand'!C56-'5. Historical demand'!D56,""),"")</f>
        <v>220</v>
      </c>
      <c r="I56" s="15">
        <f t="shared" si="2"/>
        <v>407.32900000000001</v>
      </c>
    </row>
    <row r="57" spans="2:9" x14ac:dyDescent="0.2">
      <c r="B57" s="157">
        <f t="shared" si="0"/>
        <v>45488</v>
      </c>
      <c r="C57" s="342">
        <v>600</v>
      </c>
      <c r="D57" s="342"/>
      <c r="E57" s="342">
        <v>216.99600000000001</v>
      </c>
      <c r="F57" s="342">
        <v>820</v>
      </c>
      <c r="G57" s="15">
        <f t="shared" si="1"/>
        <v>603.00400000000002</v>
      </c>
      <c r="H57" s="15">
        <f>IFERROR(IF(Yearending&gt;B56,'5. Historical demand'!F57-'5. Historical demand'!C57-'5. Historical demand'!D57,""),"")</f>
        <v>220</v>
      </c>
      <c r="I57" s="15">
        <f t="shared" si="2"/>
        <v>383.00400000000002</v>
      </c>
    </row>
    <row r="58" spans="2:9" x14ac:dyDescent="0.2">
      <c r="B58" s="157">
        <f t="shared" si="0"/>
        <v>45489</v>
      </c>
      <c r="C58" s="342">
        <v>600</v>
      </c>
      <c r="D58" s="342"/>
      <c r="E58" s="342">
        <v>217.20400000000001</v>
      </c>
      <c r="F58" s="342">
        <v>820</v>
      </c>
      <c r="G58" s="15">
        <f t="shared" si="1"/>
        <v>602.79600000000005</v>
      </c>
      <c r="H58" s="15">
        <f>IFERROR(IF(Yearending&gt;B57,'5. Historical demand'!F58-'5. Historical demand'!C58-'5. Historical demand'!D58,""),"")</f>
        <v>220</v>
      </c>
      <c r="I58" s="15">
        <f t="shared" si="2"/>
        <v>382.79599999999999</v>
      </c>
    </row>
    <row r="59" spans="2:9" x14ac:dyDescent="0.2">
      <c r="B59" s="157">
        <f t="shared" si="0"/>
        <v>45490</v>
      </c>
      <c r="C59" s="342">
        <v>600</v>
      </c>
      <c r="D59" s="342"/>
      <c r="E59" s="342">
        <v>211.18600000000001</v>
      </c>
      <c r="F59" s="342">
        <v>820</v>
      </c>
      <c r="G59" s="15">
        <f t="shared" si="1"/>
        <v>608.81399999999996</v>
      </c>
      <c r="H59" s="15">
        <f>IFERROR(IF(Yearending&gt;B58,'5. Historical demand'!F59-'5. Historical demand'!C59-'5. Historical demand'!D59,""),"")</f>
        <v>220</v>
      </c>
      <c r="I59" s="15">
        <f t="shared" si="2"/>
        <v>388.81399999999996</v>
      </c>
    </row>
    <row r="60" spans="2:9" x14ac:dyDescent="0.2">
      <c r="B60" s="157">
        <f t="shared" si="0"/>
        <v>45491</v>
      </c>
      <c r="C60" s="342">
        <v>600</v>
      </c>
      <c r="D60" s="342"/>
      <c r="E60" s="342">
        <v>184.19900000000001</v>
      </c>
      <c r="F60" s="342">
        <v>820</v>
      </c>
      <c r="G60" s="15">
        <f t="shared" si="1"/>
        <v>635.80099999999993</v>
      </c>
      <c r="H60" s="15">
        <f>IFERROR(IF(Yearending&gt;B59,'5. Historical demand'!F60-'5. Historical demand'!C60-'5. Historical demand'!D60,""),"")</f>
        <v>220</v>
      </c>
      <c r="I60" s="15">
        <f t="shared" si="2"/>
        <v>415.80099999999999</v>
      </c>
    </row>
    <row r="61" spans="2:9" x14ac:dyDescent="0.2">
      <c r="B61" s="157">
        <f t="shared" si="0"/>
        <v>45492</v>
      </c>
      <c r="C61" s="342">
        <v>600</v>
      </c>
      <c r="D61" s="342"/>
      <c r="E61" s="342">
        <v>155.691</v>
      </c>
      <c r="F61" s="342">
        <v>820</v>
      </c>
      <c r="G61" s="15">
        <f t="shared" si="1"/>
        <v>664.30899999999997</v>
      </c>
      <c r="H61" s="15">
        <f>IFERROR(IF(Yearending&gt;B60,'5. Historical demand'!F61-'5. Historical demand'!C61-'5. Historical demand'!D61,""),"")</f>
        <v>220</v>
      </c>
      <c r="I61" s="15">
        <f t="shared" si="2"/>
        <v>444.30899999999997</v>
      </c>
    </row>
    <row r="62" spans="2:9" x14ac:dyDescent="0.2">
      <c r="B62" s="157">
        <f t="shared" si="0"/>
        <v>45493</v>
      </c>
      <c r="C62" s="342">
        <v>600</v>
      </c>
      <c r="D62" s="342"/>
      <c r="E62" s="342">
        <v>142.714</v>
      </c>
      <c r="F62" s="342">
        <v>820</v>
      </c>
      <c r="G62" s="15">
        <f t="shared" si="1"/>
        <v>677.28600000000006</v>
      </c>
      <c r="H62" s="15">
        <f>IFERROR(IF(Yearending&gt;B61,'5. Historical demand'!F62-'5. Historical demand'!C62-'5. Historical demand'!D62,""),"")</f>
        <v>220</v>
      </c>
      <c r="I62" s="15">
        <f t="shared" si="2"/>
        <v>457.286</v>
      </c>
    </row>
    <row r="63" spans="2:9" x14ac:dyDescent="0.2">
      <c r="B63" s="157">
        <f t="shared" si="0"/>
        <v>45494</v>
      </c>
      <c r="C63" s="342">
        <v>600</v>
      </c>
      <c r="D63" s="342"/>
      <c r="E63" s="342">
        <v>139.511</v>
      </c>
      <c r="F63" s="342">
        <v>820</v>
      </c>
      <c r="G63" s="15">
        <f t="shared" si="1"/>
        <v>680.48900000000003</v>
      </c>
      <c r="H63" s="15">
        <f>IFERROR(IF(Yearending&gt;B62,'5. Historical demand'!F63-'5. Historical demand'!C63-'5. Historical demand'!D63,""),"")</f>
        <v>220</v>
      </c>
      <c r="I63" s="15">
        <f t="shared" si="2"/>
        <v>460.48900000000003</v>
      </c>
    </row>
    <row r="64" spans="2:9" x14ac:dyDescent="0.2">
      <c r="B64" s="157">
        <f t="shared" si="0"/>
        <v>45495</v>
      </c>
      <c r="C64" s="342">
        <v>600</v>
      </c>
      <c r="D64" s="342"/>
      <c r="E64" s="342">
        <v>170.71</v>
      </c>
      <c r="F64" s="342">
        <v>820</v>
      </c>
      <c r="G64" s="15">
        <f t="shared" si="1"/>
        <v>649.29</v>
      </c>
      <c r="H64" s="15">
        <f>IFERROR(IF(Yearending&gt;B63,'5. Historical demand'!F64-'5. Historical demand'!C64-'5. Historical demand'!D64,""),"")</f>
        <v>220</v>
      </c>
      <c r="I64" s="15">
        <f t="shared" si="2"/>
        <v>429.28999999999996</v>
      </c>
    </row>
    <row r="65" spans="2:9" x14ac:dyDescent="0.2">
      <c r="B65" s="157">
        <f t="shared" si="0"/>
        <v>45496</v>
      </c>
      <c r="C65" s="342">
        <v>600</v>
      </c>
      <c r="D65" s="342"/>
      <c r="E65" s="342">
        <v>215.71</v>
      </c>
      <c r="F65" s="342">
        <v>820</v>
      </c>
      <c r="G65" s="15">
        <f t="shared" si="1"/>
        <v>604.29</v>
      </c>
      <c r="H65" s="15">
        <f>IFERROR(IF(Yearending&gt;B64,'5. Historical demand'!F65-'5. Historical demand'!C65-'5. Historical demand'!D65,""),"")</f>
        <v>220</v>
      </c>
      <c r="I65" s="15">
        <f t="shared" si="2"/>
        <v>384.28999999999996</v>
      </c>
    </row>
    <row r="66" spans="2:9" x14ac:dyDescent="0.2">
      <c r="B66" s="157">
        <f t="shared" si="0"/>
        <v>45497</v>
      </c>
      <c r="C66" s="342">
        <v>600</v>
      </c>
      <c r="D66" s="342"/>
      <c r="E66" s="342">
        <v>219.709</v>
      </c>
      <c r="F66" s="342">
        <v>820</v>
      </c>
      <c r="G66" s="15">
        <f t="shared" si="1"/>
        <v>600.29099999999994</v>
      </c>
      <c r="H66" s="15">
        <f>IFERROR(IF(Yearending&gt;B65,'5. Historical demand'!F66-'5. Historical demand'!C66-'5. Historical demand'!D66,""),"")</f>
        <v>220</v>
      </c>
      <c r="I66" s="15">
        <f t="shared" si="2"/>
        <v>380.291</v>
      </c>
    </row>
    <row r="67" spans="2:9" x14ac:dyDescent="0.2">
      <c r="B67" s="157">
        <f t="shared" si="0"/>
        <v>45498</v>
      </c>
      <c r="C67" s="342">
        <v>600</v>
      </c>
      <c r="D67" s="342"/>
      <c r="E67" s="342">
        <v>210.505</v>
      </c>
      <c r="F67" s="342">
        <v>820</v>
      </c>
      <c r="G67" s="15">
        <f t="shared" si="1"/>
        <v>609.495</v>
      </c>
      <c r="H67" s="15">
        <f>IFERROR(IF(Yearending&gt;B66,'5. Historical demand'!F67-'5. Historical demand'!C67-'5. Historical demand'!D67,""),"")</f>
        <v>220</v>
      </c>
      <c r="I67" s="15">
        <f t="shared" si="2"/>
        <v>389.495</v>
      </c>
    </row>
    <row r="68" spans="2:9" x14ac:dyDescent="0.2">
      <c r="B68" s="157">
        <f t="shared" si="0"/>
        <v>45499</v>
      </c>
      <c r="C68" s="342">
        <v>600</v>
      </c>
      <c r="D68" s="342"/>
      <c r="E68" s="342">
        <v>143.32400000000001</v>
      </c>
      <c r="F68" s="342">
        <v>820</v>
      </c>
      <c r="G68" s="15">
        <f t="shared" si="1"/>
        <v>676.67599999999993</v>
      </c>
      <c r="H68" s="15">
        <f>IFERROR(IF(Yearending&gt;B67,'5. Historical demand'!F68-'5. Historical demand'!C68-'5. Historical demand'!D68,""),"")</f>
        <v>220</v>
      </c>
      <c r="I68" s="15">
        <f t="shared" si="2"/>
        <v>456.67599999999999</v>
      </c>
    </row>
    <row r="69" spans="2:9" x14ac:dyDescent="0.2">
      <c r="B69" s="157">
        <f t="shared" si="0"/>
        <v>45500</v>
      </c>
      <c r="C69" s="342">
        <v>600</v>
      </c>
      <c r="D69" s="342"/>
      <c r="E69" s="342">
        <v>136.80799999999999</v>
      </c>
      <c r="F69" s="342">
        <v>820</v>
      </c>
      <c r="G69" s="15">
        <f t="shared" si="1"/>
        <v>683.19200000000001</v>
      </c>
      <c r="H69" s="15">
        <f>IFERROR(IF(Yearending&gt;B68,'5. Historical demand'!F69-'5. Historical demand'!C69-'5. Historical demand'!D69,""),"")</f>
        <v>220</v>
      </c>
      <c r="I69" s="15">
        <f t="shared" si="2"/>
        <v>463.19200000000001</v>
      </c>
    </row>
    <row r="70" spans="2:9" x14ac:dyDescent="0.2">
      <c r="B70" s="157">
        <f t="shared" si="0"/>
        <v>45501</v>
      </c>
      <c r="C70" s="342">
        <v>600</v>
      </c>
      <c r="D70" s="342"/>
      <c r="E70" s="342">
        <v>216.30199999999999</v>
      </c>
      <c r="F70" s="342">
        <v>820</v>
      </c>
      <c r="G70" s="15">
        <f t="shared" si="1"/>
        <v>603.69799999999998</v>
      </c>
      <c r="H70" s="15">
        <f>IFERROR(IF(Yearending&gt;B69,'5. Historical demand'!F70-'5. Historical demand'!C70-'5. Historical demand'!D70,""),"")</f>
        <v>220</v>
      </c>
      <c r="I70" s="15">
        <f t="shared" si="2"/>
        <v>383.69799999999998</v>
      </c>
    </row>
    <row r="71" spans="2:9" x14ac:dyDescent="0.2">
      <c r="B71" s="157">
        <f t="shared" si="0"/>
        <v>45502</v>
      </c>
      <c r="C71" s="342">
        <v>600</v>
      </c>
      <c r="D71" s="342"/>
      <c r="E71" s="342">
        <v>222.50200000000001</v>
      </c>
      <c r="F71" s="342">
        <v>820</v>
      </c>
      <c r="G71" s="15">
        <f t="shared" si="1"/>
        <v>597.49800000000005</v>
      </c>
      <c r="H71" s="15">
        <f>IFERROR(IF(Yearending&gt;B70,'5. Historical demand'!F71-'5. Historical demand'!C71-'5. Historical demand'!D71,""),"")</f>
        <v>220</v>
      </c>
      <c r="I71" s="15">
        <f t="shared" si="2"/>
        <v>377.49799999999999</v>
      </c>
    </row>
    <row r="72" spans="2:9" x14ac:dyDescent="0.2">
      <c r="B72" s="157">
        <f t="shared" si="0"/>
        <v>45503</v>
      </c>
      <c r="C72" s="342">
        <v>600</v>
      </c>
      <c r="D72" s="342"/>
      <c r="E72" s="342">
        <v>232.00299999999999</v>
      </c>
      <c r="F72" s="342">
        <v>820</v>
      </c>
      <c r="G72" s="15">
        <f t="shared" si="1"/>
        <v>587.99700000000007</v>
      </c>
      <c r="H72" s="15">
        <f>IFERROR(IF(Yearending&gt;B71,'5. Historical demand'!F72-'5. Historical demand'!C72-'5. Historical demand'!D72,""),"")</f>
        <v>220</v>
      </c>
      <c r="I72" s="15">
        <f t="shared" si="2"/>
        <v>367.99700000000001</v>
      </c>
    </row>
    <row r="73" spans="2:9" x14ac:dyDescent="0.2">
      <c r="B73" s="157">
        <f t="shared" si="0"/>
        <v>45504</v>
      </c>
      <c r="C73" s="342">
        <v>600</v>
      </c>
      <c r="D73" s="342"/>
      <c r="E73" s="342">
        <v>252.86199999999999</v>
      </c>
      <c r="F73" s="342">
        <v>820</v>
      </c>
      <c r="G73" s="15">
        <f t="shared" si="1"/>
        <v>567.13800000000003</v>
      </c>
      <c r="H73" s="15">
        <f>IFERROR(IF(Yearending&gt;B72,'5. Historical demand'!F73-'5. Historical demand'!C73-'5. Historical demand'!D73,""),"")</f>
        <v>220</v>
      </c>
      <c r="I73" s="15">
        <f t="shared" si="2"/>
        <v>347.13800000000003</v>
      </c>
    </row>
    <row r="74" spans="2:9" x14ac:dyDescent="0.2">
      <c r="B74" s="157">
        <f t="shared" si="0"/>
        <v>45505</v>
      </c>
      <c r="C74" s="342">
        <v>600</v>
      </c>
      <c r="D74" s="342"/>
      <c r="E74" s="342">
        <v>195.93700000000001</v>
      </c>
      <c r="F74" s="342">
        <v>820</v>
      </c>
      <c r="G74" s="15">
        <f t="shared" si="1"/>
        <v>624.06299999999999</v>
      </c>
      <c r="H74" s="15">
        <f>IFERROR(IF(Yearending&gt;B73,'5. Historical demand'!F74-'5. Historical demand'!C74-'5. Historical demand'!D74,""),"")</f>
        <v>220</v>
      </c>
      <c r="I74" s="15">
        <f t="shared" si="2"/>
        <v>404.06299999999999</v>
      </c>
    </row>
    <row r="75" spans="2:9" x14ac:dyDescent="0.2">
      <c r="B75" s="157">
        <f t="shared" si="0"/>
        <v>45506</v>
      </c>
      <c r="C75" s="342">
        <v>600</v>
      </c>
      <c r="D75" s="342"/>
      <c r="E75" s="342">
        <v>174.744</v>
      </c>
      <c r="F75" s="342">
        <v>820</v>
      </c>
      <c r="G75" s="15">
        <f t="shared" si="1"/>
        <v>645.25599999999997</v>
      </c>
      <c r="H75" s="15">
        <f>IFERROR(IF(Yearending&gt;B74,'5. Historical demand'!F75-'5. Historical demand'!C75-'5. Historical demand'!D75,""),"")</f>
        <v>220</v>
      </c>
      <c r="I75" s="15">
        <f t="shared" si="2"/>
        <v>425.25599999999997</v>
      </c>
    </row>
    <row r="76" spans="2:9" x14ac:dyDescent="0.2">
      <c r="B76" s="157">
        <f t="shared" si="0"/>
        <v>45507</v>
      </c>
      <c r="C76" s="342">
        <v>600</v>
      </c>
      <c r="D76" s="342"/>
      <c r="E76" s="342">
        <v>137.44900000000001</v>
      </c>
      <c r="F76" s="342">
        <v>820</v>
      </c>
      <c r="G76" s="15">
        <f t="shared" si="1"/>
        <v>682.55099999999993</v>
      </c>
      <c r="H76" s="15">
        <f>IFERROR(IF(Yearending&gt;B75,'5. Historical demand'!F76-'5. Historical demand'!C76-'5. Historical demand'!D76,""),"")</f>
        <v>220</v>
      </c>
      <c r="I76" s="15">
        <f t="shared" si="2"/>
        <v>462.55099999999999</v>
      </c>
    </row>
    <row r="77" spans="2:9" x14ac:dyDescent="0.2">
      <c r="B77" s="157">
        <f t="shared" si="0"/>
        <v>45508</v>
      </c>
      <c r="C77" s="342">
        <v>600</v>
      </c>
      <c r="D77" s="342"/>
      <c r="E77" s="342">
        <v>146.45099999999999</v>
      </c>
      <c r="F77" s="342">
        <v>820</v>
      </c>
      <c r="G77" s="15">
        <f t="shared" si="1"/>
        <v>673.54899999999998</v>
      </c>
      <c r="H77" s="15">
        <f>IFERROR(IF(Yearending&gt;B76,'5. Historical demand'!F77-'5. Historical demand'!C77-'5. Historical demand'!D77,""),"")</f>
        <v>220</v>
      </c>
      <c r="I77" s="15">
        <f t="shared" si="2"/>
        <v>453.54899999999998</v>
      </c>
    </row>
    <row r="78" spans="2:9" x14ac:dyDescent="0.2">
      <c r="B78" s="157">
        <f t="shared" si="0"/>
        <v>45509</v>
      </c>
      <c r="C78" s="342">
        <v>600</v>
      </c>
      <c r="D78" s="342"/>
      <c r="E78" s="342">
        <v>186.45599999999999</v>
      </c>
      <c r="F78" s="342">
        <v>820</v>
      </c>
      <c r="G78" s="15">
        <f t="shared" si="1"/>
        <v>633.54399999999998</v>
      </c>
      <c r="H78" s="15">
        <f>IFERROR(IF(Yearending&gt;B77,'5. Historical demand'!F78-'5. Historical demand'!C78-'5. Historical demand'!D78,""),"")</f>
        <v>220</v>
      </c>
      <c r="I78" s="15">
        <f t="shared" si="2"/>
        <v>413.54399999999998</v>
      </c>
    </row>
    <row r="79" spans="2:9" x14ac:dyDescent="0.2">
      <c r="B79" s="157">
        <f t="shared" si="0"/>
        <v>45510</v>
      </c>
      <c r="C79" s="342">
        <v>600</v>
      </c>
      <c r="D79" s="342"/>
      <c r="E79" s="342">
        <v>169.25</v>
      </c>
      <c r="F79" s="342">
        <v>820</v>
      </c>
      <c r="G79" s="15">
        <f t="shared" si="1"/>
        <v>650.75</v>
      </c>
      <c r="H79" s="15">
        <f>IFERROR(IF(Yearending&gt;B78,'5. Historical demand'!F79-'5. Historical demand'!C79-'5. Historical demand'!D79,""),"")</f>
        <v>220</v>
      </c>
      <c r="I79" s="15">
        <f t="shared" si="2"/>
        <v>430.75</v>
      </c>
    </row>
    <row r="80" spans="2:9" x14ac:dyDescent="0.2">
      <c r="B80" s="157">
        <f t="shared" si="0"/>
        <v>45511</v>
      </c>
      <c r="C80" s="342">
        <v>600</v>
      </c>
      <c r="D80" s="342"/>
      <c r="E80" s="342">
        <v>139.65100000000001</v>
      </c>
      <c r="F80" s="342">
        <v>820</v>
      </c>
      <c r="G80" s="15">
        <f t="shared" si="1"/>
        <v>680.34899999999993</v>
      </c>
      <c r="H80" s="15">
        <f>IFERROR(IF(Yearending&gt;B79,'5. Historical demand'!F80-'5. Historical demand'!C80-'5. Historical demand'!D80,""),"")</f>
        <v>220</v>
      </c>
      <c r="I80" s="15">
        <f t="shared" si="2"/>
        <v>460.34899999999999</v>
      </c>
    </row>
    <row r="81" spans="2:9" x14ac:dyDescent="0.2">
      <c r="B81" s="157">
        <f t="shared" si="0"/>
        <v>45512</v>
      </c>
      <c r="C81" s="342">
        <v>600</v>
      </c>
      <c r="D81" s="342"/>
      <c r="E81" s="342">
        <v>74.754000000000005</v>
      </c>
      <c r="F81" s="342">
        <v>820</v>
      </c>
      <c r="G81" s="15">
        <f t="shared" si="1"/>
        <v>745.24599999999998</v>
      </c>
      <c r="H81" s="15">
        <f>IFERROR(IF(Yearending&gt;B80,'5. Historical demand'!F81-'5. Historical demand'!C81-'5. Historical demand'!D81,""),"")</f>
        <v>220</v>
      </c>
      <c r="I81" s="15">
        <f t="shared" si="2"/>
        <v>525.24599999999998</v>
      </c>
    </row>
    <row r="82" spans="2:9" x14ac:dyDescent="0.2">
      <c r="B82" s="157">
        <f t="shared" si="0"/>
        <v>45513</v>
      </c>
      <c r="C82" s="342">
        <v>600</v>
      </c>
      <c r="D82" s="342"/>
      <c r="E82" s="342">
        <v>32.151000000000003</v>
      </c>
      <c r="F82" s="342">
        <v>820</v>
      </c>
      <c r="G82" s="15">
        <f t="shared" si="1"/>
        <v>787.84900000000005</v>
      </c>
      <c r="H82" s="15">
        <f>IFERROR(IF(Yearending&gt;B81,'5. Historical demand'!F82-'5. Historical demand'!C82-'5. Historical demand'!D82,""),"")</f>
        <v>220</v>
      </c>
      <c r="I82" s="15">
        <f t="shared" si="2"/>
        <v>567.84900000000005</v>
      </c>
    </row>
    <row r="83" spans="2:9" x14ac:dyDescent="0.2">
      <c r="B83" s="157">
        <f t="shared" si="0"/>
        <v>45514</v>
      </c>
      <c r="C83" s="342">
        <v>600</v>
      </c>
      <c r="D83" s="342"/>
      <c r="E83" s="342">
        <v>78.655000000000001</v>
      </c>
      <c r="F83" s="342">
        <v>820</v>
      </c>
      <c r="G83" s="15">
        <f t="shared" si="1"/>
        <v>741.34500000000003</v>
      </c>
      <c r="H83" s="15">
        <f>IFERROR(IF(Yearending&gt;B82,'5. Historical demand'!F83-'5. Historical demand'!C83-'5. Historical demand'!D83,""),"")</f>
        <v>220</v>
      </c>
      <c r="I83" s="15">
        <f t="shared" si="2"/>
        <v>521.34500000000003</v>
      </c>
    </row>
    <row r="84" spans="2:9" x14ac:dyDescent="0.2">
      <c r="B84" s="157">
        <f t="shared" si="0"/>
        <v>45515</v>
      </c>
      <c r="C84" s="342">
        <v>600</v>
      </c>
      <c r="D84" s="342"/>
      <c r="E84" s="342">
        <v>55.155000000000001</v>
      </c>
      <c r="F84" s="342">
        <v>820</v>
      </c>
      <c r="G84" s="15">
        <f t="shared" si="1"/>
        <v>764.84500000000003</v>
      </c>
      <c r="H84" s="15">
        <f>IFERROR(IF(Yearending&gt;B83,'5. Historical demand'!F84-'5. Historical demand'!C84-'5. Historical demand'!D84,""),"")</f>
        <v>220</v>
      </c>
      <c r="I84" s="15">
        <f t="shared" si="2"/>
        <v>544.84500000000003</v>
      </c>
    </row>
    <row r="85" spans="2:9" x14ac:dyDescent="0.2">
      <c r="B85" s="157">
        <f t="shared" si="0"/>
        <v>45516</v>
      </c>
      <c r="C85" s="342">
        <v>600</v>
      </c>
      <c r="D85" s="342"/>
      <c r="E85" s="342">
        <v>0.65200000000000002</v>
      </c>
      <c r="F85" s="342">
        <v>820</v>
      </c>
      <c r="G85" s="15">
        <f t="shared" si="1"/>
        <v>819.34799999999996</v>
      </c>
      <c r="H85" s="15">
        <f>IFERROR(IF(Yearending&gt;B84,'5. Historical demand'!F85-'5. Historical demand'!C85-'5. Historical demand'!D85,""),"")</f>
        <v>220</v>
      </c>
      <c r="I85" s="15">
        <f t="shared" si="2"/>
        <v>599.34799999999996</v>
      </c>
    </row>
    <row r="86" spans="2:9" x14ac:dyDescent="0.2">
      <c r="B86" s="157">
        <f t="shared" si="0"/>
        <v>45517</v>
      </c>
      <c r="C86" s="342">
        <v>600</v>
      </c>
      <c r="D86" s="342"/>
      <c r="E86" s="342">
        <v>0.68700000000000006</v>
      </c>
      <c r="F86" s="342">
        <v>820</v>
      </c>
      <c r="G86" s="15">
        <f t="shared" si="1"/>
        <v>819.31299999999999</v>
      </c>
      <c r="H86" s="15">
        <f>IFERROR(IF(Yearending&gt;B85,'5. Historical demand'!F86-'5. Historical demand'!C86-'5. Historical demand'!D86,""),"")</f>
        <v>220</v>
      </c>
      <c r="I86" s="15">
        <f t="shared" si="2"/>
        <v>599.31299999999999</v>
      </c>
    </row>
    <row r="87" spans="2:9" x14ac:dyDescent="0.2">
      <c r="B87" s="157">
        <f t="shared" si="0"/>
        <v>45518</v>
      </c>
      <c r="C87" s="342">
        <v>600</v>
      </c>
      <c r="D87" s="342"/>
      <c r="E87" s="342">
        <v>125.611</v>
      </c>
      <c r="F87" s="342">
        <v>820</v>
      </c>
      <c r="G87" s="15">
        <f t="shared" si="1"/>
        <v>694.38900000000001</v>
      </c>
      <c r="H87" s="15">
        <f>IFERROR(IF(Yearending&gt;B86,'5. Historical demand'!F87-'5. Historical demand'!C87-'5. Historical demand'!D87,""),"")</f>
        <v>220</v>
      </c>
      <c r="I87" s="15">
        <f t="shared" si="2"/>
        <v>474.38900000000001</v>
      </c>
    </row>
    <row r="88" spans="2:9" x14ac:dyDescent="0.2">
      <c r="B88" s="157">
        <f t="shared" si="0"/>
        <v>45519</v>
      </c>
      <c r="C88" s="342">
        <v>600</v>
      </c>
      <c r="D88" s="342"/>
      <c r="E88" s="342">
        <v>95.117000000000004</v>
      </c>
      <c r="F88" s="342">
        <v>820</v>
      </c>
      <c r="G88" s="15">
        <f t="shared" si="1"/>
        <v>724.88300000000004</v>
      </c>
      <c r="H88" s="15">
        <f>IFERROR(IF(Yearending&gt;B87,'5. Historical demand'!F88-'5. Historical demand'!C88-'5. Historical demand'!D88,""),"")</f>
        <v>220</v>
      </c>
      <c r="I88" s="15">
        <f t="shared" si="2"/>
        <v>504.88299999999998</v>
      </c>
    </row>
    <row r="89" spans="2:9" x14ac:dyDescent="0.2">
      <c r="B89" s="157">
        <f t="shared" si="0"/>
        <v>45520</v>
      </c>
      <c r="C89" s="342">
        <v>600</v>
      </c>
      <c r="D89" s="342"/>
      <c r="E89" s="342">
        <v>96.156999999999996</v>
      </c>
      <c r="F89" s="342">
        <v>820</v>
      </c>
      <c r="G89" s="15">
        <f t="shared" si="1"/>
        <v>723.84299999999996</v>
      </c>
      <c r="H89" s="15">
        <f>IFERROR(IF(Yearending&gt;B88,'5. Historical demand'!F89-'5. Historical demand'!C89-'5. Historical demand'!D89,""),"")</f>
        <v>220</v>
      </c>
      <c r="I89" s="15">
        <f t="shared" si="2"/>
        <v>503.84300000000002</v>
      </c>
    </row>
    <row r="90" spans="2:9" x14ac:dyDescent="0.2">
      <c r="B90" s="157">
        <f t="shared" si="0"/>
        <v>45521</v>
      </c>
      <c r="C90" s="342">
        <v>600</v>
      </c>
      <c r="D90" s="342"/>
      <c r="E90" s="342">
        <v>69.165000000000006</v>
      </c>
      <c r="F90" s="342">
        <v>820</v>
      </c>
      <c r="G90" s="15">
        <f t="shared" si="1"/>
        <v>750.83500000000004</v>
      </c>
      <c r="H90" s="15">
        <f>IFERROR(IF(Yearending&gt;B89,'5. Historical demand'!F90-'5. Historical demand'!C90-'5. Historical demand'!D90,""),"")</f>
        <v>220</v>
      </c>
      <c r="I90" s="15">
        <f t="shared" si="2"/>
        <v>530.83500000000004</v>
      </c>
    </row>
    <row r="91" spans="2:9" x14ac:dyDescent="0.2">
      <c r="B91" s="157">
        <f t="shared" si="0"/>
        <v>45522</v>
      </c>
      <c r="C91" s="342">
        <v>600</v>
      </c>
      <c r="D91" s="342"/>
      <c r="E91" s="342">
        <v>198.911</v>
      </c>
      <c r="F91" s="342">
        <v>820</v>
      </c>
      <c r="G91" s="15">
        <f t="shared" si="1"/>
        <v>621.08899999999994</v>
      </c>
      <c r="H91" s="15">
        <f>IFERROR(IF(Yearending&gt;B90,'5. Historical demand'!F91-'5. Historical demand'!C91-'5. Historical demand'!D91,""),"")</f>
        <v>220</v>
      </c>
      <c r="I91" s="15">
        <f t="shared" si="2"/>
        <v>401.089</v>
      </c>
    </row>
    <row r="92" spans="2:9" x14ac:dyDescent="0.2">
      <c r="B92" s="157">
        <f t="shared" si="0"/>
        <v>45523</v>
      </c>
      <c r="C92" s="342">
        <v>600</v>
      </c>
      <c r="D92" s="342"/>
      <c r="E92" s="342">
        <v>209.12</v>
      </c>
      <c r="F92" s="342">
        <v>820</v>
      </c>
      <c r="G92" s="15">
        <f t="shared" si="1"/>
        <v>610.88</v>
      </c>
      <c r="H92" s="15">
        <f>IFERROR(IF(Yearending&gt;B91,'5. Historical demand'!F92-'5. Historical demand'!C92-'5. Historical demand'!D92,""),"")</f>
        <v>220</v>
      </c>
      <c r="I92" s="15">
        <f t="shared" si="2"/>
        <v>390.88</v>
      </c>
    </row>
    <row r="93" spans="2:9" x14ac:dyDescent="0.2">
      <c r="B93" s="157">
        <f t="shared" si="0"/>
        <v>45524</v>
      </c>
      <c r="C93" s="342">
        <v>600</v>
      </c>
      <c r="D93" s="342"/>
      <c r="E93" s="342">
        <v>196.66800000000001</v>
      </c>
      <c r="F93" s="342">
        <v>820</v>
      </c>
      <c r="G93" s="15">
        <f t="shared" si="1"/>
        <v>623.33199999999999</v>
      </c>
      <c r="H93" s="15">
        <f>IFERROR(IF(Yearending&gt;B92,'5. Historical demand'!F93-'5. Historical demand'!C93-'5. Historical demand'!D93,""),"")</f>
        <v>220</v>
      </c>
      <c r="I93" s="15">
        <f t="shared" si="2"/>
        <v>403.33199999999999</v>
      </c>
    </row>
    <row r="94" spans="2:9" x14ac:dyDescent="0.2">
      <c r="B94" s="157">
        <f t="shared" si="0"/>
        <v>45525</v>
      </c>
      <c r="C94" s="342">
        <v>600</v>
      </c>
      <c r="D94" s="342"/>
      <c r="E94" s="342">
        <v>36.723999999999997</v>
      </c>
      <c r="F94" s="342">
        <v>820</v>
      </c>
      <c r="G94" s="15">
        <f t="shared" si="1"/>
        <v>783.27599999999995</v>
      </c>
      <c r="H94" s="15">
        <f>IFERROR(IF(Yearending&gt;B93,'5. Historical demand'!F94-'5. Historical demand'!C94-'5. Historical demand'!D94,""),"")</f>
        <v>220</v>
      </c>
      <c r="I94" s="15">
        <f t="shared" si="2"/>
        <v>563.27599999999995</v>
      </c>
    </row>
    <row r="95" spans="2:9" x14ac:dyDescent="0.2">
      <c r="B95" s="157">
        <f t="shared" si="0"/>
        <v>45526</v>
      </c>
      <c r="C95" s="342">
        <v>600</v>
      </c>
      <c r="D95" s="342"/>
      <c r="E95" s="342">
        <v>60.652999999999999</v>
      </c>
      <c r="F95" s="342">
        <v>820</v>
      </c>
      <c r="G95" s="15">
        <f t="shared" si="1"/>
        <v>759.34699999999998</v>
      </c>
      <c r="H95" s="15">
        <f>IFERROR(IF(Yearending&gt;B94,'5. Historical demand'!F95-'5. Historical demand'!C95-'5. Historical demand'!D95,""),"")</f>
        <v>220</v>
      </c>
      <c r="I95" s="15">
        <f t="shared" si="2"/>
        <v>539.34699999999998</v>
      </c>
    </row>
    <row r="96" spans="2:9" x14ac:dyDescent="0.2">
      <c r="B96" s="157">
        <f t="shared" si="0"/>
        <v>45527</v>
      </c>
      <c r="C96" s="342">
        <v>600</v>
      </c>
      <c r="D96" s="342"/>
      <c r="E96" s="342">
        <v>47.667999999999999</v>
      </c>
      <c r="F96" s="342">
        <v>820</v>
      </c>
      <c r="G96" s="15">
        <f t="shared" si="1"/>
        <v>772.33199999999999</v>
      </c>
      <c r="H96" s="15">
        <f>IFERROR(IF(Yearending&gt;B95,'5. Historical demand'!F96-'5. Historical demand'!C96-'5. Historical demand'!D96,""),"")</f>
        <v>220</v>
      </c>
      <c r="I96" s="15">
        <f t="shared" si="2"/>
        <v>552.33199999999999</v>
      </c>
    </row>
    <row r="97" spans="2:9" x14ac:dyDescent="0.2">
      <c r="B97" s="157">
        <f t="shared" si="0"/>
        <v>45528</v>
      </c>
      <c r="C97" s="342">
        <v>600</v>
      </c>
      <c r="D97" s="342"/>
      <c r="E97" s="342">
        <v>21.463000000000001</v>
      </c>
      <c r="F97" s="342">
        <v>820</v>
      </c>
      <c r="G97" s="15">
        <f t="shared" si="1"/>
        <v>798.53700000000003</v>
      </c>
      <c r="H97" s="15">
        <f>IFERROR(IF(Yearending&gt;B96,'5. Historical demand'!F97-'5. Historical demand'!C97-'5. Historical demand'!D97,""),"")</f>
        <v>220</v>
      </c>
      <c r="I97" s="15">
        <f t="shared" si="2"/>
        <v>578.53700000000003</v>
      </c>
    </row>
    <row r="98" spans="2:9" x14ac:dyDescent="0.2">
      <c r="B98" s="157">
        <f t="shared" si="0"/>
        <v>45529</v>
      </c>
      <c r="C98" s="342">
        <v>600</v>
      </c>
      <c r="D98" s="342"/>
      <c r="E98" s="342">
        <v>44.454999999999998</v>
      </c>
      <c r="F98" s="342">
        <v>820</v>
      </c>
      <c r="G98" s="15">
        <f t="shared" si="1"/>
        <v>775.54499999999996</v>
      </c>
      <c r="H98" s="15">
        <f>IFERROR(IF(Yearending&gt;B97,'5. Historical demand'!F98-'5. Historical demand'!C98-'5. Historical demand'!D98,""),"")</f>
        <v>220</v>
      </c>
      <c r="I98" s="15">
        <f t="shared" si="2"/>
        <v>555.54499999999996</v>
      </c>
    </row>
    <row r="99" spans="2:9" x14ac:dyDescent="0.2">
      <c r="B99" s="157">
        <f t="shared" si="0"/>
        <v>45530</v>
      </c>
      <c r="C99" s="342">
        <v>600</v>
      </c>
      <c r="D99" s="342"/>
      <c r="E99" s="342">
        <v>94.119</v>
      </c>
      <c r="F99" s="342">
        <v>820</v>
      </c>
      <c r="G99" s="15">
        <f t="shared" si="1"/>
        <v>725.88099999999997</v>
      </c>
      <c r="H99" s="15">
        <f>IFERROR(IF(Yearending&gt;B98,'5. Historical demand'!F99-'5. Historical demand'!C99-'5. Historical demand'!D99,""),"")</f>
        <v>220</v>
      </c>
      <c r="I99" s="15">
        <f t="shared" si="2"/>
        <v>505.88099999999997</v>
      </c>
    </row>
    <row r="100" spans="2:9" x14ac:dyDescent="0.2">
      <c r="B100" s="157">
        <f t="shared" si="0"/>
        <v>45531</v>
      </c>
      <c r="C100" s="342">
        <v>600</v>
      </c>
      <c r="D100" s="342"/>
      <c r="E100" s="342">
        <v>78.141000000000005</v>
      </c>
      <c r="F100" s="342">
        <v>820</v>
      </c>
      <c r="G100" s="15">
        <f t="shared" si="1"/>
        <v>741.85900000000004</v>
      </c>
      <c r="H100" s="15">
        <f>IFERROR(IF(Yearending&gt;B99,'5. Historical demand'!F100-'5. Historical demand'!C100-'5. Historical demand'!D100,""),"")</f>
        <v>220</v>
      </c>
      <c r="I100" s="15">
        <f t="shared" si="2"/>
        <v>521.85900000000004</v>
      </c>
    </row>
    <row r="101" spans="2:9" x14ac:dyDescent="0.2">
      <c r="B101" s="157">
        <f t="shared" si="0"/>
        <v>45532</v>
      </c>
      <c r="C101" s="342">
        <v>600</v>
      </c>
      <c r="D101" s="342"/>
      <c r="E101" s="342">
        <v>60.173000000000002</v>
      </c>
      <c r="F101" s="342">
        <v>820</v>
      </c>
      <c r="G101" s="15">
        <f t="shared" si="1"/>
        <v>759.827</v>
      </c>
      <c r="H101" s="15">
        <f>IFERROR(IF(Yearending&gt;B100,'5. Historical demand'!F101-'5. Historical demand'!C101-'5. Historical demand'!D101,""),"")</f>
        <v>220</v>
      </c>
      <c r="I101" s="15">
        <f t="shared" si="2"/>
        <v>539.827</v>
      </c>
    </row>
    <row r="102" spans="2:9" x14ac:dyDescent="0.2">
      <c r="B102" s="157">
        <f t="shared" si="0"/>
        <v>45533</v>
      </c>
      <c r="C102" s="342">
        <v>600</v>
      </c>
      <c r="D102" s="342"/>
      <c r="E102" s="342">
        <v>68.793999999999997</v>
      </c>
      <c r="F102" s="342">
        <v>820</v>
      </c>
      <c r="G102" s="15">
        <f t="shared" si="1"/>
        <v>751.20600000000002</v>
      </c>
      <c r="H102" s="15">
        <f>IFERROR(IF(Yearending&gt;B101,'5. Historical demand'!F102-'5. Historical demand'!C102-'5. Historical demand'!D102,""),"")</f>
        <v>220</v>
      </c>
      <c r="I102" s="15">
        <f t="shared" si="2"/>
        <v>531.20600000000002</v>
      </c>
    </row>
    <row r="103" spans="2:9" x14ac:dyDescent="0.2">
      <c r="B103" s="157">
        <f t="shared" si="0"/>
        <v>45534</v>
      </c>
      <c r="C103" s="342">
        <v>600</v>
      </c>
      <c r="D103" s="342"/>
      <c r="E103" s="342">
        <v>84.7</v>
      </c>
      <c r="F103" s="342">
        <v>820</v>
      </c>
      <c r="G103" s="15">
        <f t="shared" si="1"/>
        <v>735.3</v>
      </c>
      <c r="H103" s="15">
        <f>IFERROR(IF(Yearending&gt;B102,'5. Historical demand'!F103-'5. Historical demand'!C103-'5. Historical demand'!D103,""),"")</f>
        <v>220</v>
      </c>
      <c r="I103" s="15">
        <f t="shared" si="2"/>
        <v>515.29999999999995</v>
      </c>
    </row>
    <row r="104" spans="2:9" x14ac:dyDescent="0.2">
      <c r="B104" s="157">
        <f t="shared" si="0"/>
        <v>45535</v>
      </c>
      <c r="C104" s="342">
        <v>600</v>
      </c>
      <c r="D104" s="342"/>
      <c r="E104" s="342">
        <v>145.83500000000001</v>
      </c>
      <c r="F104" s="342">
        <v>820</v>
      </c>
      <c r="G104" s="15">
        <f t="shared" si="1"/>
        <v>674.16499999999996</v>
      </c>
      <c r="H104" s="15">
        <f>IFERROR(IF(Yearending&gt;B103,'5. Historical demand'!F104-'5. Historical demand'!C104-'5. Historical demand'!D104,""),"")</f>
        <v>220</v>
      </c>
      <c r="I104" s="15">
        <f t="shared" si="2"/>
        <v>454.16499999999996</v>
      </c>
    </row>
    <row r="105" spans="2:9" x14ac:dyDescent="0.2">
      <c r="B105" s="157">
        <f t="shared" si="0"/>
        <v>45536</v>
      </c>
      <c r="C105" s="342">
        <v>600</v>
      </c>
      <c r="D105" s="342"/>
      <c r="E105" s="342">
        <v>110.093</v>
      </c>
      <c r="F105" s="342">
        <v>820</v>
      </c>
      <c r="G105" s="15">
        <f t="shared" si="1"/>
        <v>709.90700000000004</v>
      </c>
      <c r="H105" s="15">
        <f>IFERROR(IF(Yearending&gt;B104,'5. Historical demand'!F105-'5. Historical demand'!C105-'5. Historical demand'!D105,""),"")</f>
        <v>220</v>
      </c>
      <c r="I105" s="15">
        <f t="shared" si="2"/>
        <v>489.90699999999998</v>
      </c>
    </row>
    <row r="106" spans="2:9" x14ac:dyDescent="0.2">
      <c r="B106" s="157">
        <f t="shared" si="0"/>
        <v>45537</v>
      </c>
      <c r="C106" s="342">
        <v>600</v>
      </c>
      <c r="D106" s="342"/>
      <c r="E106" s="342">
        <v>38.164000000000001</v>
      </c>
      <c r="F106" s="342">
        <v>820</v>
      </c>
      <c r="G106" s="15">
        <f t="shared" si="1"/>
        <v>781.83600000000001</v>
      </c>
      <c r="H106" s="15">
        <f>IFERROR(IF(Yearending&gt;B105,'5. Historical demand'!F106-'5. Historical demand'!C106-'5. Historical demand'!D106,""),"")</f>
        <v>220</v>
      </c>
      <c r="I106" s="15">
        <f t="shared" si="2"/>
        <v>561.83600000000001</v>
      </c>
    </row>
    <row r="107" spans="2:9" x14ac:dyDescent="0.2">
      <c r="B107" s="157">
        <f t="shared" si="0"/>
        <v>45538</v>
      </c>
      <c r="C107" s="342">
        <v>600</v>
      </c>
      <c r="D107" s="342"/>
      <c r="E107" s="342">
        <v>25.783000000000001</v>
      </c>
      <c r="F107" s="342">
        <v>820</v>
      </c>
      <c r="G107" s="15">
        <f t="shared" si="1"/>
        <v>794.21699999999998</v>
      </c>
      <c r="H107" s="15">
        <f>IFERROR(IF(Yearending&gt;B106,'5. Historical demand'!F107-'5. Historical demand'!C107-'5. Historical demand'!D107,""),"")</f>
        <v>220</v>
      </c>
      <c r="I107" s="15">
        <f t="shared" si="2"/>
        <v>574.21699999999998</v>
      </c>
    </row>
    <row r="108" spans="2:9" x14ac:dyDescent="0.2">
      <c r="B108" s="157">
        <f t="shared" ref="B108:B171" si="3">IFERROR(IF(Yearending&gt;B107, B107+1, ""),"")</f>
        <v>45539</v>
      </c>
      <c r="C108" s="342">
        <v>600</v>
      </c>
      <c r="D108" s="342"/>
      <c r="E108" s="342">
        <v>95.076999999999998</v>
      </c>
      <c r="F108" s="342">
        <v>820</v>
      </c>
      <c r="G108" s="15">
        <f t="shared" ref="G108:G171" si="4">IFERROR(IF(Yearending&gt;B107,F108-E108,""),"")</f>
        <v>724.923</v>
      </c>
      <c r="H108" s="15">
        <f>IFERROR(IF(Yearending&gt;B107,'5. Historical demand'!F108-'5. Historical demand'!C108-'5. Historical demand'!D108,""),"")</f>
        <v>220</v>
      </c>
      <c r="I108" s="15">
        <f t="shared" ref="I108:I171" si="5">IFERROR(IF(Yearending&gt;B107,C108+D108-E108,""),"")</f>
        <v>504.923</v>
      </c>
    </row>
    <row r="109" spans="2:9" x14ac:dyDescent="0.2">
      <c r="B109" s="157">
        <f t="shared" si="3"/>
        <v>45540</v>
      </c>
      <c r="C109" s="342">
        <v>600</v>
      </c>
      <c r="D109" s="342"/>
      <c r="E109" s="342">
        <v>87.247</v>
      </c>
      <c r="F109" s="342">
        <v>820</v>
      </c>
      <c r="G109" s="15">
        <f t="shared" si="4"/>
        <v>732.75300000000004</v>
      </c>
      <c r="H109" s="15">
        <f>IFERROR(IF(Yearending&gt;B108,'5. Historical demand'!F109-'5. Historical demand'!C109-'5. Historical demand'!D109,""),"")</f>
        <v>220</v>
      </c>
      <c r="I109" s="15">
        <f t="shared" si="5"/>
        <v>512.75300000000004</v>
      </c>
    </row>
    <row r="110" spans="2:9" x14ac:dyDescent="0.2">
      <c r="B110" s="157">
        <f t="shared" si="3"/>
        <v>45541</v>
      </c>
      <c r="C110" s="342">
        <v>600</v>
      </c>
      <c r="D110" s="342"/>
      <c r="E110" s="342">
        <v>59.067999999999998</v>
      </c>
      <c r="F110" s="342">
        <v>820</v>
      </c>
      <c r="G110" s="15">
        <f t="shared" si="4"/>
        <v>760.93200000000002</v>
      </c>
      <c r="H110" s="15">
        <f>IFERROR(IF(Yearending&gt;B109,'5. Historical demand'!F110-'5. Historical demand'!C110-'5. Historical demand'!D110,""),"")</f>
        <v>220</v>
      </c>
      <c r="I110" s="15">
        <f t="shared" si="5"/>
        <v>540.93200000000002</v>
      </c>
    </row>
    <row r="111" spans="2:9" x14ac:dyDescent="0.2">
      <c r="B111" s="157">
        <f t="shared" si="3"/>
        <v>45542</v>
      </c>
      <c r="C111" s="342">
        <v>600</v>
      </c>
      <c r="D111" s="342"/>
      <c r="E111" s="342">
        <v>60.072000000000003</v>
      </c>
      <c r="F111" s="342">
        <v>820</v>
      </c>
      <c r="G111" s="15">
        <f t="shared" si="4"/>
        <v>759.928</v>
      </c>
      <c r="H111" s="15">
        <f>IFERROR(IF(Yearending&gt;B110,'5. Historical demand'!F111-'5. Historical demand'!C111-'5. Historical demand'!D111,""),"")</f>
        <v>220</v>
      </c>
      <c r="I111" s="15">
        <f t="shared" si="5"/>
        <v>539.928</v>
      </c>
    </row>
    <row r="112" spans="2:9" x14ac:dyDescent="0.2">
      <c r="B112" s="157">
        <f t="shared" si="3"/>
        <v>45543</v>
      </c>
      <c r="C112" s="342">
        <v>600</v>
      </c>
      <c r="D112" s="342"/>
      <c r="E112" s="342">
        <v>25.073</v>
      </c>
      <c r="F112" s="342">
        <v>820</v>
      </c>
      <c r="G112" s="15">
        <f t="shared" si="4"/>
        <v>794.92700000000002</v>
      </c>
      <c r="H112" s="15">
        <f>IFERROR(IF(Yearending&gt;B111,'5. Historical demand'!F112-'5. Historical demand'!C112-'5. Historical demand'!D112,""),"")</f>
        <v>220</v>
      </c>
      <c r="I112" s="15">
        <f t="shared" si="5"/>
        <v>574.92700000000002</v>
      </c>
    </row>
    <row r="113" spans="2:9" x14ac:dyDescent="0.2">
      <c r="B113" s="157">
        <f t="shared" si="3"/>
        <v>45544</v>
      </c>
      <c r="C113" s="342">
        <v>600</v>
      </c>
      <c r="D113" s="342"/>
      <c r="E113" s="342">
        <v>30.077000000000002</v>
      </c>
      <c r="F113" s="342">
        <v>820</v>
      </c>
      <c r="G113" s="15">
        <f t="shared" si="4"/>
        <v>789.923</v>
      </c>
      <c r="H113" s="15">
        <f>IFERROR(IF(Yearending&gt;B112,'5. Historical demand'!F113-'5. Historical demand'!C113-'5. Historical demand'!D113,""),"")</f>
        <v>220</v>
      </c>
      <c r="I113" s="15">
        <f t="shared" si="5"/>
        <v>569.923</v>
      </c>
    </row>
    <row r="114" spans="2:9" x14ac:dyDescent="0.2">
      <c r="B114" s="157">
        <f t="shared" si="3"/>
        <v>45545</v>
      </c>
      <c r="C114" s="342">
        <v>600</v>
      </c>
      <c r="D114" s="342"/>
      <c r="E114" s="342">
        <v>111.074</v>
      </c>
      <c r="F114" s="342">
        <v>820</v>
      </c>
      <c r="G114" s="15">
        <f t="shared" si="4"/>
        <v>708.92600000000004</v>
      </c>
      <c r="H114" s="15">
        <f>IFERROR(IF(Yearending&gt;B113,'5. Historical demand'!F114-'5. Historical demand'!C114-'5. Historical demand'!D114,""),"")</f>
        <v>220</v>
      </c>
      <c r="I114" s="15">
        <f t="shared" si="5"/>
        <v>488.92599999999999</v>
      </c>
    </row>
    <row r="115" spans="2:9" x14ac:dyDescent="0.2">
      <c r="B115" s="157">
        <f t="shared" si="3"/>
        <v>45546</v>
      </c>
      <c r="C115" s="342">
        <v>600</v>
      </c>
      <c r="D115" s="342"/>
      <c r="E115" s="342">
        <v>128.08000000000001</v>
      </c>
      <c r="F115" s="342">
        <v>820</v>
      </c>
      <c r="G115" s="15">
        <f t="shared" si="4"/>
        <v>691.92</v>
      </c>
      <c r="H115" s="15">
        <f>IFERROR(IF(Yearending&gt;B114,'5. Historical demand'!F115-'5. Historical demand'!C115-'5. Historical demand'!D115,""),"")</f>
        <v>220</v>
      </c>
      <c r="I115" s="15">
        <f t="shared" si="5"/>
        <v>471.91999999999996</v>
      </c>
    </row>
    <row r="116" spans="2:9" x14ac:dyDescent="0.2">
      <c r="B116" s="157">
        <f t="shared" si="3"/>
        <v>45547</v>
      </c>
      <c r="C116" s="342">
        <v>600</v>
      </c>
      <c r="D116" s="342"/>
      <c r="E116" s="342">
        <v>121.072</v>
      </c>
      <c r="F116" s="342">
        <v>820</v>
      </c>
      <c r="G116" s="15">
        <f t="shared" si="4"/>
        <v>698.928</v>
      </c>
      <c r="H116" s="15">
        <f>IFERROR(IF(Yearending&gt;B115,'5. Historical demand'!F116-'5. Historical demand'!C116-'5. Historical demand'!D116,""),"")</f>
        <v>220</v>
      </c>
      <c r="I116" s="15">
        <f t="shared" si="5"/>
        <v>478.928</v>
      </c>
    </row>
    <row r="117" spans="2:9" x14ac:dyDescent="0.2">
      <c r="B117" s="157">
        <f t="shared" si="3"/>
        <v>45548</v>
      </c>
      <c r="C117" s="342">
        <v>600</v>
      </c>
      <c r="D117" s="342"/>
      <c r="E117" s="342">
        <v>114.068</v>
      </c>
      <c r="F117" s="342">
        <v>820</v>
      </c>
      <c r="G117" s="15">
        <f t="shared" si="4"/>
        <v>705.93200000000002</v>
      </c>
      <c r="H117" s="15">
        <f>IFERROR(IF(Yearending&gt;B116,'5. Historical demand'!F117-'5. Historical demand'!C117-'5. Historical demand'!D117,""),"")</f>
        <v>220</v>
      </c>
      <c r="I117" s="15">
        <f t="shared" si="5"/>
        <v>485.93200000000002</v>
      </c>
    </row>
    <row r="118" spans="2:9" x14ac:dyDescent="0.2">
      <c r="B118" s="157">
        <f t="shared" si="3"/>
        <v>45549</v>
      </c>
      <c r="C118" s="342">
        <v>600</v>
      </c>
      <c r="D118" s="342"/>
      <c r="E118" s="342">
        <v>111.065</v>
      </c>
      <c r="F118" s="342">
        <v>820</v>
      </c>
      <c r="G118" s="15">
        <f t="shared" si="4"/>
        <v>708.93499999999995</v>
      </c>
      <c r="H118" s="15">
        <f>IFERROR(IF(Yearending&gt;B117,'5. Historical demand'!F118-'5. Historical demand'!C118-'5. Historical demand'!D118,""),"")</f>
        <v>220</v>
      </c>
      <c r="I118" s="15">
        <f t="shared" si="5"/>
        <v>488.935</v>
      </c>
    </row>
    <row r="119" spans="2:9" x14ac:dyDescent="0.2">
      <c r="B119" s="157">
        <f t="shared" si="3"/>
        <v>45550</v>
      </c>
      <c r="C119" s="342">
        <v>600</v>
      </c>
      <c r="D119" s="342"/>
      <c r="E119" s="342">
        <v>111.059</v>
      </c>
      <c r="F119" s="342">
        <v>820</v>
      </c>
      <c r="G119" s="15">
        <f t="shared" si="4"/>
        <v>708.94100000000003</v>
      </c>
      <c r="H119" s="15">
        <f>IFERROR(IF(Yearending&gt;B118,'5. Historical demand'!F119-'5. Historical demand'!C119-'5. Historical demand'!D119,""),"")</f>
        <v>220</v>
      </c>
      <c r="I119" s="15">
        <f t="shared" si="5"/>
        <v>488.94100000000003</v>
      </c>
    </row>
    <row r="120" spans="2:9" x14ac:dyDescent="0.2">
      <c r="B120" s="157">
        <f t="shared" si="3"/>
        <v>45551</v>
      </c>
      <c r="C120" s="342">
        <v>600</v>
      </c>
      <c r="D120" s="342"/>
      <c r="E120" s="342">
        <v>95.001999999999995</v>
      </c>
      <c r="F120" s="342">
        <v>820</v>
      </c>
      <c r="G120" s="15">
        <f t="shared" si="4"/>
        <v>724.99800000000005</v>
      </c>
      <c r="H120" s="15">
        <f>IFERROR(IF(Yearending&gt;B119,'5. Historical demand'!F120-'5. Historical demand'!C120-'5. Historical demand'!D120,""),"")</f>
        <v>220</v>
      </c>
      <c r="I120" s="15">
        <f t="shared" si="5"/>
        <v>504.99799999999999</v>
      </c>
    </row>
    <row r="121" spans="2:9" x14ac:dyDescent="0.2">
      <c r="B121" s="157">
        <f t="shared" si="3"/>
        <v>45552</v>
      </c>
      <c r="C121" s="342">
        <v>600</v>
      </c>
      <c r="D121" s="342"/>
      <c r="E121" s="342">
        <v>100.001</v>
      </c>
      <c r="F121" s="342">
        <v>820</v>
      </c>
      <c r="G121" s="15">
        <f t="shared" si="4"/>
        <v>719.99900000000002</v>
      </c>
      <c r="H121" s="15">
        <f>IFERROR(IF(Yearending&gt;B120,'5. Historical demand'!F121-'5. Historical demand'!C121-'5. Historical demand'!D121,""),"")</f>
        <v>220</v>
      </c>
      <c r="I121" s="15">
        <f t="shared" si="5"/>
        <v>499.99900000000002</v>
      </c>
    </row>
    <row r="122" spans="2:9" x14ac:dyDescent="0.2">
      <c r="B122" s="157">
        <f t="shared" si="3"/>
        <v>45553</v>
      </c>
      <c r="C122" s="342">
        <v>600</v>
      </c>
      <c r="D122" s="342"/>
      <c r="E122" s="342">
        <v>100.001</v>
      </c>
      <c r="F122" s="342">
        <v>820</v>
      </c>
      <c r="G122" s="15">
        <f t="shared" si="4"/>
        <v>719.99900000000002</v>
      </c>
      <c r="H122" s="15">
        <f>IFERROR(IF(Yearending&gt;B121,'5. Historical demand'!F122-'5. Historical demand'!C122-'5. Historical demand'!D122,""),"")</f>
        <v>220</v>
      </c>
      <c r="I122" s="15">
        <f t="shared" si="5"/>
        <v>499.99900000000002</v>
      </c>
    </row>
    <row r="123" spans="2:9" x14ac:dyDescent="0.2">
      <c r="B123" s="157">
        <f t="shared" si="3"/>
        <v>45554</v>
      </c>
      <c r="C123" s="342">
        <v>600</v>
      </c>
      <c r="D123" s="342"/>
      <c r="E123" s="342">
        <v>109.071</v>
      </c>
      <c r="F123" s="342">
        <v>820</v>
      </c>
      <c r="G123" s="15">
        <f t="shared" si="4"/>
        <v>710.92899999999997</v>
      </c>
      <c r="H123" s="15">
        <f>IFERROR(IF(Yearending&gt;B122,'5. Historical demand'!F123-'5. Historical demand'!C123-'5. Historical demand'!D123,""),"")</f>
        <v>220</v>
      </c>
      <c r="I123" s="15">
        <f t="shared" si="5"/>
        <v>490.92899999999997</v>
      </c>
    </row>
    <row r="124" spans="2:9" x14ac:dyDescent="0.2">
      <c r="B124" s="157">
        <f t="shared" si="3"/>
        <v>45555</v>
      </c>
      <c r="C124" s="342">
        <v>600</v>
      </c>
      <c r="D124" s="342"/>
      <c r="E124" s="342">
        <v>107.791</v>
      </c>
      <c r="F124" s="342">
        <v>820</v>
      </c>
      <c r="G124" s="15">
        <f t="shared" si="4"/>
        <v>712.20900000000006</v>
      </c>
      <c r="H124" s="15">
        <f>IFERROR(IF(Yearending&gt;B123,'5. Historical demand'!F124-'5. Historical demand'!C124-'5. Historical demand'!D124,""),"")</f>
        <v>220</v>
      </c>
      <c r="I124" s="15">
        <f t="shared" si="5"/>
        <v>492.209</v>
      </c>
    </row>
    <row r="125" spans="2:9" x14ac:dyDescent="0.2">
      <c r="B125" s="157">
        <f t="shared" si="3"/>
        <v>45556</v>
      </c>
      <c r="C125" s="342">
        <v>600</v>
      </c>
      <c r="D125" s="342"/>
      <c r="E125" s="342">
        <v>106.786</v>
      </c>
      <c r="F125" s="342">
        <v>820</v>
      </c>
      <c r="G125" s="15">
        <f t="shared" si="4"/>
        <v>713.21399999999994</v>
      </c>
      <c r="H125" s="15">
        <f>IFERROR(IF(Yearending&gt;B124,'5. Historical demand'!F125-'5. Historical demand'!C125-'5. Historical demand'!D125,""),"")</f>
        <v>220</v>
      </c>
      <c r="I125" s="15">
        <f t="shared" si="5"/>
        <v>493.214</v>
      </c>
    </row>
    <row r="126" spans="2:9" x14ac:dyDescent="0.2">
      <c r="B126" s="157">
        <f t="shared" si="3"/>
        <v>45557</v>
      </c>
      <c r="C126" s="342">
        <v>600</v>
      </c>
      <c r="D126" s="342"/>
      <c r="E126" s="342">
        <v>106.77500000000001</v>
      </c>
      <c r="F126" s="342">
        <v>820</v>
      </c>
      <c r="G126" s="15">
        <f t="shared" si="4"/>
        <v>713.22500000000002</v>
      </c>
      <c r="H126" s="15">
        <f>IFERROR(IF(Yearending&gt;B125,'5. Historical demand'!F126-'5. Historical demand'!C126-'5. Historical demand'!D126,""),"")</f>
        <v>220</v>
      </c>
      <c r="I126" s="15">
        <f t="shared" si="5"/>
        <v>493.22500000000002</v>
      </c>
    </row>
    <row r="127" spans="2:9" x14ac:dyDescent="0.2">
      <c r="B127" s="157">
        <f t="shared" si="3"/>
        <v>45558</v>
      </c>
      <c r="C127" s="342">
        <v>600</v>
      </c>
      <c r="D127" s="342"/>
      <c r="E127" s="342">
        <v>46.774000000000001</v>
      </c>
      <c r="F127" s="342">
        <v>820</v>
      </c>
      <c r="G127" s="15">
        <f t="shared" si="4"/>
        <v>773.226</v>
      </c>
      <c r="H127" s="15">
        <f>IFERROR(IF(Yearending&gt;B126,'5. Historical demand'!F127-'5. Historical demand'!C127-'5. Historical demand'!D127,""),"")</f>
        <v>220</v>
      </c>
      <c r="I127" s="15">
        <f t="shared" si="5"/>
        <v>553.226</v>
      </c>
    </row>
    <row r="128" spans="2:9" x14ac:dyDescent="0.2">
      <c r="B128" s="157">
        <f t="shared" si="3"/>
        <v>45559</v>
      </c>
      <c r="C128" s="342">
        <v>600</v>
      </c>
      <c r="D128" s="342"/>
      <c r="E128" s="342">
        <v>52.765000000000001</v>
      </c>
      <c r="F128" s="342">
        <v>820</v>
      </c>
      <c r="G128" s="15">
        <f t="shared" si="4"/>
        <v>767.23500000000001</v>
      </c>
      <c r="H128" s="15">
        <f>IFERROR(IF(Yearending&gt;B127,'5. Historical demand'!F128-'5. Historical demand'!C128-'5. Historical demand'!D128,""),"")</f>
        <v>220</v>
      </c>
      <c r="I128" s="15">
        <f t="shared" si="5"/>
        <v>547.23500000000001</v>
      </c>
    </row>
    <row r="129" spans="2:9" x14ac:dyDescent="0.2">
      <c r="B129" s="157">
        <f t="shared" si="3"/>
        <v>45560</v>
      </c>
      <c r="C129" s="342">
        <v>600</v>
      </c>
      <c r="D129" s="342"/>
      <c r="E129" s="342">
        <v>42.759</v>
      </c>
      <c r="F129" s="342">
        <v>820</v>
      </c>
      <c r="G129" s="15">
        <f t="shared" si="4"/>
        <v>777.24099999999999</v>
      </c>
      <c r="H129" s="15">
        <f>IFERROR(IF(Yearending&gt;B128,'5. Historical demand'!F129-'5. Historical demand'!C129-'5. Historical demand'!D129,""),"")</f>
        <v>220</v>
      </c>
      <c r="I129" s="15">
        <f t="shared" si="5"/>
        <v>557.24099999999999</v>
      </c>
    </row>
    <row r="130" spans="2:9" x14ac:dyDescent="0.2">
      <c r="B130" s="157">
        <f t="shared" si="3"/>
        <v>45561</v>
      </c>
      <c r="C130" s="342">
        <v>600</v>
      </c>
      <c r="D130" s="342"/>
      <c r="E130" s="342">
        <v>37.752000000000002</v>
      </c>
      <c r="F130" s="342">
        <v>820</v>
      </c>
      <c r="G130" s="15">
        <f t="shared" si="4"/>
        <v>782.24800000000005</v>
      </c>
      <c r="H130" s="15">
        <f>IFERROR(IF(Yearending&gt;B129,'5. Historical demand'!F130-'5. Historical demand'!C130-'5. Historical demand'!D130,""),"")</f>
        <v>220</v>
      </c>
      <c r="I130" s="15">
        <f t="shared" si="5"/>
        <v>562.24800000000005</v>
      </c>
    </row>
    <row r="131" spans="2:9" x14ac:dyDescent="0.2">
      <c r="B131" s="157">
        <f t="shared" si="3"/>
        <v>45562</v>
      </c>
      <c r="C131" s="342">
        <v>600</v>
      </c>
      <c r="D131" s="342"/>
      <c r="E131" s="342">
        <v>27.745999999999999</v>
      </c>
      <c r="F131" s="342">
        <v>820</v>
      </c>
      <c r="G131" s="15">
        <f t="shared" si="4"/>
        <v>792.25400000000002</v>
      </c>
      <c r="H131" s="15">
        <f>IFERROR(IF(Yearending&gt;B130,'5. Historical demand'!F131-'5. Historical demand'!C131-'5. Historical demand'!D131,""),"")</f>
        <v>220</v>
      </c>
      <c r="I131" s="15">
        <f t="shared" si="5"/>
        <v>572.25400000000002</v>
      </c>
    </row>
    <row r="132" spans="2:9" x14ac:dyDescent="0.2">
      <c r="B132" s="157">
        <f t="shared" si="3"/>
        <v>45563</v>
      </c>
      <c r="C132" s="342">
        <v>600</v>
      </c>
      <c r="D132" s="342"/>
      <c r="E132" s="342">
        <v>42.738999999999997</v>
      </c>
      <c r="F132" s="342">
        <v>820</v>
      </c>
      <c r="G132" s="15">
        <f t="shared" si="4"/>
        <v>777.26099999999997</v>
      </c>
      <c r="H132" s="15">
        <f>IFERROR(IF(Yearending&gt;B131,'5. Historical demand'!F132-'5. Historical demand'!C132-'5. Historical demand'!D132,""),"")</f>
        <v>220</v>
      </c>
      <c r="I132" s="15">
        <f t="shared" si="5"/>
        <v>557.26099999999997</v>
      </c>
    </row>
    <row r="133" spans="2:9" x14ac:dyDescent="0.2">
      <c r="B133" s="157">
        <f t="shared" si="3"/>
        <v>45564</v>
      </c>
      <c r="C133" s="342">
        <v>600</v>
      </c>
      <c r="D133" s="342"/>
      <c r="E133" s="342">
        <v>21.681000000000001</v>
      </c>
      <c r="F133" s="342">
        <v>820</v>
      </c>
      <c r="G133" s="15">
        <f t="shared" si="4"/>
        <v>798.31899999999996</v>
      </c>
      <c r="H133" s="15">
        <f>IFERROR(IF(Yearending&gt;B132,'5. Historical demand'!F133-'5. Historical demand'!C133-'5. Historical demand'!D133,""),"")</f>
        <v>220</v>
      </c>
      <c r="I133" s="15">
        <f t="shared" si="5"/>
        <v>578.31899999999996</v>
      </c>
    </row>
    <row r="134" spans="2:9" x14ac:dyDescent="0.2">
      <c r="B134" s="157">
        <f t="shared" si="3"/>
        <v>45565</v>
      </c>
      <c r="C134" s="342">
        <v>600</v>
      </c>
      <c r="D134" s="342"/>
      <c r="E134" s="342">
        <v>27.728999999999999</v>
      </c>
      <c r="F134" s="342">
        <v>820</v>
      </c>
      <c r="G134" s="15">
        <f t="shared" si="4"/>
        <v>792.27099999999996</v>
      </c>
      <c r="H134" s="15">
        <f>IFERROR(IF(Yearending&gt;B133,'5. Historical demand'!F134-'5. Historical demand'!C134-'5. Historical demand'!D134,""),"")</f>
        <v>220</v>
      </c>
      <c r="I134" s="15">
        <f t="shared" si="5"/>
        <v>572.27099999999996</v>
      </c>
    </row>
    <row r="135" spans="2:9" x14ac:dyDescent="0.2">
      <c r="B135" s="157">
        <f t="shared" si="3"/>
        <v>45566</v>
      </c>
      <c r="C135" s="342">
        <v>600</v>
      </c>
      <c r="D135" s="342"/>
      <c r="E135" s="342">
        <v>67.602999999999994</v>
      </c>
      <c r="F135" s="342">
        <v>820</v>
      </c>
      <c r="G135" s="15">
        <f t="shared" si="4"/>
        <v>752.39700000000005</v>
      </c>
      <c r="H135" s="15">
        <f>IFERROR(IF(Yearending&gt;B134,'5. Historical demand'!F135-'5. Historical demand'!C135-'5. Historical demand'!D135,""),"")</f>
        <v>220</v>
      </c>
      <c r="I135" s="15">
        <f t="shared" si="5"/>
        <v>532.39700000000005</v>
      </c>
    </row>
    <row r="136" spans="2:9" x14ac:dyDescent="0.2">
      <c r="B136" s="157">
        <f t="shared" si="3"/>
        <v>45567</v>
      </c>
      <c r="C136" s="342">
        <v>600</v>
      </c>
      <c r="D136" s="342"/>
      <c r="E136" s="342">
        <v>78.596999999999994</v>
      </c>
      <c r="F136" s="342">
        <v>820</v>
      </c>
      <c r="G136" s="15">
        <f t="shared" si="4"/>
        <v>741.40300000000002</v>
      </c>
      <c r="H136" s="15">
        <f>IFERROR(IF(Yearending&gt;B135,'5. Historical demand'!F136-'5. Historical demand'!C136-'5. Historical demand'!D136,""),"")</f>
        <v>220</v>
      </c>
      <c r="I136" s="15">
        <f t="shared" si="5"/>
        <v>521.40300000000002</v>
      </c>
    </row>
    <row r="137" spans="2:9" x14ac:dyDescent="0.2">
      <c r="B137" s="157">
        <f t="shared" si="3"/>
        <v>45568</v>
      </c>
      <c r="C137" s="342">
        <v>600</v>
      </c>
      <c r="D137" s="342"/>
      <c r="E137" s="342">
        <v>71.087999999999994</v>
      </c>
      <c r="F137" s="342">
        <v>820</v>
      </c>
      <c r="G137" s="15">
        <f t="shared" si="4"/>
        <v>748.91200000000003</v>
      </c>
      <c r="H137" s="15">
        <f>IFERROR(IF(Yearending&gt;B136,'5. Historical demand'!F137-'5. Historical demand'!C137-'5. Historical demand'!D137,""),"")</f>
        <v>220</v>
      </c>
      <c r="I137" s="15">
        <f t="shared" si="5"/>
        <v>528.91200000000003</v>
      </c>
    </row>
    <row r="138" spans="2:9" x14ac:dyDescent="0.2">
      <c r="B138" s="157">
        <f t="shared" si="3"/>
        <v>45569</v>
      </c>
      <c r="C138" s="342">
        <v>600</v>
      </c>
      <c r="D138" s="342"/>
      <c r="E138" s="342">
        <v>77.590999999999994</v>
      </c>
      <c r="F138" s="342">
        <v>820</v>
      </c>
      <c r="G138" s="15">
        <f t="shared" si="4"/>
        <v>742.40899999999999</v>
      </c>
      <c r="H138" s="15">
        <f>IFERROR(IF(Yearending&gt;B137,'5. Historical demand'!F138-'5. Historical demand'!C138-'5. Historical demand'!D138,""),"")</f>
        <v>220</v>
      </c>
      <c r="I138" s="15">
        <f t="shared" si="5"/>
        <v>522.40899999999999</v>
      </c>
    </row>
    <row r="139" spans="2:9" x14ac:dyDescent="0.2">
      <c r="B139" s="157">
        <f t="shared" si="3"/>
        <v>45570</v>
      </c>
      <c r="C139" s="342">
        <v>600</v>
      </c>
      <c r="D139" s="342"/>
      <c r="E139" s="342">
        <v>77.484999999999999</v>
      </c>
      <c r="F139" s="342">
        <v>820</v>
      </c>
      <c r="G139" s="15">
        <f t="shared" si="4"/>
        <v>742.51499999999999</v>
      </c>
      <c r="H139" s="15">
        <f>IFERROR(IF(Yearending&gt;B138,'5. Historical demand'!F139-'5. Historical demand'!C139-'5. Historical demand'!D139,""),"")</f>
        <v>220</v>
      </c>
      <c r="I139" s="15">
        <f t="shared" si="5"/>
        <v>522.51499999999999</v>
      </c>
    </row>
    <row r="140" spans="2:9" x14ac:dyDescent="0.2">
      <c r="B140" s="157">
        <f t="shared" si="3"/>
        <v>45571</v>
      </c>
      <c r="C140" s="342">
        <v>600</v>
      </c>
      <c r="D140" s="342"/>
      <c r="E140" s="342">
        <v>76.576999999999998</v>
      </c>
      <c r="F140" s="342">
        <v>820</v>
      </c>
      <c r="G140" s="15">
        <f t="shared" si="4"/>
        <v>743.423</v>
      </c>
      <c r="H140" s="15">
        <f>IFERROR(IF(Yearending&gt;B139,'5. Historical demand'!F140-'5. Historical demand'!C140-'5. Historical demand'!D140,""),"")</f>
        <v>220</v>
      </c>
      <c r="I140" s="15">
        <f t="shared" si="5"/>
        <v>523.423</v>
      </c>
    </row>
    <row r="141" spans="2:9" x14ac:dyDescent="0.2">
      <c r="B141" s="157">
        <f t="shared" si="3"/>
        <v>45572</v>
      </c>
      <c r="C141" s="342">
        <v>600</v>
      </c>
      <c r="D141" s="342"/>
      <c r="E141" s="342">
        <v>76.58</v>
      </c>
      <c r="F141" s="342">
        <v>820</v>
      </c>
      <c r="G141" s="15">
        <f t="shared" si="4"/>
        <v>743.42</v>
      </c>
      <c r="H141" s="15">
        <f>IFERROR(IF(Yearending&gt;B140,'5. Historical demand'!F141-'5. Historical demand'!C141-'5. Historical demand'!D141,""),"")</f>
        <v>220</v>
      </c>
      <c r="I141" s="15">
        <f t="shared" si="5"/>
        <v>523.41999999999996</v>
      </c>
    </row>
    <row r="142" spans="2:9" x14ac:dyDescent="0.2">
      <c r="B142" s="157">
        <f t="shared" si="3"/>
        <v>45573</v>
      </c>
      <c r="C142" s="342">
        <v>600</v>
      </c>
      <c r="D142" s="342"/>
      <c r="E142" s="342">
        <v>86.581999999999994</v>
      </c>
      <c r="F142" s="342">
        <v>820</v>
      </c>
      <c r="G142" s="15">
        <f t="shared" si="4"/>
        <v>733.41800000000001</v>
      </c>
      <c r="H142" s="15">
        <f>IFERROR(IF(Yearending&gt;B141,'5. Historical demand'!F142-'5. Historical demand'!C142-'5. Historical demand'!D142,""),"")</f>
        <v>220</v>
      </c>
      <c r="I142" s="15">
        <f t="shared" si="5"/>
        <v>513.41800000000001</v>
      </c>
    </row>
    <row r="143" spans="2:9" x14ac:dyDescent="0.2">
      <c r="B143" s="157">
        <f t="shared" si="3"/>
        <v>45574</v>
      </c>
      <c r="C143" s="342">
        <v>600</v>
      </c>
      <c r="D143" s="342"/>
      <c r="E143" s="342">
        <v>87.081000000000003</v>
      </c>
      <c r="F143" s="342">
        <v>820</v>
      </c>
      <c r="G143" s="15">
        <f t="shared" si="4"/>
        <v>732.91899999999998</v>
      </c>
      <c r="H143" s="15">
        <f>IFERROR(IF(Yearending&gt;B142,'5. Historical demand'!F143-'5. Historical demand'!C143-'5. Historical demand'!D143,""),"")</f>
        <v>220</v>
      </c>
      <c r="I143" s="15">
        <f t="shared" si="5"/>
        <v>512.91899999999998</v>
      </c>
    </row>
    <row r="144" spans="2:9" x14ac:dyDescent="0.2">
      <c r="B144" s="157">
        <f t="shared" si="3"/>
        <v>45575</v>
      </c>
      <c r="C144" s="342">
        <v>600</v>
      </c>
      <c r="D144" s="342"/>
      <c r="E144" s="342">
        <v>0.107</v>
      </c>
      <c r="F144" s="342">
        <v>820</v>
      </c>
      <c r="G144" s="15">
        <f t="shared" si="4"/>
        <v>819.89300000000003</v>
      </c>
      <c r="H144" s="15">
        <f>IFERROR(IF(Yearending&gt;B143,'5. Historical demand'!F144-'5. Historical demand'!C144-'5. Historical demand'!D144,""),"")</f>
        <v>220</v>
      </c>
      <c r="I144" s="15">
        <f t="shared" si="5"/>
        <v>599.89300000000003</v>
      </c>
    </row>
    <row r="145" spans="2:9" x14ac:dyDescent="0.2">
      <c r="B145" s="157">
        <f t="shared" si="3"/>
        <v>45576</v>
      </c>
      <c r="C145" s="342">
        <v>600</v>
      </c>
      <c r="D145" s="342"/>
      <c r="E145" s="342">
        <v>0</v>
      </c>
      <c r="F145" s="342">
        <v>820</v>
      </c>
      <c r="G145" s="15">
        <f t="shared" si="4"/>
        <v>820</v>
      </c>
      <c r="H145" s="15">
        <f>IFERROR(IF(Yearending&gt;B144,'5. Historical demand'!F145-'5. Historical demand'!C145-'5. Historical demand'!D145,""),"")</f>
        <v>220</v>
      </c>
      <c r="I145" s="15">
        <f t="shared" si="5"/>
        <v>600</v>
      </c>
    </row>
    <row r="146" spans="2:9" x14ac:dyDescent="0.2">
      <c r="B146" s="157">
        <f t="shared" si="3"/>
        <v>45577</v>
      </c>
      <c r="C146" s="342">
        <v>600</v>
      </c>
      <c r="D146" s="342"/>
      <c r="E146" s="342">
        <v>0</v>
      </c>
      <c r="F146" s="342">
        <v>820</v>
      </c>
      <c r="G146" s="15">
        <f t="shared" si="4"/>
        <v>820</v>
      </c>
      <c r="H146" s="15">
        <f>IFERROR(IF(Yearending&gt;B145,'5. Historical demand'!F146-'5. Historical demand'!C146-'5. Historical demand'!D146,""),"")</f>
        <v>220</v>
      </c>
      <c r="I146" s="15">
        <f t="shared" si="5"/>
        <v>600</v>
      </c>
    </row>
    <row r="147" spans="2:9" x14ac:dyDescent="0.2">
      <c r="B147" s="157">
        <f t="shared" si="3"/>
        <v>45578</v>
      </c>
      <c r="C147" s="342">
        <v>600</v>
      </c>
      <c r="D147" s="342"/>
      <c r="E147" s="342">
        <v>5.0000000000000001E-3</v>
      </c>
      <c r="F147" s="342">
        <v>820</v>
      </c>
      <c r="G147" s="15">
        <f t="shared" si="4"/>
        <v>819.995</v>
      </c>
      <c r="H147" s="15">
        <f>IFERROR(IF(Yearending&gt;B146,'5. Historical demand'!F147-'5. Historical demand'!C147-'5. Historical demand'!D147,""),"")</f>
        <v>220</v>
      </c>
      <c r="I147" s="15">
        <f t="shared" si="5"/>
        <v>599.995</v>
      </c>
    </row>
    <row r="148" spans="2:9" x14ac:dyDescent="0.2">
      <c r="B148" s="157">
        <f t="shared" si="3"/>
        <v>45579</v>
      </c>
      <c r="C148" s="342">
        <v>600</v>
      </c>
      <c r="D148" s="342"/>
      <c r="E148" s="342">
        <v>0</v>
      </c>
      <c r="F148" s="342">
        <v>820</v>
      </c>
      <c r="G148" s="15">
        <f t="shared" si="4"/>
        <v>820</v>
      </c>
      <c r="H148" s="15">
        <f>IFERROR(IF(Yearending&gt;B147,'5. Historical demand'!F148-'5. Historical demand'!C148-'5. Historical demand'!D148,""),"")</f>
        <v>220</v>
      </c>
      <c r="I148" s="15">
        <f t="shared" si="5"/>
        <v>600</v>
      </c>
    </row>
    <row r="149" spans="2:9" x14ac:dyDescent="0.2">
      <c r="B149" s="157">
        <f t="shared" si="3"/>
        <v>45580</v>
      </c>
      <c r="C149" s="342">
        <v>600</v>
      </c>
      <c r="D149" s="342"/>
      <c r="E149" s="342">
        <v>0</v>
      </c>
      <c r="F149" s="342">
        <v>820</v>
      </c>
      <c r="G149" s="15">
        <f t="shared" si="4"/>
        <v>820</v>
      </c>
      <c r="H149" s="15">
        <f>IFERROR(IF(Yearending&gt;B148,'5. Historical demand'!F149-'5. Historical demand'!C149-'5. Historical demand'!D149,""),"")</f>
        <v>220</v>
      </c>
      <c r="I149" s="15">
        <f t="shared" si="5"/>
        <v>600</v>
      </c>
    </row>
    <row r="150" spans="2:9" x14ac:dyDescent="0.2">
      <c r="B150" s="157">
        <f t="shared" si="3"/>
        <v>45581</v>
      </c>
      <c r="C150" s="342">
        <v>600</v>
      </c>
      <c r="D150" s="342"/>
      <c r="E150" s="342">
        <v>99.59</v>
      </c>
      <c r="F150" s="342">
        <v>820</v>
      </c>
      <c r="G150" s="15">
        <f t="shared" si="4"/>
        <v>720.41</v>
      </c>
      <c r="H150" s="15">
        <f>IFERROR(IF(Yearending&gt;B149,'5. Historical demand'!F150-'5. Historical demand'!C150-'5. Historical demand'!D150,""),"")</f>
        <v>220</v>
      </c>
      <c r="I150" s="15">
        <f t="shared" si="5"/>
        <v>500.40999999999997</v>
      </c>
    </row>
    <row r="151" spans="2:9" x14ac:dyDescent="0.2">
      <c r="B151" s="157">
        <f t="shared" si="3"/>
        <v>45582</v>
      </c>
      <c r="C151" s="342">
        <v>600</v>
      </c>
      <c r="D151" s="342"/>
      <c r="E151" s="342">
        <v>82.831999999999994</v>
      </c>
      <c r="F151" s="342">
        <v>820</v>
      </c>
      <c r="G151" s="15">
        <f t="shared" si="4"/>
        <v>737.16800000000001</v>
      </c>
      <c r="H151" s="15">
        <f>IFERROR(IF(Yearending&gt;B150,'5. Historical demand'!F151-'5. Historical demand'!C151-'5. Historical demand'!D151,""),"")</f>
        <v>220</v>
      </c>
      <c r="I151" s="15">
        <f t="shared" si="5"/>
        <v>517.16800000000001</v>
      </c>
    </row>
    <row r="152" spans="2:9" x14ac:dyDescent="0.2">
      <c r="B152" s="157">
        <f t="shared" si="3"/>
        <v>45583</v>
      </c>
      <c r="C152" s="342">
        <v>600</v>
      </c>
      <c r="D152" s="342"/>
      <c r="E152" s="342">
        <v>89.436000000000007</v>
      </c>
      <c r="F152" s="342">
        <v>820</v>
      </c>
      <c r="G152" s="15">
        <f t="shared" si="4"/>
        <v>730.56399999999996</v>
      </c>
      <c r="H152" s="15">
        <f>IFERROR(IF(Yearending&gt;B151,'5. Historical demand'!F152-'5. Historical demand'!C152-'5. Historical demand'!D152,""),"")</f>
        <v>220</v>
      </c>
      <c r="I152" s="15">
        <f t="shared" si="5"/>
        <v>510.56399999999996</v>
      </c>
    </row>
    <row r="153" spans="2:9" x14ac:dyDescent="0.2">
      <c r="B153" s="157">
        <f t="shared" si="3"/>
        <v>45584</v>
      </c>
      <c r="C153" s="342">
        <v>600</v>
      </c>
      <c r="D153" s="342"/>
      <c r="E153" s="342">
        <v>61.570999999999998</v>
      </c>
      <c r="F153" s="342">
        <v>820</v>
      </c>
      <c r="G153" s="15">
        <f t="shared" si="4"/>
        <v>758.42899999999997</v>
      </c>
      <c r="H153" s="15">
        <f>IFERROR(IF(Yearending&gt;B152,'5. Historical demand'!F153-'5. Historical demand'!C153-'5. Historical demand'!D153,""),"")</f>
        <v>220</v>
      </c>
      <c r="I153" s="15">
        <f t="shared" si="5"/>
        <v>538.42899999999997</v>
      </c>
    </row>
    <row r="154" spans="2:9" x14ac:dyDescent="0.2">
      <c r="B154" s="157">
        <f t="shared" si="3"/>
        <v>45585</v>
      </c>
      <c r="C154" s="342">
        <v>600</v>
      </c>
      <c r="D154" s="342"/>
      <c r="E154" s="342">
        <v>66.602000000000004</v>
      </c>
      <c r="F154" s="342">
        <v>820</v>
      </c>
      <c r="G154" s="15">
        <f t="shared" si="4"/>
        <v>753.39800000000002</v>
      </c>
      <c r="H154" s="15">
        <f>IFERROR(IF(Yearending&gt;B153,'5. Historical demand'!F154-'5. Historical demand'!C154-'5. Historical demand'!D154,""),"")</f>
        <v>220</v>
      </c>
      <c r="I154" s="15">
        <f t="shared" si="5"/>
        <v>533.39800000000002</v>
      </c>
    </row>
    <row r="155" spans="2:9" x14ac:dyDescent="0.2">
      <c r="B155" s="157">
        <f t="shared" si="3"/>
        <v>45586</v>
      </c>
      <c r="C155" s="342">
        <v>600</v>
      </c>
      <c r="D155" s="342"/>
      <c r="E155" s="342">
        <v>61.552999999999997</v>
      </c>
      <c r="F155" s="342">
        <v>820</v>
      </c>
      <c r="G155" s="15">
        <f t="shared" si="4"/>
        <v>758.447</v>
      </c>
      <c r="H155" s="15">
        <f>IFERROR(IF(Yearending&gt;B154,'5. Historical demand'!F155-'5. Historical demand'!C155-'5. Historical demand'!D155,""),"")</f>
        <v>220</v>
      </c>
      <c r="I155" s="15">
        <f t="shared" si="5"/>
        <v>538.447</v>
      </c>
    </row>
    <row r="156" spans="2:9" x14ac:dyDescent="0.2">
      <c r="B156" s="157">
        <f t="shared" si="3"/>
        <v>45587</v>
      </c>
      <c r="C156" s="342">
        <v>600</v>
      </c>
      <c r="D156" s="342"/>
      <c r="E156" s="342">
        <v>11.547000000000001</v>
      </c>
      <c r="F156" s="342">
        <v>820</v>
      </c>
      <c r="G156" s="15">
        <f t="shared" si="4"/>
        <v>808.45299999999997</v>
      </c>
      <c r="H156" s="15">
        <f>IFERROR(IF(Yearending&gt;B155,'5. Historical demand'!F156-'5. Historical demand'!C156-'5. Historical demand'!D156,""),"")</f>
        <v>220</v>
      </c>
      <c r="I156" s="15">
        <f t="shared" si="5"/>
        <v>588.45299999999997</v>
      </c>
    </row>
    <row r="157" spans="2:9" x14ac:dyDescent="0.2">
      <c r="B157" s="157">
        <f t="shared" si="3"/>
        <v>45588</v>
      </c>
      <c r="C157" s="342">
        <v>600</v>
      </c>
      <c r="D157" s="342"/>
      <c r="E157" s="342">
        <v>9.7729999999999997</v>
      </c>
      <c r="F157" s="342">
        <v>820</v>
      </c>
      <c r="G157" s="15">
        <f t="shared" si="4"/>
        <v>810.22699999999998</v>
      </c>
      <c r="H157" s="15">
        <f>IFERROR(IF(Yearending&gt;B156,'5. Historical demand'!F157-'5. Historical demand'!C157-'5. Historical demand'!D157,""),"")</f>
        <v>220</v>
      </c>
      <c r="I157" s="15">
        <f t="shared" si="5"/>
        <v>590.22699999999998</v>
      </c>
    </row>
    <row r="158" spans="2:9" x14ac:dyDescent="0.2">
      <c r="B158" s="157">
        <f t="shared" si="3"/>
        <v>45589</v>
      </c>
      <c r="C158" s="342">
        <v>600</v>
      </c>
      <c r="D158" s="342"/>
      <c r="E158" s="342">
        <v>58.527999999999999</v>
      </c>
      <c r="F158" s="342">
        <v>820</v>
      </c>
      <c r="G158" s="15">
        <f t="shared" si="4"/>
        <v>761.47199999999998</v>
      </c>
      <c r="H158" s="15">
        <f>IFERROR(IF(Yearending&gt;B157,'5. Historical demand'!F158-'5. Historical demand'!C158-'5. Historical demand'!D158,""),"")</f>
        <v>220</v>
      </c>
      <c r="I158" s="15">
        <f t="shared" si="5"/>
        <v>541.47199999999998</v>
      </c>
    </row>
    <row r="159" spans="2:9" x14ac:dyDescent="0.2">
      <c r="B159" s="157">
        <f t="shared" si="3"/>
        <v>45590</v>
      </c>
      <c r="C159" s="342">
        <v>600</v>
      </c>
      <c r="D159" s="342"/>
      <c r="E159" s="342">
        <v>51.526000000000003</v>
      </c>
      <c r="F159" s="342">
        <v>820</v>
      </c>
      <c r="G159" s="15">
        <f t="shared" si="4"/>
        <v>768.47400000000005</v>
      </c>
      <c r="H159" s="15">
        <f>IFERROR(IF(Yearending&gt;B158,'5. Historical demand'!F159-'5. Historical demand'!C159-'5. Historical demand'!D159,""),"")</f>
        <v>220</v>
      </c>
      <c r="I159" s="15">
        <f t="shared" si="5"/>
        <v>548.47400000000005</v>
      </c>
    </row>
    <row r="160" spans="2:9" x14ac:dyDescent="0.2">
      <c r="B160" s="157">
        <f t="shared" si="3"/>
        <v>45591</v>
      </c>
      <c r="C160" s="342">
        <v>600</v>
      </c>
      <c r="D160" s="342"/>
      <c r="E160" s="342">
        <v>126.31699999999999</v>
      </c>
      <c r="F160" s="342">
        <v>820</v>
      </c>
      <c r="G160" s="15">
        <f t="shared" si="4"/>
        <v>693.68299999999999</v>
      </c>
      <c r="H160" s="15">
        <f>IFERROR(IF(Yearending&gt;B159,'5. Historical demand'!F160-'5. Historical demand'!C160-'5. Historical demand'!D160,""),"")</f>
        <v>220</v>
      </c>
      <c r="I160" s="15">
        <f t="shared" si="5"/>
        <v>473.68299999999999</v>
      </c>
    </row>
    <row r="161" spans="2:9" x14ac:dyDescent="0.2">
      <c r="B161" s="157">
        <f t="shared" si="3"/>
        <v>45592</v>
      </c>
      <c r="C161" s="342">
        <v>600</v>
      </c>
      <c r="D161" s="342"/>
      <c r="E161" s="342">
        <v>126.31</v>
      </c>
      <c r="F161" s="342">
        <v>820</v>
      </c>
      <c r="G161" s="15">
        <f t="shared" si="4"/>
        <v>693.69</v>
      </c>
      <c r="H161" s="15">
        <f>IFERROR(IF(Yearending&gt;B160,'5. Historical demand'!F161-'5. Historical demand'!C161-'5. Historical demand'!D161,""),"")</f>
        <v>220</v>
      </c>
      <c r="I161" s="15">
        <f t="shared" si="5"/>
        <v>473.69</v>
      </c>
    </row>
    <row r="162" spans="2:9" x14ac:dyDescent="0.2">
      <c r="B162" s="157">
        <f t="shared" si="3"/>
        <v>45593</v>
      </c>
      <c r="C162" s="342">
        <v>600</v>
      </c>
      <c r="D162" s="342"/>
      <c r="E162" s="342">
        <v>151.298</v>
      </c>
      <c r="F162" s="342">
        <v>820</v>
      </c>
      <c r="G162" s="15">
        <f t="shared" si="4"/>
        <v>668.702</v>
      </c>
      <c r="H162" s="15">
        <f>IFERROR(IF(Yearending&gt;B161,'5. Historical demand'!F162-'5. Historical demand'!C162-'5. Historical demand'!D162,""),"")</f>
        <v>220</v>
      </c>
      <c r="I162" s="15">
        <f t="shared" si="5"/>
        <v>448.702</v>
      </c>
    </row>
    <row r="163" spans="2:9" x14ac:dyDescent="0.2">
      <c r="B163" s="157">
        <f t="shared" si="3"/>
        <v>45594</v>
      </c>
      <c r="C163" s="342">
        <v>600</v>
      </c>
      <c r="D163" s="342"/>
      <c r="E163" s="342">
        <v>150.495</v>
      </c>
      <c r="F163" s="342">
        <v>820</v>
      </c>
      <c r="G163" s="15">
        <f t="shared" si="4"/>
        <v>669.505</v>
      </c>
      <c r="H163" s="15">
        <f>IFERROR(IF(Yearending&gt;B162,'5. Historical demand'!F163-'5. Historical demand'!C163-'5. Historical demand'!D163,""),"")</f>
        <v>220</v>
      </c>
      <c r="I163" s="15">
        <f t="shared" si="5"/>
        <v>449.505</v>
      </c>
    </row>
    <row r="164" spans="2:9" x14ac:dyDescent="0.2">
      <c r="B164" s="157">
        <f t="shared" si="3"/>
        <v>45595</v>
      </c>
      <c r="C164" s="342">
        <v>600</v>
      </c>
      <c r="D164" s="342"/>
      <c r="E164" s="342">
        <v>144.291</v>
      </c>
      <c r="F164" s="342">
        <v>820</v>
      </c>
      <c r="G164" s="15">
        <f t="shared" si="4"/>
        <v>675.70900000000006</v>
      </c>
      <c r="H164" s="15">
        <f>IFERROR(IF(Yearending&gt;B163,'5. Historical demand'!F164-'5. Historical demand'!C164-'5. Historical demand'!D164,""),"")</f>
        <v>220</v>
      </c>
      <c r="I164" s="15">
        <f t="shared" si="5"/>
        <v>455.709</v>
      </c>
    </row>
    <row r="165" spans="2:9" x14ac:dyDescent="0.2">
      <c r="B165" s="157">
        <f t="shared" si="3"/>
        <v>45596</v>
      </c>
      <c r="C165" s="342">
        <v>600</v>
      </c>
      <c r="D165" s="342"/>
      <c r="E165" s="342">
        <v>149.68100000000001</v>
      </c>
      <c r="F165" s="342">
        <v>820</v>
      </c>
      <c r="G165" s="15">
        <f t="shared" si="4"/>
        <v>670.31899999999996</v>
      </c>
      <c r="H165" s="15">
        <f>IFERROR(IF(Yearending&gt;B164,'5. Historical demand'!F165-'5. Historical demand'!C165-'5. Historical demand'!D165,""),"")</f>
        <v>220</v>
      </c>
      <c r="I165" s="15">
        <f t="shared" si="5"/>
        <v>450.31899999999996</v>
      </c>
    </row>
    <row r="166" spans="2:9" x14ac:dyDescent="0.2">
      <c r="B166" s="157">
        <f t="shared" si="3"/>
        <v>45597</v>
      </c>
      <c r="C166" s="342">
        <v>600</v>
      </c>
      <c r="D166" s="342"/>
      <c r="E166" s="342">
        <v>127.297</v>
      </c>
      <c r="F166" s="342">
        <v>820</v>
      </c>
      <c r="G166" s="15">
        <f t="shared" si="4"/>
        <v>692.70299999999997</v>
      </c>
      <c r="H166" s="15">
        <f>IFERROR(IF(Yearending&gt;B165,'5. Historical demand'!F166-'5. Historical demand'!C166-'5. Historical demand'!D166,""),"")</f>
        <v>220</v>
      </c>
      <c r="I166" s="15">
        <f t="shared" si="5"/>
        <v>472.70299999999997</v>
      </c>
    </row>
    <row r="167" spans="2:9" x14ac:dyDescent="0.2">
      <c r="B167" s="157">
        <f t="shared" si="3"/>
        <v>45598</v>
      </c>
      <c r="C167" s="342">
        <v>600</v>
      </c>
      <c r="D167" s="342"/>
      <c r="E167" s="342">
        <v>122.407</v>
      </c>
      <c r="F167" s="342">
        <v>820</v>
      </c>
      <c r="G167" s="15">
        <f t="shared" si="4"/>
        <v>697.59299999999996</v>
      </c>
      <c r="H167" s="15">
        <f>IFERROR(IF(Yearending&gt;B166,'5. Historical demand'!F167-'5. Historical demand'!C167-'5. Historical demand'!D167,""),"")</f>
        <v>220</v>
      </c>
      <c r="I167" s="15">
        <f t="shared" si="5"/>
        <v>477.59300000000002</v>
      </c>
    </row>
    <row r="168" spans="2:9" x14ac:dyDescent="0.2">
      <c r="B168" s="157">
        <f t="shared" si="3"/>
        <v>45599</v>
      </c>
      <c r="C168" s="342">
        <v>600</v>
      </c>
      <c r="D168" s="342"/>
      <c r="E168" s="342">
        <v>116.41200000000001</v>
      </c>
      <c r="F168" s="342">
        <v>820</v>
      </c>
      <c r="G168" s="15">
        <f t="shared" si="4"/>
        <v>703.58799999999997</v>
      </c>
      <c r="H168" s="15">
        <f>IFERROR(IF(Yearending&gt;B167,'5. Historical demand'!F168-'5. Historical demand'!C168-'5. Historical demand'!D168,""),"")</f>
        <v>220</v>
      </c>
      <c r="I168" s="15">
        <f t="shared" si="5"/>
        <v>483.58799999999997</v>
      </c>
    </row>
    <row r="169" spans="2:9" x14ac:dyDescent="0.2">
      <c r="B169" s="157">
        <f t="shared" si="3"/>
        <v>45600</v>
      </c>
      <c r="C169" s="342">
        <v>600</v>
      </c>
      <c r="D169" s="342"/>
      <c r="E169" s="342">
        <v>119.318</v>
      </c>
      <c r="F169" s="342">
        <v>820</v>
      </c>
      <c r="G169" s="15">
        <f t="shared" si="4"/>
        <v>700.68200000000002</v>
      </c>
      <c r="H169" s="15">
        <f>IFERROR(IF(Yearending&gt;B168,'5. Historical demand'!F169-'5. Historical demand'!C169-'5. Historical demand'!D169,""),"")</f>
        <v>220</v>
      </c>
      <c r="I169" s="15">
        <f t="shared" si="5"/>
        <v>480.68200000000002</v>
      </c>
    </row>
    <row r="170" spans="2:9" x14ac:dyDescent="0.2">
      <c r="B170" s="157">
        <f t="shared" si="3"/>
        <v>45601</v>
      </c>
      <c r="C170" s="342">
        <v>600</v>
      </c>
      <c r="D170" s="342"/>
      <c r="E170" s="342">
        <v>101.425</v>
      </c>
      <c r="F170" s="342">
        <v>820</v>
      </c>
      <c r="G170" s="15">
        <f t="shared" si="4"/>
        <v>718.57500000000005</v>
      </c>
      <c r="H170" s="15">
        <f>IFERROR(IF(Yearending&gt;B169,'5. Historical demand'!F170-'5. Historical demand'!C170-'5. Historical demand'!D170,""),"")</f>
        <v>220</v>
      </c>
      <c r="I170" s="15">
        <f t="shared" si="5"/>
        <v>498.57499999999999</v>
      </c>
    </row>
    <row r="171" spans="2:9" x14ac:dyDescent="0.2">
      <c r="B171" s="157">
        <f t="shared" si="3"/>
        <v>45602</v>
      </c>
      <c r="C171" s="342">
        <v>600</v>
      </c>
      <c r="D171" s="342"/>
      <c r="E171" s="342">
        <v>104.429</v>
      </c>
      <c r="F171" s="342">
        <v>820</v>
      </c>
      <c r="G171" s="15">
        <f t="shared" si="4"/>
        <v>715.57100000000003</v>
      </c>
      <c r="H171" s="15">
        <f>IFERROR(IF(Yearending&gt;B170,'5. Historical demand'!F171-'5. Historical demand'!C171-'5. Historical demand'!D171,""),"")</f>
        <v>220</v>
      </c>
      <c r="I171" s="15">
        <f t="shared" si="5"/>
        <v>495.57100000000003</v>
      </c>
    </row>
    <row r="172" spans="2:9" x14ac:dyDescent="0.2">
      <c r="B172" s="157">
        <f t="shared" ref="B172:B235" si="6">IFERROR(IF(Yearending&gt;B171, B171+1, ""),"")</f>
        <v>45603</v>
      </c>
      <c r="C172" s="342">
        <v>600</v>
      </c>
      <c r="D172" s="342"/>
      <c r="E172" s="342">
        <v>105.432</v>
      </c>
      <c r="F172" s="342">
        <v>820</v>
      </c>
      <c r="G172" s="15">
        <f t="shared" ref="G172:G235" si="7">IFERROR(IF(Yearending&gt;B171,F172-E172,""),"")</f>
        <v>714.56799999999998</v>
      </c>
      <c r="H172" s="15">
        <f>IFERROR(IF(Yearending&gt;B171,'5. Historical demand'!F172-'5. Historical demand'!C172-'5. Historical demand'!D172,""),"")</f>
        <v>220</v>
      </c>
      <c r="I172" s="15">
        <f t="shared" ref="I172:I235" si="8">IFERROR(IF(Yearending&gt;B171,C172+D172-E172,""),"")</f>
        <v>494.56799999999998</v>
      </c>
    </row>
    <row r="173" spans="2:9" x14ac:dyDescent="0.2">
      <c r="B173" s="157">
        <f t="shared" si="6"/>
        <v>45604</v>
      </c>
      <c r="C173" s="342">
        <v>600</v>
      </c>
      <c r="D173" s="342"/>
      <c r="E173" s="342">
        <v>112.43899999999999</v>
      </c>
      <c r="F173" s="342">
        <v>820</v>
      </c>
      <c r="G173" s="15">
        <f t="shared" si="7"/>
        <v>707.56100000000004</v>
      </c>
      <c r="H173" s="15">
        <f>IFERROR(IF(Yearending&gt;B172,'5. Historical demand'!F173-'5. Historical demand'!C173-'5. Historical demand'!D173,""),"")</f>
        <v>220</v>
      </c>
      <c r="I173" s="15">
        <f t="shared" si="8"/>
        <v>487.56100000000004</v>
      </c>
    </row>
    <row r="174" spans="2:9" x14ac:dyDescent="0.2">
      <c r="B174" s="157">
        <f t="shared" si="6"/>
        <v>45605</v>
      </c>
      <c r="C174" s="342">
        <v>600</v>
      </c>
      <c r="D174" s="342"/>
      <c r="E174" s="342">
        <v>110.444</v>
      </c>
      <c r="F174" s="342">
        <v>820</v>
      </c>
      <c r="G174" s="15">
        <f t="shared" si="7"/>
        <v>709.55600000000004</v>
      </c>
      <c r="H174" s="15">
        <f>IFERROR(IF(Yearending&gt;B173,'5. Historical demand'!F174-'5. Historical demand'!C174-'5. Historical demand'!D174,""),"")</f>
        <v>220</v>
      </c>
      <c r="I174" s="15">
        <f t="shared" si="8"/>
        <v>489.55599999999998</v>
      </c>
    </row>
    <row r="175" spans="2:9" x14ac:dyDescent="0.2">
      <c r="B175" s="157">
        <f t="shared" si="6"/>
        <v>45606</v>
      </c>
      <c r="C175" s="342">
        <v>600</v>
      </c>
      <c r="D175" s="342"/>
      <c r="E175" s="342">
        <v>111.44799999999999</v>
      </c>
      <c r="F175" s="342">
        <v>820</v>
      </c>
      <c r="G175" s="15">
        <f t="shared" si="7"/>
        <v>708.55200000000002</v>
      </c>
      <c r="H175" s="15">
        <f>IFERROR(IF(Yearending&gt;B174,'5. Historical demand'!F175-'5. Historical demand'!C175-'5. Historical demand'!D175,""),"")</f>
        <v>220</v>
      </c>
      <c r="I175" s="15">
        <f t="shared" si="8"/>
        <v>488.55200000000002</v>
      </c>
    </row>
    <row r="176" spans="2:9" x14ac:dyDescent="0.2">
      <c r="B176" s="157">
        <f t="shared" si="6"/>
        <v>45607</v>
      </c>
      <c r="C176" s="342">
        <v>600</v>
      </c>
      <c r="D176" s="342"/>
      <c r="E176" s="342">
        <v>61.456000000000003</v>
      </c>
      <c r="F176" s="342">
        <v>820</v>
      </c>
      <c r="G176" s="15">
        <f t="shared" si="7"/>
        <v>758.54399999999998</v>
      </c>
      <c r="H176" s="15">
        <f>IFERROR(IF(Yearending&gt;B175,'5. Historical demand'!F176-'5. Historical demand'!C176-'5. Historical demand'!D176,""),"")</f>
        <v>220</v>
      </c>
      <c r="I176" s="15">
        <f t="shared" si="8"/>
        <v>538.54399999999998</v>
      </c>
    </row>
    <row r="177" spans="2:9" x14ac:dyDescent="0.2">
      <c r="B177" s="157">
        <f t="shared" si="6"/>
        <v>45608</v>
      </c>
      <c r="C177" s="342">
        <v>600</v>
      </c>
      <c r="D177" s="342"/>
      <c r="E177" s="342">
        <v>81.460999999999999</v>
      </c>
      <c r="F177" s="342">
        <v>820</v>
      </c>
      <c r="G177" s="15">
        <f t="shared" si="7"/>
        <v>738.53899999999999</v>
      </c>
      <c r="H177" s="15">
        <f>IFERROR(IF(Yearending&gt;B176,'5. Historical demand'!F177-'5. Historical demand'!C177-'5. Historical demand'!D177,""),"")</f>
        <v>220</v>
      </c>
      <c r="I177" s="15">
        <f t="shared" si="8"/>
        <v>518.53899999999999</v>
      </c>
    </row>
    <row r="178" spans="2:9" x14ac:dyDescent="0.2">
      <c r="B178" s="157">
        <f t="shared" si="6"/>
        <v>45609</v>
      </c>
      <c r="C178" s="342">
        <v>600</v>
      </c>
      <c r="D178" s="342"/>
      <c r="E178" s="342">
        <v>124.46599999999999</v>
      </c>
      <c r="F178" s="342">
        <v>820</v>
      </c>
      <c r="G178" s="15">
        <f t="shared" si="7"/>
        <v>695.53399999999999</v>
      </c>
      <c r="H178" s="15">
        <f>IFERROR(IF(Yearending&gt;B177,'5. Historical demand'!F178-'5. Historical demand'!C178-'5. Historical demand'!D178,""),"")</f>
        <v>220</v>
      </c>
      <c r="I178" s="15">
        <f t="shared" si="8"/>
        <v>475.53399999999999</v>
      </c>
    </row>
    <row r="179" spans="2:9" x14ac:dyDescent="0.2">
      <c r="B179" s="157">
        <f t="shared" si="6"/>
        <v>45610</v>
      </c>
      <c r="C179" s="342">
        <v>600</v>
      </c>
      <c r="D179" s="342"/>
      <c r="E179" s="342">
        <v>97.037999999999997</v>
      </c>
      <c r="F179" s="342">
        <v>820</v>
      </c>
      <c r="G179" s="15">
        <f t="shared" si="7"/>
        <v>722.96199999999999</v>
      </c>
      <c r="H179" s="15">
        <f>IFERROR(IF(Yearending&gt;B178,'5. Historical demand'!F179-'5. Historical demand'!C179-'5. Historical demand'!D179,""),"")</f>
        <v>220</v>
      </c>
      <c r="I179" s="15">
        <f t="shared" si="8"/>
        <v>502.96199999999999</v>
      </c>
    </row>
    <row r="180" spans="2:9" x14ac:dyDescent="0.2">
      <c r="B180" s="157">
        <f t="shared" si="6"/>
        <v>45611</v>
      </c>
      <c r="C180" s="342">
        <v>600</v>
      </c>
      <c r="D180" s="342"/>
      <c r="E180" s="342">
        <v>114.27200000000001</v>
      </c>
      <c r="F180" s="342">
        <v>820</v>
      </c>
      <c r="G180" s="15">
        <f t="shared" si="7"/>
        <v>705.72799999999995</v>
      </c>
      <c r="H180" s="15">
        <f>IFERROR(IF(Yearending&gt;B179,'5. Historical demand'!F180-'5. Historical demand'!C180-'5. Historical demand'!D180,""),"")</f>
        <v>220</v>
      </c>
      <c r="I180" s="15">
        <f t="shared" si="8"/>
        <v>485.72800000000001</v>
      </c>
    </row>
    <row r="181" spans="2:9" x14ac:dyDescent="0.2">
      <c r="B181" s="157">
        <f t="shared" si="6"/>
        <v>45612</v>
      </c>
      <c r="C181" s="342">
        <v>600</v>
      </c>
      <c r="D181" s="342"/>
      <c r="E181" s="342">
        <v>90.06</v>
      </c>
      <c r="F181" s="342">
        <v>820</v>
      </c>
      <c r="G181" s="15">
        <f t="shared" si="7"/>
        <v>729.94</v>
      </c>
      <c r="H181" s="15">
        <f>IFERROR(IF(Yearending&gt;B180,'5. Historical demand'!F181-'5. Historical demand'!C181-'5. Historical demand'!D181,""),"")</f>
        <v>220</v>
      </c>
      <c r="I181" s="15">
        <f t="shared" si="8"/>
        <v>509.94</v>
      </c>
    </row>
    <row r="182" spans="2:9" x14ac:dyDescent="0.2">
      <c r="B182" s="157">
        <f t="shared" si="6"/>
        <v>45613</v>
      </c>
      <c r="C182" s="342">
        <v>600</v>
      </c>
      <c r="D182" s="342"/>
      <c r="E182" s="342">
        <v>90.417000000000002</v>
      </c>
      <c r="F182" s="342">
        <v>820</v>
      </c>
      <c r="G182" s="15">
        <f t="shared" si="7"/>
        <v>729.58299999999997</v>
      </c>
      <c r="H182" s="15">
        <f>IFERROR(IF(Yearending&gt;B181,'5. Historical demand'!F182-'5. Historical demand'!C182-'5. Historical demand'!D182,""),"")</f>
        <v>220</v>
      </c>
      <c r="I182" s="15">
        <f t="shared" si="8"/>
        <v>509.58299999999997</v>
      </c>
    </row>
    <row r="183" spans="2:9" x14ac:dyDescent="0.2">
      <c r="B183" s="157">
        <f t="shared" si="6"/>
        <v>45614</v>
      </c>
      <c r="C183" s="342">
        <v>600</v>
      </c>
      <c r="D183" s="342"/>
      <c r="E183" s="342">
        <v>111.042</v>
      </c>
      <c r="F183" s="342">
        <v>820</v>
      </c>
      <c r="G183" s="15">
        <f t="shared" si="7"/>
        <v>708.95799999999997</v>
      </c>
      <c r="H183" s="15">
        <f>IFERROR(IF(Yearending&gt;B182,'5. Historical demand'!F183-'5. Historical demand'!C183-'5. Historical demand'!D183,""),"")</f>
        <v>220</v>
      </c>
      <c r="I183" s="15">
        <f t="shared" si="8"/>
        <v>488.95799999999997</v>
      </c>
    </row>
    <row r="184" spans="2:9" x14ac:dyDescent="0.2">
      <c r="B184" s="157">
        <f t="shared" si="6"/>
        <v>45615</v>
      </c>
      <c r="C184" s="342">
        <v>600</v>
      </c>
      <c r="D184" s="342"/>
      <c r="E184" s="342">
        <v>104.968</v>
      </c>
      <c r="F184" s="342">
        <v>820</v>
      </c>
      <c r="G184" s="15">
        <f t="shared" si="7"/>
        <v>715.03200000000004</v>
      </c>
      <c r="H184" s="15">
        <f>IFERROR(IF(Yearending&gt;B183,'5. Historical demand'!F184-'5. Historical demand'!C184-'5. Historical demand'!D184,""),"")</f>
        <v>220</v>
      </c>
      <c r="I184" s="15">
        <f t="shared" si="8"/>
        <v>495.03199999999998</v>
      </c>
    </row>
    <row r="185" spans="2:9" x14ac:dyDescent="0.2">
      <c r="B185" s="157">
        <f t="shared" si="6"/>
        <v>45616</v>
      </c>
      <c r="C185" s="342">
        <v>600</v>
      </c>
      <c r="D185" s="342"/>
      <c r="E185" s="342">
        <v>98.363</v>
      </c>
      <c r="F185" s="342">
        <v>820</v>
      </c>
      <c r="G185" s="15">
        <f t="shared" si="7"/>
        <v>721.63699999999994</v>
      </c>
      <c r="H185" s="15">
        <f>IFERROR(IF(Yearending&gt;B184,'5. Historical demand'!F185-'5. Historical demand'!C185-'5. Historical demand'!D185,""),"")</f>
        <v>220</v>
      </c>
      <c r="I185" s="15">
        <f t="shared" si="8"/>
        <v>501.637</v>
      </c>
    </row>
    <row r="186" spans="2:9" x14ac:dyDescent="0.2">
      <c r="B186" s="157">
        <f t="shared" si="6"/>
        <v>45617</v>
      </c>
      <c r="C186" s="342">
        <v>600</v>
      </c>
      <c r="D186" s="342"/>
      <c r="E186" s="342">
        <v>104.651</v>
      </c>
      <c r="F186" s="342">
        <v>820</v>
      </c>
      <c r="G186" s="15">
        <f t="shared" si="7"/>
        <v>715.34900000000005</v>
      </c>
      <c r="H186" s="15">
        <f>IFERROR(IF(Yearending&gt;B185,'5. Historical demand'!F186-'5. Historical demand'!C186-'5. Historical demand'!D186,""),"")</f>
        <v>220</v>
      </c>
      <c r="I186" s="15">
        <f t="shared" si="8"/>
        <v>495.34899999999999</v>
      </c>
    </row>
    <row r="187" spans="2:9" x14ac:dyDescent="0.2">
      <c r="B187" s="157">
        <f t="shared" si="6"/>
        <v>45618</v>
      </c>
      <c r="C187" s="342">
        <v>600</v>
      </c>
      <c r="D187" s="342"/>
      <c r="E187" s="342">
        <v>108.776</v>
      </c>
      <c r="F187" s="342">
        <v>820</v>
      </c>
      <c r="G187" s="15">
        <f t="shared" si="7"/>
        <v>711.22400000000005</v>
      </c>
      <c r="H187" s="15">
        <f>IFERROR(IF(Yearending&gt;B186,'5. Historical demand'!F187-'5. Historical demand'!C187-'5. Historical demand'!D187,""),"")</f>
        <v>220</v>
      </c>
      <c r="I187" s="15">
        <f t="shared" si="8"/>
        <v>491.22399999999999</v>
      </c>
    </row>
    <row r="188" spans="2:9" x14ac:dyDescent="0.2">
      <c r="B188" s="157">
        <f t="shared" si="6"/>
        <v>45619</v>
      </c>
      <c r="C188" s="342">
        <v>600</v>
      </c>
      <c r="D188" s="342"/>
      <c r="E188" s="342">
        <v>104.21599999999999</v>
      </c>
      <c r="F188" s="342">
        <v>820</v>
      </c>
      <c r="G188" s="15">
        <f t="shared" si="7"/>
        <v>715.78399999999999</v>
      </c>
      <c r="H188" s="15">
        <f>IFERROR(IF(Yearending&gt;B187,'5. Historical demand'!F188-'5. Historical demand'!C188-'5. Historical demand'!D188,""),"")</f>
        <v>220</v>
      </c>
      <c r="I188" s="15">
        <f t="shared" si="8"/>
        <v>495.78399999999999</v>
      </c>
    </row>
    <row r="189" spans="2:9" x14ac:dyDescent="0.2">
      <c r="B189" s="157">
        <f t="shared" si="6"/>
        <v>45620</v>
      </c>
      <c r="C189" s="342">
        <v>600</v>
      </c>
      <c r="D189" s="342"/>
      <c r="E189" s="342">
        <v>96.177999999999997</v>
      </c>
      <c r="F189" s="342">
        <v>820</v>
      </c>
      <c r="G189" s="15">
        <f t="shared" si="7"/>
        <v>723.822</v>
      </c>
      <c r="H189" s="15">
        <f>IFERROR(IF(Yearending&gt;B188,'5. Historical demand'!F189-'5. Historical demand'!C189-'5. Historical demand'!D189,""),"")</f>
        <v>220</v>
      </c>
      <c r="I189" s="15">
        <f t="shared" si="8"/>
        <v>503.822</v>
      </c>
    </row>
    <row r="190" spans="2:9" x14ac:dyDescent="0.2">
      <c r="B190" s="157">
        <f t="shared" si="6"/>
        <v>45621</v>
      </c>
      <c r="C190" s="342">
        <v>600</v>
      </c>
      <c r="D190" s="342"/>
      <c r="E190" s="342">
        <v>88.238</v>
      </c>
      <c r="F190" s="342">
        <v>820</v>
      </c>
      <c r="G190" s="15">
        <f t="shared" si="7"/>
        <v>731.76199999999994</v>
      </c>
      <c r="H190" s="15">
        <f>IFERROR(IF(Yearending&gt;B189,'5. Historical demand'!F190-'5. Historical demand'!C190-'5. Historical demand'!D190,""),"")</f>
        <v>220</v>
      </c>
      <c r="I190" s="15">
        <f t="shared" si="8"/>
        <v>511.762</v>
      </c>
    </row>
    <row r="191" spans="2:9" x14ac:dyDescent="0.2">
      <c r="B191" s="157">
        <f t="shared" si="6"/>
        <v>45622</v>
      </c>
      <c r="C191" s="342">
        <v>600</v>
      </c>
      <c r="D191" s="342"/>
      <c r="E191" s="342">
        <v>96.238</v>
      </c>
      <c r="F191" s="342">
        <v>820</v>
      </c>
      <c r="G191" s="15">
        <f t="shared" si="7"/>
        <v>723.76199999999994</v>
      </c>
      <c r="H191" s="15">
        <f>IFERROR(IF(Yearending&gt;B190,'5. Historical demand'!F191-'5. Historical demand'!C191-'5. Historical demand'!D191,""),"")</f>
        <v>220</v>
      </c>
      <c r="I191" s="15">
        <f t="shared" si="8"/>
        <v>503.762</v>
      </c>
    </row>
    <row r="192" spans="2:9" x14ac:dyDescent="0.2">
      <c r="B192" s="157">
        <f t="shared" si="6"/>
        <v>45623</v>
      </c>
      <c r="C192" s="342">
        <v>600</v>
      </c>
      <c r="D192" s="342"/>
      <c r="E192" s="342">
        <v>88.241</v>
      </c>
      <c r="F192" s="342">
        <v>820</v>
      </c>
      <c r="G192" s="15">
        <f t="shared" si="7"/>
        <v>731.75900000000001</v>
      </c>
      <c r="H192" s="15">
        <f>IFERROR(IF(Yearending&gt;B191,'5. Historical demand'!F192-'5. Historical demand'!C192-'5. Historical demand'!D192,""),"")</f>
        <v>220</v>
      </c>
      <c r="I192" s="15">
        <f t="shared" si="8"/>
        <v>511.75900000000001</v>
      </c>
    </row>
    <row r="193" spans="2:9" x14ac:dyDescent="0.2">
      <c r="B193" s="157">
        <f t="shared" si="6"/>
        <v>45624</v>
      </c>
      <c r="C193" s="342">
        <v>600</v>
      </c>
      <c r="D193" s="342"/>
      <c r="E193" s="342">
        <v>24.988</v>
      </c>
      <c r="F193" s="342">
        <v>820</v>
      </c>
      <c r="G193" s="15">
        <f t="shared" si="7"/>
        <v>795.01199999999994</v>
      </c>
      <c r="H193" s="15">
        <f>IFERROR(IF(Yearending&gt;B192,'5. Historical demand'!F193-'5. Historical demand'!C193-'5. Historical demand'!D193,""),"")</f>
        <v>220</v>
      </c>
      <c r="I193" s="15">
        <f t="shared" si="8"/>
        <v>575.01199999999994</v>
      </c>
    </row>
    <row r="194" spans="2:9" x14ac:dyDescent="0.2">
      <c r="B194" s="157">
        <f t="shared" si="6"/>
        <v>45625</v>
      </c>
      <c r="C194" s="342">
        <v>600</v>
      </c>
      <c r="D194" s="342"/>
      <c r="E194" s="342">
        <v>0.05</v>
      </c>
      <c r="F194" s="342">
        <v>820</v>
      </c>
      <c r="G194" s="15">
        <f t="shared" si="7"/>
        <v>819.95</v>
      </c>
      <c r="H194" s="15">
        <f>IFERROR(IF(Yearending&gt;B193,'5. Historical demand'!F194-'5. Historical demand'!C194-'5. Historical demand'!D194,""),"")</f>
        <v>220</v>
      </c>
      <c r="I194" s="15">
        <f t="shared" si="8"/>
        <v>599.95000000000005</v>
      </c>
    </row>
    <row r="195" spans="2:9" x14ac:dyDescent="0.2">
      <c r="B195" s="157">
        <f t="shared" si="6"/>
        <v>45626</v>
      </c>
      <c r="C195" s="342">
        <v>600</v>
      </c>
      <c r="D195" s="342"/>
      <c r="E195" s="342">
        <v>0</v>
      </c>
      <c r="F195" s="342">
        <v>820</v>
      </c>
      <c r="G195" s="15">
        <f t="shared" si="7"/>
        <v>820</v>
      </c>
      <c r="H195" s="15">
        <f>IFERROR(IF(Yearending&gt;B194,'5. Historical demand'!F195-'5. Historical demand'!C195-'5. Historical demand'!D195,""),"")</f>
        <v>220</v>
      </c>
      <c r="I195" s="15">
        <f t="shared" si="8"/>
        <v>600</v>
      </c>
    </row>
    <row r="196" spans="2:9" x14ac:dyDescent="0.2">
      <c r="B196" s="157">
        <f t="shared" si="6"/>
        <v>45627</v>
      </c>
      <c r="C196" s="342">
        <v>600</v>
      </c>
      <c r="D196" s="342"/>
      <c r="E196" s="342">
        <v>13.938000000000001</v>
      </c>
      <c r="F196" s="342">
        <v>820</v>
      </c>
      <c r="G196" s="15">
        <f t="shared" si="7"/>
        <v>806.06200000000001</v>
      </c>
      <c r="H196" s="15">
        <f>IFERROR(IF(Yearending&gt;B195,'5. Historical demand'!F196-'5. Historical demand'!C196-'5. Historical demand'!D196,""),"")</f>
        <v>220</v>
      </c>
      <c r="I196" s="15">
        <f t="shared" si="8"/>
        <v>586.06200000000001</v>
      </c>
    </row>
    <row r="197" spans="2:9" x14ac:dyDescent="0.2">
      <c r="B197" s="157">
        <f t="shared" si="6"/>
        <v>45628</v>
      </c>
      <c r="C197" s="342">
        <v>600</v>
      </c>
      <c r="D197" s="342"/>
      <c r="E197" s="342">
        <v>110.874</v>
      </c>
      <c r="F197" s="342">
        <v>820</v>
      </c>
      <c r="G197" s="15">
        <f t="shared" si="7"/>
        <v>709.12599999999998</v>
      </c>
      <c r="H197" s="15">
        <f>IFERROR(IF(Yearending&gt;B196,'5. Historical demand'!F197-'5. Historical demand'!C197-'5. Historical demand'!D197,""),"")</f>
        <v>220</v>
      </c>
      <c r="I197" s="15">
        <f t="shared" si="8"/>
        <v>489.12599999999998</v>
      </c>
    </row>
    <row r="198" spans="2:9" x14ac:dyDescent="0.2">
      <c r="B198" s="157">
        <f t="shared" si="6"/>
        <v>45629</v>
      </c>
      <c r="C198" s="342">
        <v>600</v>
      </c>
      <c r="D198" s="342"/>
      <c r="E198" s="342">
        <v>110.88200000000001</v>
      </c>
      <c r="F198" s="342">
        <v>820</v>
      </c>
      <c r="G198" s="15">
        <f t="shared" si="7"/>
        <v>709.11799999999994</v>
      </c>
      <c r="H198" s="15">
        <f>IFERROR(IF(Yearending&gt;B197,'5. Historical demand'!F198-'5. Historical demand'!C198-'5. Historical demand'!D198,""),"")</f>
        <v>220</v>
      </c>
      <c r="I198" s="15">
        <f t="shared" si="8"/>
        <v>489.11799999999999</v>
      </c>
    </row>
    <row r="199" spans="2:9" x14ac:dyDescent="0.2">
      <c r="B199" s="157">
        <f t="shared" si="6"/>
        <v>45630</v>
      </c>
      <c r="C199" s="342">
        <v>600</v>
      </c>
      <c r="D199" s="342"/>
      <c r="E199" s="342">
        <v>110.887</v>
      </c>
      <c r="F199" s="342">
        <v>820</v>
      </c>
      <c r="G199" s="15">
        <f t="shared" si="7"/>
        <v>709.11300000000006</v>
      </c>
      <c r="H199" s="15">
        <f>IFERROR(IF(Yearending&gt;B198,'5. Historical demand'!F199-'5. Historical demand'!C199-'5. Historical demand'!D199,""),"")</f>
        <v>220</v>
      </c>
      <c r="I199" s="15">
        <f t="shared" si="8"/>
        <v>489.113</v>
      </c>
    </row>
    <row r="200" spans="2:9" x14ac:dyDescent="0.2">
      <c r="B200" s="157">
        <f t="shared" si="6"/>
        <v>45631</v>
      </c>
      <c r="C200" s="342">
        <v>600</v>
      </c>
      <c r="D200" s="342"/>
      <c r="E200" s="342">
        <v>108.193</v>
      </c>
      <c r="F200" s="342">
        <v>820</v>
      </c>
      <c r="G200" s="15">
        <f t="shared" si="7"/>
        <v>711.80700000000002</v>
      </c>
      <c r="H200" s="15">
        <f>IFERROR(IF(Yearending&gt;B199,'5. Historical demand'!F200-'5. Historical demand'!C200-'5. Historical demand'!D200,""),"")</f>
        <v>220</v>
      </c>
      <c r="I200" s="15">
        <f t="shared" si="8"/>
        <v>491.80700000000002</v>
      </c>
    </row>
    <row r="201" spans="2:9" x14ac:dyDescent="0.2">
      <c r="B201" s="157">
        <f t="shared" si="6"/>
        <v>45632</v>
      </c>
      <c r="C201" s="342">
        <v>600</v>
      </c>
      <c r="D201" s="342"/>
      <c r="E201" s="342">
        <v>105.901</v>
      </c>
      <c r="F201" s="342">
        <v>820</v>
      </c>
      <c r="G201" s="15">
        <f t="shared" si="7"/>
        <v>714.09900000000005</v>
      </c>
      <c r="H201" s="15">
        <f>IFERROR(IF(Yearending&gt;B200,'5. Historical demand'!F201-'5. Historical demand'!C201-'5. Historical demand'!D201,""),"")</f>
        <v>220</v>
      </c>
      <c r="I201" s="15">
        <f t="shared" si="8"/>
        <v>494.09899999999999</v>
      </c>
    </row>
    <row r="202" spans="2:9" x14ac:dyDescent="0.2">
      <c r="B202" s="157">
        <f t="shared" si="6"/>
        <v>45633</v>
      </c>
      <c r="C202" s="342">
        <v>600</v>
      </c>
      <c r="D202" s="342"/>
      <c r="E202" s="342">
        <v>105.896</v>
      </c>
      <c r="F202" s="342">
        <v>820</v>
      </c>
      <c r="G202" s="15">
        <f t="shared" si="7"/>
        <v>714.10400000000004</v>
      </c>
      <c r="H202" s="15">
        <f>IFERROR(IF(Yearending&gt;B201,'5. Historical demand'!F202-'5. Historical demand'!C202-'5. Historical demand'!D202,""),"")</f>
        <v>220</v>
      </c>
      <c r="I202" s="15">
        <f t="shared" si="8"/>
        <v>494.10399999999998</v>
      </c>
    </row>
    <row r="203" spans="2:9" x14ac:dyDescent="0.2">
      <c r="B203" s="157">
        <f t="shared" si="6"/>
        <v>45634</v>
      </c>
      <c r="C203" s="342">
        <v>600</v>
      </c>
      <c r="D203" s="342"/>
      <c r="E203" s="342">
        <v>101.232</v>
      </c>
      <c r="F203" s="342">
        <v>820</v>
      </c>
      <c r="G203" s="15">
        <f t="shared" si="7"/>
        <v>718.76800000000003</v>
      </c>
      <c r="H203" s="15">
        <f>IFERROR(IF(Yearending&gt;B202,'5. Historical demand'!F203-'5. Historical demand'!C203-'5. Historical demand'!D203,""),"")</f>
        <v>220</v>
      </c>
      <c r="I203" s="15">
        <f t="shared" si="8"/>
        <v>498.76800000000003</v>
      </c>
    </row>
    <row r="204" spans="2:9" x14ac:dyDescent="0.2">
      <c r="B204" s="157">
        <f t="shared" si="6"/>
        <v>45635</v>
      </c>
      <c r="C204" s="342">
        <v>600</v>
      </c>
      <c r="D204" s="342"/>
      <c r="E204" s="342">
        <v>114.241</v>
      </c>
      <c r="F204" s="342">
        <v>820</v>
      </c>
      <c r="G204" s="15">
        <f t="shared" si="7"/>
        <v>705.75900000000001</v>
      </c>
      <c r="H204" s="15">
        <f>IFERROR(IF(Yearending&gt;B203,'5. Historical demand'!F204-'5. Historical demand'!C204-'5. Historical demand'!D204,""),"")</f>
        <v>220</v>
      </c>
      <c r="I204" s="15">
        <f t="shared" si="8"/>
        <v>485.75900000000001</v>
      </c>
    </row>
    <row r="205" spans="2:9" x14ac:dyDescent="0.2">
      <c r="B205" s="157">
        <f t="shared" si="6"/>
        <v>45636</v>
      </c>
      <c r="C205" s="342">
        <v>600</v>
      </c>
      <c r="D205" s="342"/>
      <c r="E205" s="342">
        <v>116.236</v>
      </c>
      <c r="F205" s="342">
        <v>820</v>
      </c>
      <c r="G205" s="15">
        <f t="shared" si="7"/>
        <v>703.76400000000001</v>
      </c>
      <c r="H205" s="15">
        <f>IFERROR(IF(Yearending&gt;B204,'5. Historical demand'!F205-'5. Historical demand'!C205-'5. Historical demand'!D205,""),"")</f>
        <v>220</v>
      </c>
      <c r="I205" s="15">
        <f t="shared" si="8"/>
        <v>483.76400000000001</v>
      </c>
    </row>
    <row r="206" spans="2:9" x14ac:dyDescent="0.2">
      <c r="B206" s="157">
        <f t="shared" si="6"/>
        <v>45637</v>
      </c>
      <c r="C206" s="342">
        <v>600</v>
      </c>
      <c r="D206" s="342"/>
      <c r="E206" s="342">
        <v>125.224</v>
      </c>
      <c r="F206" s="342">
        <v>820</v>
      </c>
      <c r="G206" s="15">
        <f t="shared" si="7"/>
        <v>694.77599999999995</v>
      </c>
      <c r="H206" s="15">
        <f>IFERROR(IF(Yearending&gt;B205,'5. Historical demand'!F206-'5. Historical demand'!C206-'5. Historical demand'!D206,""),"")</f>
        <v>220</v>
      </c>
      <c r="I206" s="15">
        <f t="shared" si="8"/>
        <v>474.77600000000001</v>
      </c>
    </row>
    <row r="207" spans="2:9" x14ac:dyDescent="0.2">
      <c r="B207" s="157">
        <f t="shared" si="6"/>
        <v>45638</v>
      </c>
      <c r="C207" s="342">
        <v>600</v>
      </c>
      <c r="D207" s="342"/>
      <c r="E207" s="342">
        <v>127.71899999999999</v>
      </c>
      <c r="F207" s="342">
        <v>820</v>
      </c>
      <c r="G207" s="15">
        <f t="shared" si="7"/>
        <v>692.28099999999995</v>
      </c>
      <c r="H207" s="15">
        <f>IFERROR(IF(Yearending&gt;B206,'5. Historical demand'!F207-'5. Historical demand'!C207-'5. Historical demand'!D207,""),"")</f>
        <v>220</v>
      </c>
      <c r="I207" s="15">
        <f t="shared" si="8"/>
        <v>472.28100000000001</v>
      </c>
    </row>
    <row r="208" spans="2:9" x14ac:dyDescent="0.2">
      <c r="B208" s="157">
        <f t="shared" si="6"/>
        <v>45639</v>
      </c>
      <c r="C208" s="342">
        <v>600</v>
      </c>
      <c r="D208" s="342"/>
      <c r="E208" s="342">
        <v>124.714</v>
      </c>
      <c r="F208" s="342">
        <v>820</v>
      </c>
      <c r="G208" s="15">
        <f t="shared" si="7"/>
        <v>695.28600000000006</v>
      </c>
      <c r="H208" s="15">
        <f>IFERROR(IF(Yearending&gt;B207,'5. Historical demand'!F208-'5. Historical demand'!C208-'5. Historical demand'!D208,""),"")</f>
        <v>220</v>
      </c>
      <c r="I208" s="15">
        <f t="shared" si="8"/>
        <v>475.286</v>
      </c>
    </row>
    <row r="209" spans="2:9" x14ac:dyDescent="0.2">
      <c r="B209" s="157">
        <f t="shared" si="6"/>
        <v>45640</v>
      </c>
      <c r="C209" s="342">
        <v>600</v>
      </c>
      <c r="D209" s="342"/>
      <c r="E209" s="342">
        <v>119.211</v>
      </c>
      <c r="F209" s="342">
        <v>820</v>
      </c>
      <c r="G209" s="15">
        <f t="shared" si="7"/>
        <v>700.78899999999999</v>
      </c>
      <c r="H209" s="15">
        <f>IFERROR(IF(Yearending&gt;B208,'5. Historical demand'!F209-'5. Historical demand'!C209-'5. Historical demand'!D209,""),"")</f>
        <v>220</v>
      </c>
      <c r="I209" s="15">
        <f t="shared" si="8"/>
        <v>480.78899999999999</v>
      </c>
    </row>
    <row r="210" spans="2:9" x14ac:dyDescent="0.2">
      <c r="B210" s="157">
        <f t="shared" si="6"/>
        <v>45641</v>
      </c>
      <c r="C210" s="342">
        <v>600</v>
      </c>
      <c r="D210" s="342"/>
      <c r="E210" s="342">
        <v>122.20699999999999</v>
      </c>
      <c r="F210" s="342">
        <v>820</v>
      </c>
      <c r="G210" s="15">
        <f t="shared" si="7"/>
        <v>697.79300000000001</v>
      </c>
      <c r="H210" s="15">
        <f>IFERROR(IF(Yearending&gt;B209,'5. Historical demand'!F210-'5. Historical demand'!C210-'5. Historical demand'!D210,""),"")</f>
        <v>220</v>
      </c>
      <c r="I210" s="15">
        <f t="shared" si="8"/>
        <v>477.79300000000001</v>
      </c>
    </row>
    <row r="211" spans="2:9" x14ac:dyDescent="0.2">
      <c r="B211" s="157">
        <f t="shared" si="6"/>
        <v>45642</v>
      </c>
      <c r="C211" s="342">
        <v>600</v>
      </c>
      <c r="D211" s="342"/>
      <c r="E211" s="342">
        <v>132.19499999999999</v>
      </c>
      <c r="F211" s="342">
        <v>820</v>
      </c>
      <c r="G211" s="15">
        <f t="shared" si="7"/>
        <v>687.80500000000006</v>
      </c>
      <c r="H211" s="15">
        <f>IFERROR(IF(Yearending&gt;B210,'5. Historical demand'!F211-'5. Historical demand'!C211-'5. Historical demand'!D211,""),"")</f>
        <v>220</v>
      </c>
      <c r="I211" s="15">
        <f t="shared" si="8"/>
        <v>467.80500000000001</v>
      </c>
    </row>
    <row r="212" spans="2:9" x14ac:dyDescent="0.2">
      <c r="B212" s="157">
        <f t="shared" si="6"/>
        <v>45643</v>
      </c>
      <c r="C212" s="342">
        <v>600</v>
      </c>
      <c r="D212" s="342"/>
      <c r="E212" s="342">
        <v>131.19</v>
      </c>
      <c r="F212" s="342">
        <v>820</v>
      </c>
      <c r="G212" s="15">
        <f t="shared" si="7"/>
        <v>688.81</v>
      </c>
      <c r="H212" s="15">
        <f>IFERROR(IF(Yearending&gt;B211,'5. Historical demand'!F212-'5. Historical demand'!C212-'5. Historical demand'!D212,""),"")</f>
        <v>220</v>
      </c>
      <c r="I212" s="15">
        <f t="shared" si="8"/>
        <v>468.81</v>
      </c>
    </row>
    <row r="213" spans="2:9" x14ac:dyDescent="0.2">
      <c r="B213" s="157">
        <f t="shared" si="6"/>
        <v>45644</v>
      </c>
      <c r="C213" s="342">
        <v>600</v>
      </c>
      <c r="D213" s="342"/>
      <c r="E213" s="342">
        <v>132.184</v>
      </c>
      <c r="F213" s="342">
        <v>820</v>
      </c>
      <c r="G213" s="15">
        <f t="shared" si="7"/>
        <v>687.81600000000003</v>
      </c>
      <c r="H213" s="15">
        <f>IFERROR(IF(Yearending&gt;B212,'5. Historical demand'!F213-'5. Historical demand'!C213-'5. Historical demand'!D213,""),"")</f>
        <v>220</v>
      </c>
      <c r="I213" s="15">
        <f t="shared" si="8"/>
        <v>467.81600000000003</v>
      </c>
    </row>
    <row r="214" spans="2:9" x14ac:dyDescent="0.2">
      <c r="B214" s="157">
        <f t="shared" si="6"/>
        <v>45645</v>
      </c>
      <c r="C214" s="342">
        <v>600</v>
      </c>
      <c r="D214" s="342"/>
      <c r="E214" s="342">
        <v>126.98099999999999</v>
      </c>
      <c r="F214" s="342">
        <v>820</v>
      </c>
      <c r="G214" s="15">
        <f t="shared" si="7"/>
        <v>693.01900000000001</v>
      </c>
      <c r="H214" s="15">
        <f>IFERROR(IF(Yearending&gt;B213,'5. Historical demand'!F214-'5. Historical demand'!C214-'5. Historical demand'!D214,""),"")</f>
        <v>220</v>
      </c>
      <c r="I214" s="15">
        <f t="shared" si="8"/>
        <v>473.01900000000001</v>
      </c>
    </row>
    <row r="215" spans="2:9" x14ac:dyDescent="0.2">
      <c r="B215" s="157">
        <f t="shared" si="6"/>
        <v>45646</v>
      </c>
      <c r="C215" s="342">
        <v>600</v>
      </c>
      <c r="D215" s="342"/>
      <c r="E215" s="342">
        <v>113.398</v>
      </c>
      <c r="F215" s="342">
        <v>820</v>
      </c>
      <c r="G215" s="15">
        <f t="shared" si="7"/>
        <v>706.60199999999998</v>
      </c>
      <c r="H215" s="15">
        <f>IFERROR(IF(Yearending&gt;B214,'5. Historical demand'!F215-'5. Historical demand'!C215-'5. Historical demand'!D215,""),"")</f>
        <v>220</v>
      </c>
      <c r="I215" s="15">
        <f t="shared" si="8"/>
        <v>486.60199999999998</v>
      </c>
    </row>
    <row r="216" spans="2:9" x14ac:dyDescent="0.2">
      <c r="B216" s="157">
        <f t="shared" si="6"/>
        <v>45647</v>
      </c>
      <c r="C216" s="342">
        <v>600</v>
      </c>
      <c r="D216" s="342"/>
      <c r="E216" s="342">
        <v>125.973</v>
      </c>
      <c r="F216" s="342">
        <v>820</v>
      </c>
      <c r="G216" s="15">
        <f t="shared" si="7"/>
        <v>694.02700000000004</v>
      </c>
      <c r="H216" s="15">
        <f>IFERROR(IF(Yearending&gt;B215,'5. Historical demand'!F216-'5. Historical demand'!C216-'5. Historical demand'!D216,""),"")</f>
        <v>220</v>
      </c>
      <c r="I216" s="15">
        <f t="shared" si="8"/>
        <v>474.02699999999999</v>
      </c>
    </row>
    <row r="217" spans="2:9" x14ac:dyDescent="0.2">
      <c r="B217" s="157">
        <f t="shared" si="6"/>
        <v>45648</v>
      </c>
      <c r="C217" s="342">
        <v>600</v>
      </c>
      <c r="D217" s="342"/>
      <c r="E217" s="342">
        <v>119.371</v>
      </c>
      <c r="F217" s="342">
        <v>820</v>
      </c>
      <c r="G217" s="15">
        <f t="shared" si="7"/>
        <v>700.62900000000002</v>
      </c>
      <c r="H217" s="15">
        <f>IFERROR(IF(Yearending&gt;B216,'5. Historical demand'!F217-'5. Historical demand'!C217-'5. Historical demand'!D217,""),"")</f>
        <v>220</v>
      </c>
      <c r="I217" s="15">
        <f t="shared" si="8"/>
        <v>480.62900000000002</v>
      </c>
    </row>
    <row r="218" spans="2:9" x14ac:dyDescent="0.2">
      <c r="B218" s="157">
        <f t="shared" si="6"/>
        <v>45649</v>
      </c>
      <c r="C218" s="342">
        <v>600</v>
      </c>
      <c r="D218" s="342"/>
      <c r="E218" s="342">
        <v>121.965</v>
      </c>
      <c r="F218" s="342">
        <v>820</v>
      </c>
      <c r="G218" s="15">
        <f t="shared" si="7"/>
        <v>698.03499999999997</v>
      </c>
      <c r="H218" s="15">
        <f>IFERROR(IF(Yearending&gt;B217,'5. Historical demand'!F218-'5. Historical demand'!C218-'5. Historical demand'!D218,""),"")</f>
        <v>220</v>
      </c>
      <c r="I218" s="15">
        <f t="shared" si="8"/>
        <v>478.03499999999997</v>
      </c>
    </row>
    <row r="219" spans="2:9" x14ac:dyDescent="0.2">
      <c r="B219" s="157">
        <f t="shared" si="6"/>
        <v>45650</v>
      </c>
      <c r="C219" s="342">
        <v>600</v>
      </c>
      <c r="D219" s="342"/>
      <c r="E219" s="342">
        <v>68.912000000000006</v>
      </c>
      <c r="F219" s="342">
        <v>820</v>
      </c>
      <c r="G219" s="15">
        <f t="shared" si="7"/>
        <v>751.08799999999997</v>
      </c>
      <c r="H219" s="15">
        <f>IFERROR(IF(Yearending&gt;B218,'5. Historical demand'!F219-'5. Historical demand'!C219-'5. Historical demand'!D219,""),"")</f>
        <v>220</v>
      </c>
      <c r="I219" s="15">
        <f t="shared" si="8"/>
        <v>531.08799999999997</v>
      </c>
    </row>
    <row r="220" spans="2:9" x14ac:dyDescent="0.2">
      <c r="B220" s="157">
        <f t="shared" si="6"/>
        <v>45651</v>
      </c>
      <c r="C220" s="342">
        <v>600</v>
      </c>
      <c r="D220" s="342"/>
      <c r="E220" s="342">
        <v>116.887</v>
      </c>
      <c r="F220" s="342">
        <v>820</v>
      </c>
      <c r="G220" s="15">
        <f t="shared" si="7"/>
        <v>703.11300000000006</v>
      </c>
      <c r="H220" s="15">
        <f>IFERROR(IF(Yearending&gt;B219,'5. Historical demand'!F220-'5. Historical demand'!C220-'5. Historical demand'!D220,""),"")</f>
        <v>220</v>
      </c>
      <c r="I220" s="15">
        <f t="shared" si="8"/>
        <v>483.113</v>
      </c>
    </row>
    <row r="221" spans="2:9" x14ac:dyDescent="0.2">
      <c r="B221" s="157">
        <f t="shared" si="6"/>
        <v>45652</v>
      </c>
      <c r="C221" s="342">
        <v>600</v>
      </c>
      <c r="D221" s="342"/>
      <c r="E221" s="342">
        <v>113.602</v>
      </c>
      <c r="F221" s="342">
        <v>820</v>
      </c>
      <c r="G221" s="15">
        <f t="shared" si="7"/>
        <v>706.39800000000002</v>
      </c>
      <c r="H221" s="15">
        <f>IFERROR(IF(Yearending&gt;B220,'5. Historical demand'!F221-'5. Historical demand'!C221-'5. Historical demand'!D221,""),"")</f>
        <v>220</v>
      </c>
      <c r="I221" s="15">
        <f t="shared" si="8"/>
        <v>486.39800000000002</v>
      </c>
    </row>
    <row r="222" spans="2:9" x14ac:dyDescent="0.2">
      <c r="B222" s="157">
        <f t="shared" si="6"/>
        <v>45653</v>
      </c>
      <c r="C222" s="342">
        <v>600</v>
      </c>
      <c r="D222" s="342"/>
      <c r="E222" s="342">
        <v>111.696</v>
      </c>
      <c r="F222" s="342">
        <v>820</v>
      </c>
      <c r="G222" s="15">
        <f t="shared" si="7"/>
        <v>708.30399999999997</v>
      </c>
      <c r="H222" s="15">
        <f>IFERROR(IF(Yearending&gt;B221,'5. Historical demand'!F222-'5. Historical demand'!C222-'5. Historical demand'!D222,""),"")</f>
        <v>220</v>
      </c>
      <c r="I222" s="15">
        <f t="shared" si="8"/>
        <v>488.30399999999997</v>
      </c>
    </row>
    <row r="223" spans="2:9" x14ac:dyDescent="0.2">
      <c r="B223" s="157">
        <f t="shared" si="6"/>
        <v>45654</v>
      </c>
      <c r="C223" s="342">
        <v>600</v>
      </c>
      <c r="D223" s="342"/>
      <c r="E223" s="342">
        <v>111.63800000000001</v>
      </c>
      <c r="F223" s="342">
        <v>820</v>
      </c>
      <c r="G223" s="15">
        <f t="shared" si="7"/>
        <v>708.36199999999997</v>
      </c>
      <c r="H223" s="15">
        <f>IFERROR(IF(Yearending&gt;B222,'5. Historical demand'!F223-'5. Historical demand'!C223-'5. Historical demand'!D223,""),"")</f>
        <v>220</v>
      </c>
      <c r="I223" s="15">
        <f t="shared" si="8"/>
        <v>488.36199999999997</v>
      </c>
    </row>
    <row r="224" spans="2:9" x14ac:dyDescent="0.2">
      <c r="B224" s="157">
        <f t="shared" si="6"/>
        <v>45655</v>
      </c>
      <c r="C224" s="342">
        <v>600</v>
      </c>
      <c r="D224" s="342"/>
      <c r="E224" s="342">
        <v>111.634</v>
      </c>
      <c r="F224" s="342">
        <v>820</v>
      </c>
      <c r="G224" s="15">
        <f t="shared" si="7"/>
        <v>708.36599999999999</v>
      </c>
      <c r="H224" s="15">
        <f>IFERROR(IF(Yearending&gt;B223,'5. Historical demand'!F224-'5. Historical demand'!C224-'5. Historical demand'!D224,""),"")</f>
        <v>220</v>
      </c>
      <c r="I224" s="15">
        <f t="shared" si="8"/>
        <v>488.36599999999999</v>
      </c>
    </row>
    <row r="225" spans="2:9" x14ac:dyDescent="0.2">
      <c r="B225" s="157">
        <f t="shared" si="6"/>
        <v>45656</v>
      </c>
      <c r="C225" s="342">
        <v>600</v>
      </c>
      <c r="D225" s="342"/>
      <c r="E225" s="342">
        <v>112.627</v>
      </c>
      <c r="F225" s="342">
        <v>820</v>
      </c>
      <c r="G225" s="15">
        <f t="shared" si="7"/>
        <v>707.37300000000005</v>
      </c>
      <c r="H225" s="15">
        <f>IFERROR(IF(Yearending&gt;B224,'5. Historical demand'!F225-'5. Historical demand'!C225-'5. Historical demand'!D225,""),"")</f>
        <v>220</v>
      </c>
      <c r="I225" s="15">
        <f t="shared" si="8"/>
        <v>487.37299999999999</v>
      </c>
    </row>
    <row r="226" spans="2:9" x14ac:dyDescent="0.2">
      <c r="B226" s="157">
        <f t="shared" si="6"/>
        <v>45657</v>
      </c>
      <c r="C226" s="342">
        <v>600</v>
      </c>
      <c r="D226" s="342"/>
      <c r="E226" s="342">
        <v>108.949</v>
      </c>
      <c r="F226" s="342">
        <v>820</v>
      </c>
      <c r="G226" s="15">
        <f t="shared" si="7"/>
        <v>711.05100000000004</v>
      </c>
      <c r="H226" s="15">
        <f>IFERROR(IF(Yearending&gt;B225,'5. Historical demand'!F226-'5. Historical demand'!C226-'5. Historical demand'!D226,""),"")</f>
        <v>220</v>
      </c>
      <c r="I226" s="15">
        <f t="shared" si="8"/>
        <v>491.05099999999999</v>
      </c>
    </row>
    <row r="227" spans="2:9" x14ac:dyDescent="0.2">
      <c r="B227" s="157">
        <f t="shared" si="6"/>
        <v>45658</v>
      </c>
      <c r="C227" s="342">
        <v>600</v>
      </c>
      <c r="D227" s="342"/>
      <c r="E227" s="342">
        <v>96.195999999999998</v>
      </c>
      <c r="F227" s="342">
        <v>820</v>
      </c>
      <c r="G227" s="15">
        <f t="shared" si="7"/>
        <v>723.80399999999997</v>
      </c>
      <c r="H227" s="15">
        <f>IFERROR(IF(Yearending&gt;B226,'5. Historical demand'!F227-'5. Historical demand'!C227-'5. Historical demand'!D227,""),"")</f>
        <v>220</v>
      </c>
      <c r="I227" s="15">
        <f t="shared" si="8"/>
        <v>503.80399999999997</v>
      </c>
    </row>
    <row r="228" spans="2:9" x14ac:dyDescent="0.2">
      <c r="B228" s="157">
        <f t="shared" si="6"/>
        <v>45659</v>
      </c>
      <c r="C228" s="342">
        <v>600</v>
      </c>
      <c r="D228" s="342"/>
      <c r="E228" s="342">
        <v>86.036000000000001</v>
      </c>
      <c r="F228" s="342">
        <v>820</v>
      </c>
      <c r="G228" s="15">
        <f t="shared" si="7"/>
        <v>733.96399999999994</v>
      </c>
      <c r="H228" s="15">
        <f>IFERROR(IF(Yearending&gt;B227,'5. Historical demand'!F228-'5. Historical demand'!C228-'5. Historical demand'!D228,""),"")</f>
        <v>220</v>
      </c>
      <c r="I228" s="15">
        <f t="shared" si="8"/>
        <v>513.96399999999994</v>
      </c>
    </row>
    <row r="229" spans="2:9" x14ac:dyDescent="0.2">
      <c r="B229" s="157">
        <f t="shared" si="6"/>
        <v>45660</v>
      </c>
      <c r="C229" s="342">
        <v>600</v>
      </c>
      <c r="D229" s="342"/>
      <c r="E229" s="342">
        <v>83.38</v>
      </c>
      <c r="F229" s="342">
        <v>820</v>
      </c>
      <c r="G229" s="15">
        <f t="shared" si="7"/>
        <v>736.62</v>
      </c>
      <c r="H229" s="15">
        <f>IFERROR(IF(Yearending&gt;B228,'5. Historical demand'!F229-'5. Historical demand'!C229-'5. Historical demand'!D229,""),"")</f>
        <v>220</v>
      </c>
      <c r="I229" s="15">
        <f t="shared" si="8"/>
        <v>516.62</v>
      </c>
    </row>
    <row r="230" spans="2:9" x14ac:dyDescent="0.2">
      <c r="B230" s="157">
        <f t="shared" si="6"/>
        <v>45661</v>
      </c>
      <c r="C230" s="342">
        <v>600</v>
      </c>
      <c r="D230" s="342"/>
      <c r="E230" s="342">
        <v>87.427000000000007</v>
      </c>
      <c r="F230" s="342">
        <v>820</v>
      </c>
      <c r="G230" s="15">
        <f t="shared" si="7"/>
        <v>732.57299999999998</v>
      </c>
      <c r="H230" s="15">
        <f>IFERROR(IF(Yearending&gt;B229,'5. Historical demand'!F230-'5. Historical demand'!C230-'5. Historical demand'!D230,""),"")</f>
        <v>220</v>
      </c>
      <c r="I230" s="15">
        <f t="shared" si="8"/>
        <v>512.57299999999998</v>
      </c>
    </row>
    <row r="231" spans="2:9" x14ac:dyDescent="0.2">
      <c r="B231" s="157">
        <f t="shared" si="6"/>
        <v>45662</v>
      </c>
      <c r="C231" s="342">
        <v>600</v>
      </c>
      <c r="D231" s="342"/>
      <c r="E231" s="342">
        <v>87.826999999999998</v>
      </c>
      <c r="F231" s="342">
        <v>820</v>
      </c>
      <c r="G231" s="15">
        <f t="shared" si="7"/>
        <v>732.173</v>
      </c>
      <c r="H231" s="15">
        <f>IFERROR(IF(Yearending&gt;B230,'5. Historical demand'!F231-'5. Historical demand'!C231-'5. Historical demand'!D231,""),"")</f>
        <v>220</v>
      </c>
      <c r="I231" s="15">
        <f t="shared" si="8"/>
        <v>512.173</v>
      </c>
    </row>
    <row r="232" spans="2:9" x14ac:dyDescent="0.2">
      <c r="B232" s="157">
        <f t="shared" si="6"/>
        <v>45663</v>
      </c>
      <c r="C232" s="342">
        <v>600</v>
      </c>
      <c r="D232" s="342"/>
      <c r="E232" s="342">
        <v>92.459000000000003</v>
      </c>
      <c r="F232" s="342">
        <v>820</v>
      </c>
      <c r="G232" s="15">
        <f t="shared" si="7"/>
        <v>727.54099999999994</v>
      </c>
      <c r="H232" s="15">
        <f>IFERROR(IF(Yearending&gt;B231,'5. Historical demand'!F232-'5. Historical demand'!C232-'5. Historical demand'!D232,""),"")</f>
        <v>220</v>
      </c>
      <c r="I232" s="15">
        <f t="shared" si="8"/>
        <v>507.541</v>
      </c>
    </row>
    <row r="233" spans="2:9" x14ac:dyDescent="0.2">
      <c r="B233" s="157">
        <f t="shared" si="6"/>
        <v>45664</v>
      </c>
      <c r="C233" s="342">
        <v>600</v>
      </c>
      <c r="D233" s="342"/>
      <c r="E233" s="342">
        <v>93.694000000000003</v>
      </c>
      <c r="F233" s="342">
        <v>820</v>
      </c>
      <c r="G233" s="15">
        <f t="shared" si="7"/>
        <v>726.30600000000004</v>
      </c>
      <c r="H233" s="15">
        <f>IFERROR(IF(Yearending&gt;B232,'5. Historical demand'!F233-'5. Historical demand'!C233-'5. Historical demand'!D233,""),"")</f>
        <v>220</v>
      </c>
      <c r="I233" s="15">
        <f t="shared" si="8"/>
        <v>506.30599999999998</v>
      </c>
    </row>
    <row r="234" spans="2:9" x14ac:dyDescent="0.2">
      <c r="B234" s="157">
        <f t="shared" si="6"/>
        <v>45665</v>
      </c>
      <c r="C234" s="342">
        <v>600</v>
      </c>
      <c r="D234" s="342"/>
      <c r="E234" s="342">
        <v>93.504999999999995</v>
      </c>
      <c r="F234" s="342">
        <v>820</v>
      </c>
      <c r="G234" s="15">
        <f t="shared" si="7"/>
        <v>726.495</v>
      </c>
      <c r="H234" s="15">
        <f>IFERROR(IF(Yearending&gt;B233,'5. Historical demand'!F234-'5. Historical demand'!C234-'5. Historical demand'!D234,""),"")</f>
        <v>220</v>
      </c>
      <c r="I234" s="15">
        <f t="shared" si="8"/>
        <v>506.495</v>
      </c>
    </row>
    <row r="235" spans="2:9" x14ac:dyDescent="0.2">
      <c r="B235" s="157">
        <f t="shared" si="6"/>
        <v>45666</v>
      </c>
      <c r="C235" s="342">
        <v>600</v>
      </c>
      <c r="D235" s="342"/>
      <c r="E235" s="342">
        <v>73.914000000000001</v>
      </c>
      <c r="F235" s="342">
        <v>820</v>
      </c>
      <c r="G235" s="15">
        <f t="shared" si="7"/>
        <v>746.08600000000001</v>
      </c>
      <c r="H235" s="15">
        <f>IFERROR(IF(Yearending&gt;B234,'5. Historical demand'!F235-'5. Historical demand'!C235-'5. Historical demand'!D235,""),"")</f>
        <v>220</v>
      </c>
      <c r="I235" s="15">
        <f t="shared" si="8"/>
        <v>526.08600000000001</v>
      </c>
    </row>
    <row r="236" spans="2:9" x14ac:dyDescent="0.2">
      <c r="B236" s="157">
        <f t="shared" ref="B236:B299" si="9">IFERROR(IF(Yearending&gt;B235, B235+1, ""),"")</f>
        <v>45667</v>
      </c>
      <c r="C236" s="342">
        <v>600</v>
      </c>
      <c r="D236" s="342"/>
      <c r="E236" s="342">
        <v>74.463999999999999</v>
      </c>
      <c r="F236" s="342">
        <v>820</v>
      </c>
      <c r="G236" s="15">
        <f t="shared" ref="G236:G299" si="10">IFERROR(IF(Yearending&gt;B235,F236-E236,""),"")</f>
        <v>745.53600000000006</v>
      </c>
      <c r="H236" s="15">
        <f>IFERROR(IF(Yearending&gt;B235,'5. Historical demand'!F236-'5. Historical demand'!C236-'5. Historical demand'!D236,""),"")</f>
        <v>220</v>
      </c>
      <c r="I236" s="15">
        <f t="shared" ref="I236:I299" si="11">IFERROR(IF(Yearending&gt;B235,C236+D236-E236,""),"")</f>
        <v>525.53600000000006</v>
      </c>
    </row>
    <row r="237" spans="2:9" x14ac:dyDescent="0.2">
      <c r="B237" s="157">
        <f t="shared" si="9"/>
        <v>45668</v>
      </c>
      <c r="C237" s="342">
        <v>600</v>
      </c>
      <c r="D237" s="342"/>
      <c r="E237" s="342">
        <v>94.445999999999998</v>
      </c>
      <c r="F237" s="342">
        <v>820</v>
      </c>
      <c r="G237" s="15">
        <f t="shared" si="10"/>
        <v>725.55399999999997</v>
      </c>
      <c r="H237" s="15">
        <f>IFERROR(IF(Yearending&gt;B236,'5. Historical demand'!F237-'5. Historical demand'!C237-'5. Historical demand'!D237,""),"")</f>
        <v>220</v>
      </c>
      <c r="I237" s="15">
        <f t="shared" si="11"/>
        <v>505.55399999999997</v>
      </c>
    </row>
    <row r="238" spans="2:9" x14ac:dyDescent="0.2">
      <c r="B238" s="157">
        <f t="shared" si="9"/>
        <v>45669</v>
      </c>
      <c r="C238" s="342">
        <v>600</v>
      </c>
      <c r="D238" s="342"/>
      <c r="E238" s="342">
        <v>93.54</v>
      </c>
      <c r="F238" s="342">
        <v>820</v>
      </c>
      <c r="G238" s="15">
        <f t="shared" si="10"/>
        <v>726.46</v>
      </c>
      <c r="H238" s="15">
        <f>IFERROR(IF(Yearending&gt;B237,'5. Historical demand'!F238-'5. Historical demand'!C238-'5. Historical demand'!D238,""),"")</f>
        <v>220</v>
      </c>
      <c r="I238" s="15">
        <f t="shared" si="11"/>
        <v>506.46</v>
      </c>
    </row>
    <row r="239" spans="2:9" x14ac:dyDescent="0.2">
      <c r="B239" s="157">
        <f t="shared" si="9"/>
        <v>45670</v>
      </c>
      <c r="C239" s="342">
        <v>600</v>
      </c>
      <c r="D239" s="342"/>
      <c r="E239" s="342">
        <v>106.28100000000001</v>
      </c>
      <c r="F239" s="342">
        <v>820</v>
      </c>
      <c r="G239" s="15">
        <f t="shared" si="10"/>
        <v>713.71900000000005</v>
      </c>
      <c r="H239" s="15">
        <f>IFERROR(IF(Yearending&gt;B238,'5. Historical demand'!F239-'5. Historical demand'!C239-'5. Historical demand'!D239,""),"")</f>
        <v>220</v>
      </c>
      <c r="I239" s="15">
        <f t="shared" si="11"/>
        <v>493.71899999999999</v>
      </c>
    </row>
    <row r="240" spans="2:9" x14ac:dyDescent="0.2">
      <c r="B240" s="157">
        <f t="shared" si="9"/>
        <v>45671</v>
      </c>
      <c r="C240" s="342">
        <v>600</v>
      </c>
      <c r="D240" s="342"/>
      <c r="E240" s="342">
        <v>108.078</v>
      </c>
      <c r="F240" s="342">
        <v>820</v>
      </c>
      <c r="G240" s="15">
        <f t="shared" si="10"/>
        <v>711.92200000000003</v>
      </c>
      <c r="H240" s="15">
        <f>IFERROR(IF(Yearending&gt;B239,'5. Historical demand'!F240-'5. Historical demand'!C240-'5. Historical demand'!D240,""),"")</f>
        <v>220</v>
      </c>
      <c r="I240" s="15">
        <f t="shared" si="11"/>
        <v>491.92200000000003</v>
      </c>
    </row>
    <row r="241" spans="2:9" x14ac:dyDescent="0.2">
      <c r="B241" s="157">
        <f t="shared" si="9"/>
        <v>45672</v>
      </c>
      <c r="C241" s="342">
        <v>600</v>
      </c>
      <c r="D241" s="342"/>
      <c r="E241" s="342">
        <v>104.977</v>
      </c>
      <c r="F241" s="342">
        <v>820</v>
      </c>
      <c r="G241" s="15">
        <f t="shared" si="10"/>
        <v>715.02300000000002</v>
      </c>
      <c r="H241" s="15">
        <f>IFERROR(IF(Yearending&gt;B240,'5. Historical demand'!F241-'5. Historical demand'!C241-'5. Historical demand'!D241,""),"")</f>
        <v>220</v>
      </c>
      <c r="I241" s="15">
        <f t="shared" si="11"/>
        <v>495.02300000000002</v>
      </c>
    </row>
    <row r="242" spans="2:9" x14ac:dyDescent="0.2">
      <c r="B242" s="157">
        <f t="shared" si="9"/>
        <v>45673</v>
      </c>
      <c r="C242" s="342">
        <v>600</v>
      </c>
      <c r="D242" s="342"/>
      <c r="E242" s="342">
        <v>104.029</v>
      </c>
      <c r="F242" s="342">
        <v>820</v>
      </c>
      <c r="G242" s="15">
        <f t="shared" si="10"/>
        <v>715.971</v>
      </c>
      <c r="H242" s="15">
        <f>IFERROR(IF(Yearending&gt;B241,'5. Historical demand'!F242-'5. Historical demand'!C242-'5. Historical demand'!D242,""),"")</f>
        <v>220</v>
      </c>
      <c r="I242" s="15">
        <f t="shared" si="11"/>
        <v>495.971</v>
      </c>
    </row>
    <row r="243" spans="2:9" x14ac:dyDescent="0.2">
      <c r="B243" s="157">
        <f t="shared" si="9"/>
        <v>45674</v>
      </c>
      <c r="C243" s="342">
        <v>600</v>
      </c>
      <c r="D243" s="342"/>
      <c r="E243" s="342">
        <v>103.97199999999999</v>
      </c>
      <c r="F243" s="342">
        <v>820</v>
      </c>
      <c r="G243" s="15">
        <f t="shared" si="10"/>
        <v>716.02800000000002</v>
      </c>
      <c r="H243" s="15">
        <f>IFERROR(IF(Yearending&gt;B242,'5. Historical demand'!F243-'5. Historical demand'!C243-'5. Historical demand'!D243,""),"")</f>
        <v>220</v>
      </c>
      <c r="I243" s="15">
        <f t="shared" si="11"/>
        <v>496.02800000000002</v>
      </c>
    </row>
    <row r="244" spans="2:9" x14ac:dyDescent="0.2">
      <c r="B244" s="157">
        <f t="shared" si="9"/>
        <v>45675</v>
      </c>
      <c r="C244" s="342">
        <v>600</v>
      </c>
      <c r="D244" s="342"/>
      <c r="E244" s="342">
        <v>102.676</v>
      </c>
      <c r="F244" s="342">
        <v>820</v>
      </c>
      <c r="G244" s="15">
        <f t="shared" si="10"/>
        <v>717.32399999999996</v>
      </c>
      <c r="H244" s="15">
        <f>IFERROR(IF(Yearending&gt;B243,'5. Historical demand'!F244-'5. Historical demand'!C244-'5. Historical demand'!D244,""),"")</f>
        <v>220</v>
      </c>
      <c r="I244" s="15">
        <f t="shared" si="11"/>
        <v>497.32400000000001</v>
      </c>
    </row>
    <row r="245" spans="2:9" x14ac:dyDescent="0.2">
      <c r="B245" s="157">
        <f t="shared" si="9"/>
        <v>45676</v>
      </c>
      <c r="C245" s="342">
        <v>600</v>
      </c>
      <c r="D245" s="342"/>
      <c r="E245" s="342">
        <v>97.971000000000004</v>
      </c>
      <c r="F245" s="342">
        <v>820</v>
      </c>
      <c r="G245" s="15">
        <f t="shared" si="10"/>
        <v>722.029</v>
      </c>
      <c r="H245" s="15">
        <f>IFERROR(IF(Yearending&gt;B244,'5. Historical demand'!F245-'5. Historical demand'!C245-'5. Historical demand'!D245,""),"")</f>
        <v>220</v>
      </c>
      <c r="I245" s="15">
        <f t="shared" si="11"/>
        <v>502.029</v>
      </c>
    </row>
    <row r="246" spans="2:9" x14ac:dyDescent="0.2">
      <c r="B246" s="157">
        <f t="shared" si="9"/>
        <v>45677</v>
      </c>
      <c r="C246" s="342">
        <v>600</v>
      </c>
      <c r="D246" s="342"/>
      <c r="E246" s="342">
        <v>95.674999999999997</v>
      </c>
      <c r="F246" s="342">
        <v>820</v>
      </c>
      <c r="G246" s="15">
        <f t="shared" si="10"/>
        <v>724.32500000000005</v>
      </c>
      <c r="H246" s="15">
        <f>IFERROR(IF(Yearending&gt;B245,'5. Historical demand'!F246-'5. Historical demand'!C246-'5. Historical demand'!D246,""),"")</f>
        <v>220</v>
      </c>
      <c r="I246" s="15">
        <f t="shared" si="11"/>
        <v>504.32499999999999</v>
      </c>
    </row>
    <row r="247" spans="2:9" x14ac:dyDescent="0.2">
      <c r="B247" s="157">
        <f t="shared" si="9"/>
        <v>45678</v>
      </c>
      <c r="C247" s="342">
        <v>600</v>
      </c>
      <c r="D247" s="342"/>
      <c r="E247" s="342">
        <v>95.465999999999994</v>
      </c>
      <c r="F247" s="342">
        <v>820</v>
      </c>
      <c r="G247" s="15">
        <f t="shared" si="10"/>
        <v>724.53399999999999</v>
      </c>
      <c r="H247" s="15">
        <f>IFERROR(IF(Yearending&gt;B246,'5. Historical demand'!F247-'5. Historical demand'!C247-'5. Historical demand'!D247,""),"")</f>
        <v>220</v>
      </c>
      <c r="I247" s="15">
        <f t="shared" si="11"/>
        <v>504.53399999999999</v>
      </c>
    </row>
    <row r="248" spans="2:9" x14ac:dyDescent="0.2">
      <c r="B248" s="157">
        <f t="shared" si="9"/>
        <v>45679</v>
      </c>
      <c r="C248" s="342">
        <v>600</v>
      </c>
      <c r="D248" s="342"/>
      <c r="E248" s="342">
        <v>95.412000000000006</v>
      </c>
      <c r="F248" s="342">
        <v>820</v>
      </c>
      <c r="G248" s="15">
        <f t="shared" si="10"/>
        <v>724.58799999999997</v>
      </c>
      <c r="H248" s="15">
        <f>IFERROR(IF(Yearending&gt;B247,'5. Historical demand'!F248-'5. Historical demand'!C248-'5. Historical demand'!D248,""),"")</f>
        <v>220</v>
      </c>
      <c r="I248" s="15">
        <f t="shared" si="11"/>
        <v>504.58799999999997</v>
      </c>
    </row>
    <row r="249" spans="2:9" x14ac:dyDescent="0.2">
      <c r="B249" s="157">
        <f t="shared" si="9"/>
        <v>45680</v>
      </c>
      <c r="C249" s="342">
        <v>600</v>
      </c>
      <c r="D249" s="342"/>
      <c r="E249" s="342">
        <v>94.617999999999995</v>
      </c>
      <c r="F249" s="342">
        <v>820</v>
      </c>
      <c r="G249" s="15">
        <f t="shared" si="10"/>
        <v>725.38200000000006</v>
      </c>
      <c r="H249" s="15">
        <f>IFERROR(IF(Yearending&gt;B248,'5. Historical demand'!F249-'5. Historical demand'!C249-'5. Historical demand'!D249,""),"")</f>
        <v>220</v>
      </c>
      <c r="I249" s="15">
        <f t="shared" si="11"/>
        <v>505.38200000000001</v>
      </c>
    </row>
    <row r="250" spans="2:9" x14ac:dyDescent="0.2">
      <c r="B250" s="157">
        <f t="shared" si="9"/>
        <v>45681</v>
      </c>
      <c r="C250" s="342">
        <v>600</v>
      </c>
      <c r="D250" s="342"/>
      <c r="E250" s="342">
        <v>90.805999999999997</v>
      </c>
      <c r="F250" s="342">
        <v>820</v>
      </c>
      <c r="G250" s="15">
        <f t="shared" si="10"/>
        <v>729.19399999999996</v>
      </c>
      <c r="H250" s="15">
        <f>IFERROR(IF(Yearending&gt;B249,'5. Historical demand'!F250-'5. Historical demand'!C250-'5. Historical demand'!D250,""),"")</f>
        <v>220</v>
      </c>
      <c r="I250" s="15">
        <f t="shared" si="11"/>
        <v>509.19400000000002</v>
      </c>
    </row>
    <row r="251" spans="2:9" x14ac:dyDescent="0.2">
      <c r="B251" s="157">
        <f t="shared" si="9"/>
        <v>45682</v>
      </c>
      <c r="C251" s="342">
        <v>600</v>
      </c>
      <c r="D251" s="342"/>
      <c r="E251" s="342">
        <v>92.911000000000001</v>
      </c>
      <c r="F251" s="342">
        <v>820</v>
      </c>
      <c r="G251" s="15">
        <f t="shared" si="10"/>
        <v>727.08899999999994</v>
      </c>
      <c r="H251" s="15">
        <f>IFERROR(IF(Yearending&gt;B250,'5. Historical demand'!F251-'5. Historical demand'!C251-'5. Historical demand'!D251,""),"")</f>
        <v>220</v>
      </c>
      <c r="I251" s="15">
        <f t="shared" si="11"/>
        <v>507.089</v>
      </c>
    </row>
    <row r="252" spans="2:9" x14ac:dyDescent="0.2">
      <c r="B252" s="157">
        <f t="shared" si="9"/>
        <v>45683</v>
      </c>
      <c r="C252" s="342">
        <v>600</v>
      </c>
      <c r="D252" s="342"/>
      <c r="E252" s="342">
        <v>81.926000000000002</v>
      </c>
      <c r="F252" s="342">
        <v>820</v>
      </c>
      <c r="G252" s="15">
        <f t="shared" si="10"/>
        <v>738.07399999999996</v>
      </c>
      <c r="H252" s="15">
        <f>IFERROR(IF(Yearending&gt;B251,'5. Historical demand'!F252-'5. Historical demand'!C252-'5. Historical demand'!D252,""),"")</f>
        <v>220</v>
      </c>
      <c r="I252" s="15">
        <f t="shared" si="11"/>
        <v>518.07399999999996</v>
      </c>
    </row>
    <row r="253" spans="2:9" x14ac:dyDescent="0.2">
      <c r="B253" s="157">
        <f t="shared" si="9"/>
        <v>45684</v>
      </c>
      <c r="C253" s="342">
        <v>600</v>
      </c>
      <c r="D253" s="342"/>
      <c r="E253" s="342">
        <v>95.801000000000002</v>
      </c>
      <c r="F253" s="342">
        <v>820</v>
      </c>
      <c r="G253" s="15">
        <f t="shared" si="10"/>
        <v>724.19899999999996</v>
      </c>
      <c r="H253" s="15">
        <f>IFERROR(IF(Yearending&gt;B252,'5. Historical demand'!F253-'5. Historical demand'!C253-'5. Historical demand'!D253,""),"")</f>
        <v>220</v>
      </c>
      <c r="I253" s="15">
        <f t="shared" si="11"/>
        <v>504.19900000000001</v>
      </c>
    </row>
    <row r="254" spans="2:9" x14ac:dyDescent="0.2">
      <c r="B254" s="157">
        <f t="shared" si="9"/>
        <v>45685</v>
      </c>
      <c r="C254" s="342">
        <v>600</v>
      </c>
      <c r="D254" s="342"/>
      <c r="E254" s="342">
        <v>101.29900000000001</v>
      </c>
      <c r="F254" s="342">
        <v>820</v>
      </c>
      <c r="G254" s="15">
        <f t="shared" si="10"/>
        <v>718.70100000000002</v>
      </c>
      <c r="H254" s="15">
        <f>IFERROR(IF(Yearending&gt;B253,'5. Historical demand'!F254-'5. Historical demand'!C254-'5. Historical demand'!D254,""),"")</f>
        <v>220</v>
      </c>
      <c r="I254" s="15">
        <f t="shared" si="11"/>
        <v>498.70100000000002</v>
      </c>
    </row>
    <row r="255" spans="2:9" x14ac:dyDescent="0.2">
      <c r="B255" s="157">
        <f t="shared" si="9"/>
        <v>45686</v>
      </c>
      <c r="C255" s="342">
        <v>600</v>
      </c>
      <c r="D255" s="342"/>
      <c r="E255" s="342">
        <v>99.43</v>
      </c>
      <c r="F255" s="342">
        <v>820</v>
      </c>
      <c r="G255" s="15">
        <f t="shared" si="10"/>
        <v>720.56999999999994</v>
      </c>
      <c r="H255" s="15">
        <f>IFERROR(IF(Yearending&gt;B254,'5. Historical demand'!F255-'5. Historical demand'!C255-'5. Historical demand'!D255,""),"")</f>
        <v>220</v>
      </c>
      <c r="I255" s="15">
        <f t="shared" si="11"/>
        <v>500.57</v>
      </c>
    </row>
    <row r="256" spans="2:9" x14ac:dyDescent="0.2">
      <c r="B256" s="157">
        <f t="shared" si="9"/>
        <v>45687</v>
      </c>
      <c r="C256" s="342">
        <v>600</v>
      </c>
      <c r="D256" s="342"/>
      <c r="E256" s="342">
        <v>99.43</v>
      </c>
      <c r="F256" s="342">
        <v>820</v>
      </c>
      <c r="G256" s="15">
        <f t="shared" si="10"/>
        <v>720.56999999999994</v>
      </c>
      <c r="H256" s="15">
        <f>IFERROR(IF(Yearending&gt;B255,'5. Historical demand'!F256-'5. Historical demand'!C256-'5. Historical demand'!D256,""),"")</f>
        <v>220</v>
      </c>
      <c r="I256" s="15">
        <f t="shared" si="11"/>
        <v>500.57</v>
      </c>
    </row>
    <row r="257" spans="2:9" x14ac:dyDescent="0.2">
      <c r="B257" s="157">
        <f t="shared" si="9"/>
        <v>45688</v>
      </c>
      <c r="C257" s="342">
        <v>600</v>
      </c>
      <c r="D257" s="342"/>
      <c r="E257" s="342">
        <v>101.322</v>
      </c>
      <c r="F257" s="342">
        <v>820</v>
      </c>
      <c r="G257" s="15">
        <f t="shared" si="10"/>
        <v>718.678</v>
      </c>
      <c r="H257" s="15">
        <f>IFERROR(IF(Yearending&gt;B256,'5. Historical demand'!F257-'5. Historical demand'!C257-'5. Historical demand'!D257,""),"")</f>
        <v>220</v>
      </c>
      <c r="I257" s="15">
        <f t="shared" si="11"/>
        <v>498.678</v>
      </c>
    </row>
    <row r="258" spans="2:9" x14ac:dyDescent="0.2">
      <c r="B258" s="157">
        <f t="shared" si="9"/>
        <v>45689</v>
      </c>
      <c r="C258" s="342">
        <v>600</v>
      </c>
      <c r="D258" s="342"/>
      <c r="E258" s="342">
        <v>101.322</v>
      </c>
      <c r="F258" s="342">
        <v>820</v>
      </c>
      <c r="G258" s="15">
        <f t="shared" si="10"/>
        <v>718.678</v>
      </c>
      <c r="H258" s="15">
        <f>IFERROR(IF(Yearending&gt;B257,'5. Historical demand'!F258-'5. Historical demand'!C258-'5. Historical demand'!D258,""),"")</f>
        <v>220</v>
      </c>
      <c r="I258" s="15">
        <f t="shared" si="11"/>
        <v>498.678</v>
      </c>
    </row>
    <row r="259" spans="2:9" x14ac:dyDescent="0.2">
      <c r="B259" s="157">
        <f t="shared" si="9"/>
        <v>45690</v>
      </c>
      <c r="C259" s="342">
        <v>600</v>
      </c>
      <c r="D259" s="342"/>
      <c r="E259" s="342">
        <v>101.322</v>
      </c>
      <c r="F259" s="342">
        <v>820</v>
      </c>
      <c r="G259" s="15">
        <f t="shared" si="10"/>
        <v>718.678</v>
      </c>
      <c r="H259" s="15">
        <f>IFERROR(IF(Yearending&gt;B258,'5. Historical demand'!F259-'5. Historical demand'!C259-'5. Historical demand'!D259,""),"")</f>
        <v>220</v>
      </c>
      <c r="I259" s="15">
        <f t="shared" si="11"/>
        <v>498.678</v>
      </c>
    </row>
    <row r="260" spans="2:9" x14ac:dyDescent="0.2">
      <c r="B260" s="157">
        <f t="shared" si="9"/>
        <v>45691</v>
      </c>
      <c r="C260" s="342">
        <v>600</v>
      </c>
      <c r="D260" s="342"/>
      <c r="E260" s="342">
        <v>94.819000000000003</v>
      </c>
      <c r="F260" s="342">
        <v>820</v>
      </c>
      <c r="G260" s="15">
        <f t="shared" si="10"/>
        <v>725.18100000000004</v>
      </c>
      <c r="H260" s="15">
        <f>IFERROR(IF(Yearending&gt;B259,'5. Historical demand'!F260-'5. Historical demand'!C260-'5. Historical demand'!D260,""),"")</f>
        <v>220</v>
      </c>
      <c r="I260" s="15">
        <f t="shared" si="11"/>
        <v>505.18099999999998</v>
      </c>
    </row>
    <row r="261" spans="2:9" x14ac:dyDescent="0.2">
      <c r="B261" s="157">
        <f t="shared" si="9"/>
        <v>45692</v>
      </c>
      <c r="C261" s="342">
        <v>600</v>
      </c>
      <c r="D261" s="342"/>
      <c r="E261" s="342">
        <v>100.65900000000001</v>
      </c>
      <c r="F261" s="342">
        <v>820</v>
      </c>
      <c r="G261" s="15">
        <f t="shared" si="10"/>
        <v>719.34100000000001</v>
      </c>
      <c r="H261" s="15">
        <f>IFERROR(IF(Yearending&gt;B260,'5. Historical demand'!F261-'5. Historical demand'!C261-'5. Historical demand'!D261,""),"")</f>
        <v>220</v>
      </c>
      <c r="I261" s="15">
        <f t="shared" si="11"/>
        <v>499.34100000000001</v>
      </c>
    </row>
    <row r="262" spans="2:9" x14ac:dyDescent="0.2">
      <c r="B262" s="157">
        <f t="shared" si="9"/>
        <v>45693</v>
      </c>
      <c r="C262" s="342">
        <v>600</v>
      </c>
      <c r="D262" s="342"/>
      <c r="E262" s="342">
        <v>104.355</v>
      </c>
      <c r="F262" s="342">
        <v>820</v>
      </c>
      <c r="G262" s="15">
        <f t="shared" si="10"/>
        <v>715.64499999999998</v>
      </c>
      <c r="H262" s="15">
        <f>IFERROR(IF(Yearending&gt;B261,'5. Historical demand'!F262-'5. Historical demand'!C262-'5. Historical demand'!D262,""),"")</f>
        <v>220</v>
      </c>
      <c r="I262" s="15">
        <f t="shared" si="11"/>
        <v>495.64499999999998</v>
      </c>
    </row>
    <row r="263" spans="2:9" x14ac:dyDescent="0.2">
      <c r="B263" s="157">
        <f t="shared" si="9"/>
        <v>45694</v>
      </c>
      <c r="C263" s="342">
        <v>600</v>
      </c>
      <c r="D263" s="342"/>
      <c r="E263" s="342">
        <v>50.521999999999998</v>
      </c>
      <c r="F263" s="342">
        <v>820</v>
      </c>
      <c r="G263" s="15">
        <f t="shared" si="10"/>
        <v>769.47799999999995</v>
      </c>
      <c r="H263" s="15">
        <f>IFERROR(IF(Yearending&gt;B262,'5. Historical demand'!F263-'5. Historical demand'!C263-'5. Historical demand'!D263,""),"")</f>
        <v>220</v>
      </c>
      <c r="I263" s="15">
        <f t="shared" si="11"/>
        <v>549.47799999999995</v>
      </c>
    </row>
    <row r="264" spans="2:9" x14ac:dyDescent="0.2">
      <c r="B264" s="157">
        <f t="shared" si="9"/>
        <v>45695</v>
      </c>
      <c r="C264" s="342">
        <v>600</v>
      </c>
      <c r="D264" s="342"/>
      <c r="E264" s="342">
        <v>81.447999999999993</v>
      </c>
      <c r="F264" s="342">
        <v>820</v>
      </c>
      <c r="G264" s="15">
        <f t="shared" si="10"/>
        <v>738.55200000000002</v>
      </c>
      <c r="H264" s="15">
        <f>IFERROR(IF(Yearending&gt;B263,'5. Historical demand'!F264-'5. Historical demand'!C264-'5. Historical demand'!D264,""),"")</f>
        <v>220</v>
      </c>
      <c r="I264" s="15">
        <f t="shared" si="11"/>
        <v>518.55200000000002</v>
      </c>
    </row>
    <row r="265" spans="2:9" x14ac:dyDescent="0.2">
      <c r="B265" s="157">
        <f t="shared" si="9"/>
        <v>45696</v>
      </c>
      <c r="C265" s="342">
        <v>600</v>
      </c>
      <c r="D265" s="342"/>
      <c r="E265" s="342">
        <v>74.046999999999997</v>
      </c>
      <c r="F265" s="342">
        <v>820</v>
      </c>
      <c r="G265" s="15">
        <f t="shared" si="10"/>
        <v>745.95299999999997</v>
      </c>
      <c r="H265" s="15">
        <f>IFERROR(IF(Yearending&gt;B264,'5. Historical demand'!F265-'5. Historical demand'!C265-'5. Historical demand'!D265,""),"")</f>
        <v>220</v>
      </c>
      <c r="I265" s="15">
        <f t="shared" si="11"/>
        <v>525.95299999999997</v>
      </c>
    </row>
    <row r="266" spans="2:9" x14ac:dyDescent="0.2">
      <c r="B266" s="157">
        <f t="shared" si="9"/>
        <v>45697</v>
      </c>
      <c r="C266" s="342">
        <v>600</v>
      </c>
      <c r="D266" s="342"/>
      <c r="E266" s="342">
        <v>74.049000000000007</v>
      </c>
      <c r="F266" s="342">
        <v>820</v>
      </c>
      <c r="G266" s="15">
        <f t="shared" si="10"/>
        <v>745.95100000000002</v>
      </c>
      <c r="H266" s="15">
        <f>IFERROR(IF(Yearending&gt;B265,'5. Historical demand'!F266-'5. Historical demand'!C266-'5. Historical demand'!D266,""),"")</f>
        <v>220</v>
      </c>
      <c r="I266" s="15">
        <f t="shared" si="11"/>
        <v>525.95100000000002</v>
      </c>
    </row>
    <row r="267" spans="2:9" x14ac:dyDescent="0.2">
      <c r="B267" s="157">
        <f t="shared" si="9"/>
        <v>45698</v>
      </c>
      <c r="C267" s="342">
        <v>600</v>
      </c>
      <c r="D267" s="342"/>
      <c r="E267" s="342">
        <v>72.641999999999996</v>
      </c>
      <c r="F267" s="342">
        <v>820</v>
      </c>
      <c r="G267" s="15">
        <f t="shared" si="10"/>
        <v>747.35799999999995</v>
      </c>
      <c r="H267" s="15">
        <f>IFERROR(IF(Yearending&gt;B266,'5. Historical demand'!F267-'5. Historical demand'!C267-'5. Historical demand'!D267,""),"")</f>
        <v>220</v>
      </c>
      <c r="I267" s="15">
        <f t="shared" si="11"/>
        <v>527.35799999999995</v>
      </c>
    </row>
    <row r="268" spans="2:9" x14ac:dyDescent="0.2">
      <c r="B268" s="157">
        <f t="shared" si="9"/>
        <v>45699</v>
      </c>
      <c r="C268" s="342">
        <v>600</v>
      </c>
      <c r="D268" s="342"/>
      <c r="E268" s="342">
        <v>74.631</v>
      </c>
      <c r="F268" s="342">
        <v>820</v>
      </c>
      <c r="G268" s="15">
        <f t="shared" si="10"/>
        <v>745.36900000000003</v>
      </c>
      <c r="H268" s="15">
        <f>IFERROR(IF(Yearending&gt;B267,'5. Historical demand'!F268-'5. Historical demand'!C268-'5. Historical demand'!D268,""),"")</f>
        <v>220</v>
      </c>
      <c r="I268" s="15">
        <f t="shared" si="11"/>
        <v>525.36900000000003</v>
      </c>
    </row>
    <row r="269" spans="2:9" x14ac:dyDescent="0.2">
      <c r="B269" s="157">
        <f t="shared" si="9"/>
        <v>45700</v>
      </c>
      <c r="C269" s="342">
        <v>600</v>
      </c>
      <c r="D269" s="342"/>
      <c r="E269" s="342">
        <v>77.644000000000005</v>
      </c>
      <c r="F269" s="342">
        <v>820</v>
      </c>
      <c r="G269" s="15">
        <f t="shared" si="10"/>
        <v>742.35599999999999</v>
      </c>
      <c r="H269" s="15">
        <f>IFERROR(IF(Yearending&gt;B268,'5. Historical demand'!F269-'5. Historical demand'!C269-'5. Historical demand'!D269,""),"")</f>
        <v>220</v>
      </c>
      <c r="I269" s="15">
        <f t="shared" si="11"/>
        <v>522.35599999999999</v>
      </c>
    </row>
    <row r="270" spans="2:9" x14ac:dyDescent="0.2">
      <c r="B270" s="157">
        <f t="shared" si="9"/>
        <v>45701</v>
      </c>
      <c r="C270" s="342">
        <v>600</v>
      </c>
      <c r="D270" s="342"/>
      <c r="E270" s="342">
        <v>102.434</v>
      </c>
      <c r="F270" s="342">
        <v>820</v>
      </c>
      <c r="G270" s="15">
        <f t="shared" si="10"/>
        <v>717.56600000000003</v>
      </c>
      <c r="H270" s="15">
        <f>IFERROR(IF(Yearending&gt;B269,'5. Historical demand'!F270-'5. Historical demand'!C270-'5. Historical demand'!D270,""),"")</f>
        <v>220</v>
      </c>
      <c r="I270" s="15">
        <f t="shared" si="11"/>
        <v>497.56600000000003</v>
      </c>
    </row>
    <row r="271" spans="2:9" x14ac:dyDescent="0.2">
      <c r="B271" s="157">
        <f t="shared" si="9"/>
        <v>45702</v>
      </c>
      <c r="C271" s="342">
        <v>600</v>
      </c>
      <c r="D271" s="342"/>
      <c r="E271" s="342">
        <v>77.340999999999994</v>
      </c>
      <c r="F271" s="342">
        <v>820</v>
      </c>
      <c r="G271" s="15">
        <f t="shared" si="10"/>
        <v>742.65899999999999</v>
      </c>
      <c r="H271" s="15">
        <f>IFERROR(IF(Yearending&gt;B270,'5. Historical demand'!F271-'5. Historical demand'!C271-'5. Historical demand'!D271,""),"")</f>
        <v>220</v>
      </c>
      <c r="I271" s="15">
        <f t="shared" si="11"/>
        <v>522.65899999999999</v>
      </c>
    </row>
    <row r="272" spans="2:9" x14ac:dyDescent="0.2">
      <c r="B272" s="157">
        <f t="shared" si="9"/>
        <v>45703</v>
      </c>
      <c r="C272" s="342">
        <v>600</v>
      </c>
      <c r="D272" s="342"/>
      <c r="E272" s="342">
        <v>70.849000000000004</v>
      </c>
      <c r="F272" s="342">
        <v>820</v>
      </c>
      <c r="G272" s="15">
        <f t="shared" si="10"/>
        <v>749.15099999999995</v>
      </c>
      <c r="H272" s="15">
        <f>IFERROR(IF(Yearending&gt;B271,'5. Historical demand'!F272-'5. Historical demand'!C272-'5. Historical demand'!D272,""),"")</f>
        <v>220</v>
      </c>
      <c r="I272" s="15">
        <f t="shared" si="11"/>
        <v>529.15099999999995</v>
      </c>
    </row>
    <row r="273" spans="2:9" x14ac:dyDescent="0.2">
      <c r="B273" s="157">
        <f t="shared" si="9"/>
        <v>45704</v>
      </c>
      <c r="C273" s="342">
        <v>600</v>
      </c>
      <c r="D273" s="342"/>
      <c r="E273" s="342">
        <v>67.852999999999994</v>
      </c>
      <c r="F273" s="342">
        <v>820</v>
      </c>
      <c r="G273" s="15">
        <f t="shared" si="10"/>
        <v>752.14700000000005</v>
      </c>
      <c r="H273" s="15">
        <f>IFERROR(IF(Yearending&gt;B272,'5. Historical demand'!F273-'5. Historical demand'!C273-'5. Historical demand'!D273,""),"")</f>
        <v>220</v>
      </c>
      <c r="I273" s="15">
        <f t="shared" si="11"/>
        <v>532.14700000000005</v>
      </c>
    </row>
    <row r="274" spans="2:9" x14ac:dyDescent="0.2">
      <c r="B274" s="157">
        <f t="shared" si="9"/>
        <v>45705</v>
      </c>
      <c r="C274" s="342">
        <v>600</v>
      </c>
      <c r="D274" s="342"/>
      <c r="E274" s="342">
        <v>38.18</v>
      </c>
      <c r="F274" s="342">
        <v>820</v>
      </c>
      <c r="G274" s="15">
        <f t="shared" si="10"/>
        <v>781.82</v>
      </c>
      <c r="H274" s="15">
        <f>IFERROR(IF(Yearending&gt;B273,'5. Historical demand'!F274-'5. Historical demand'!C274-'5. Historical demand'!D274,""),"")</f>
        <v>220</v>
      </c>
      <c r="I274" s="15">
        <f t="shared" si="11"/>
        <v>561.82000000000005</v>
      </c>
    </row>
    <row r="275" spans="2:9" x14ac:dyDescent="0.2">
      <c r="B275" s="157">
        <f t="shared" si="9"/>
        <v>45706</v>
      </c>
      <c r="C275" s="342">
        <v>600</v>
      </c>
      <c r="D275" s="342"/>
      <c r="E275" s="342">
        <v>49.174999999999997</v>
      </c>
      <c r="F275" s="342">
        <v>820</v>
      </c>
      <c r="G275" s="15">
        <f t="shared" si="10"/>
        <v>770.82500000000005</v>
      </c>
      <c r="H275" s="15">
        <f>IFERROR(IF(Yearending&gt;B274,'5. Historical demand'!F275-'5. Historical demand'!C275-'5. Historical demand'!D275,""),"")</f>
        <v>220</v>
      </c>
      <c r="I275" s="15">
        <f t="shared" si="11"/>
        <v>550.82500000000005</v>
      </c>
    </row>
    <row r="276" spans="2:9" x14ac:dyDescent="0.2">
      <c r="B276" s="157">
        <f t="shared" si="9"/>
        <v>45707</v>
      </c>
      <c r="C276" s="342">
        <v>600</v>
      </c>
      <c r="D276" s="342"/>
      <c r="E276" s="342">
        <v>51.366</v>
      </c>
      <c r="F276" s="342">
        <v>820</v>
      </c>
      <c r="G276" s="15">
        <f t="shared" si="10"/>
        <v>768.63400000000001</v>
      </c>
      <c r="H276" s="15">
        <f>IFERROR(IF(Yearending&gt;B275,'5. Historical demand'!F276-'5. Historical demand'!C276-'5. Historical demand'!D276,""),"")</f>
        <v>220</v>
      </c>
      <c r="I276" s="15">
        <f t="shared" si="11"/>
        <v>548.63400000000001</v>
      </c>
    </row>
    <row r="277" spans="2:9" x14ac:dyDescent="0.2">
      <c r="B277" s="157">
        <f t="shared" si="9"/>
        <v>45708</v>
      </c>
      <c r="C277" s="342">
        <v>600</v>
      </c>
      <c r="D277" s="342"/>
      <c r="E277" s="342">
        <v>61.674999999999997</v>
      </c>
      <c r="F277" s="342">
        <v>820</v>
      </c>
      <c r="G277" s="15">
        <f t="shared" si="10"/>
        <v>758.32500000000005</v>
      </c>
      <c r="H277" s="15">
        <f>IFERROR(IF(Yearending&gt;B276,'5. Historical demand'!F277-'5. Historical demand'!C277-'5. Historical demand'!D277,""),"")</f>
        <v>220</v>
      </c>
      <c r="I277" s="15">
        <f t="shared" si="11"/>
        <v>538.32500000000005</v>
      </c>
    </row>
    <row r="278" spans="2:9" x14ac:dyDescent="0.2">
      <c r="B278" s="157">
        <f t="shared" si="9"/>
        <v>45709</v>
      </c>
      <c r="C278" s="342">
        <v>600</v>
      </c>
      <c r="D278" s="342"/>
      <c r="E278" s="342">
        <v>79.197000000000003</v>
      </c>
      <c r="F278" s="342">
        <v>820</v>
      </c>
      <c r="G278" s="15">
        <f t="shared" si="10"/>
        <v>740.803</v>
      </c>
      <c r="H278" s="15">
        <f>IFERROR(IF(Yearending&gt;B277,'5. Historical demand'!F278-'5. Historical demand'!C278-'5. Historical demand'!D278,""),"")</f>
        <v>220</v>
      </c>
      <c r="I278" s="15">
        <f t="shared" si="11"/>
        <v>520.803</v>
      </c>
    </row>
    <row r="279" spans="2:9" x14ac:dyDescent="0.2">
      <c r="B279" s="157">
        <f t="shared" si="9"/>
        <v>45710</v>
      </c>
      <c r="C279" s="342">
        <v>600</v>
      </c>
      <c r="D279" s="342"/>
      <c r="E279" s="342">
        <v>56.76</v>
      </c>
      <c r="F279" s="342">
        <v>820</v>
      </c>
      <c r="G279" s="15">
        <f t="shared" si="10"/>
        <v>763.24</v>
      </c>
      <c r="H279" s="15">
        <f>IFERROR(IF(Yearending&gt;B278,'5. Historical demand'!F279-'5. Historical demand'!C279-'5. Historical demand'!D279,""),"")</f>
        <v>220</v>
      </c>
      <c r="I279" s="15">
        <f t="shared" si="11"/>
        <v>543.24</v>
      </c>
    </row>
    <row r="280" spans="2:9" x14ac:dyDescent="0.2">
      <c r="B280" s="157">
        <f t="shared" si="9"/>
        <v>45711</v>
      </c>
      <c r="C280" s="342">
        <v>600</v>
      </c>
      <c r="D280" s="342"/>
      <c r="E280" s="342">
        <v>59.682000000000002</v>
      </c>
      <c r="F280" s="342">
        <v>820</v>
      </c>
      <c r="G280" s="15">
        <f t="shared" si="10"/>
        <v>760.31799999999998</v>
      </c>
      <c r="H280" s="15">
        <f>IFERROR(IF(Yearending&gt;B279,'5. Historical demand'!F280-'5. Historical demand'!C280-'5. Historical demand'!D280,""),"")</f>
        <v>220</v>
      </c>
      <c r="I280" s="15">
        <f t="shared" si="11"/>
        <v>540.31799999999998</v>
      </c>
    </row>
    <row r="281" spans="2:9" x14ac:dyDescent="0.2">
      <c r="B281" s="157">
        <f t="shared" si="9"/>
        <v>45712</v>
      </c>
      <c r="C281" s="342">
        <v>600</v>
      </c>
      <c r="D281" s="342"/>
      <c r="E281" s="342">
        <v>77.701999999999998</v>
      </c>
      <c r="F281" s="342">
        <v>820</v>
      </c>
      <c r="G281" s="15">
        <f t="shared" si="10"/>
        <v>742.298</v>
      </c>
      <c r="H281" s="15">
        <f>IFERROR(IF(Yearending&gt;B280,'5. Historical demand'!F281-'5. Historical demand'!C281-'5. Historical demand'!D281,""),"")</f>
        <v>220</v>
      </c>
      <c r="I281" s="15">
        <f t="shared" si="11"/>
        <v>522.298</v>
      </c>
    </row>
    <row r="282" spans="2:9" x14ac:dyDescent="0.2">
      <c r="B282" s="157">
        <f t="shared" si="9"/>
        <v>45713</v>
      </c>
      <c r="C282" s="342">
        <v>600</v>
      </c>
      <c r="D282" s="342"/>
      <c r="E282" s="342">
        <v>116.66500000000001</v>
      </c>
      <c r="F282" s="342">
        <v>820</v>
      </c>
      <c r="G282" s="15">
        <f t="shared" si="10"/>
        <v>703.33500000000004</v>
      </c>
      <c r="H282" s="15">
        <f>IFERROR(IF(Yearending&gt;B281,'5. Historical demand'!F282-'5. Historical demand'!C282-'5. Historical demand'!D282,""),"")</f>
        <v>220</v>
      </c>
      <c r="I282" s="15">
        <f t="shared" si="11"/>
        <v>483.33499999999998</v>
      </c>
    </row>
    <row r="283" spans="2:9" x14ac:dyDescent="0.2">
      <c r="B283" s="157">
        <f t="shared" si="9"/>
        <v>45714</v>
      </c>
      <c r="C283" s="342">
        <v>600</v>
      </c>
      <c r="D283" s="342"/>
      <c r="E283" s="342">
        <v>208.87</v>
      </c>
      <c r="F283" s="342">
        <v>820</v>
      </c>
      <c r="G283" s="15">
        <f t="shared" si="10"/>
        <v>611.13</v>
      </c>
      <c r="H283" s="15">
        <f>IFERROR(IF(Yearending&gt;B282,'5. Historical demand'!F283-'5. Historical demand'!C283-'5. Historical demand'!D283,""),"")</f>
        <v>220</v>
      </c>
      <c r="I283" s="15">
        <f t="shared" si="11"/>
        <v>391.13</v>
      </c>
    </row>
    <row r="284" spans="2:9" x14ac:dyDescent="0.2">
      <c r="B284" s="157">
        <f t="shared" si="9"/>
        <v>45715</v>
      </c>
      <c r="C284" s="342">
        <v>600</v>
      </c>
      <c r="D284" s="342"/>
      <c r="E284" s="342">
        <v>115.006</v>
      </c>
      <c r="F284" s="342">
        <v>820</v>
      </c>
      <c r="G284" s="15">
        <f t="shared" si="10"/>
        <v>704.99400000000003</v>
      </c>
      <c r="H284" s="15">
        <f>IFERROR(IF(Yearending&gt;B283,'5. Historical demand'!F284-'5. Historical demand'!C284-'5. Historical demand'!D284,""),"")</f>
        <v>220</v>
      </c>
      <c r="I284" s="15">
        <f t="shared" si="11"/>
        <v>484.99400000000003</v>
      </c>
    </row>
    <row r="285" spans="2:9" x14ac:dyDescent="0.2">
      <c r="B285" s="157">
        <f t="shared" si="9"/>
        <v>45716</v>
      </c>
      <c r="C285" s="342">
        <v>600</v>
      </c>
      <c r="D285" s="342"/>
      <c r="E285" s="342">
        <v>4.6390000000000002</v>
      </c>
      <c r="F285" s="342">
        <v>820</v>
      </c>
      <c r="G285" s="15">
        <f t="shared" si="10"/>
        <v>815.36099999999999</v>
      </c>
      <c r="H285" s="15">
        <f>IFERROR(IF(Yearending&gt;B284,'5. Historical demand'!F285-'5. Historical demand'!C285-'5. Historical demand'!D285,""),"")</f>
        <v>220</v>
      </c>
      <c r="I285" s="15">
        <f t="shared" si="11"/>
        <v>595.36099999999999</v>
      </c>
    </row>
    <row r="286" spans="2:9" x14ac:dyDescent="0.2">
      <c r="B286" s="157">
        <f t="shared" si="9"/>
        <v>45717</v>
      </c>
      <c r="C286" s="342">
        <v>600</v>
      </c>
      <c r="D286" s="342"/>
      <c r="E286" s="342">
        <v>0</v>
      </c>
      <c r="F286" s="342">
        <v>820</v>
      </c>
      <c r="G286" s="15">
        <f t="shared" si="10"/>
        <v>820</v>
      </c>
      <c r="H286" s="15">
        <f>IFERROR(IF(Yearending&gt;B285,'5. Historical demand'!F286-'5. Historical demand'!C286-'5. Historical demand'!D286,""),"")</f>
        <v>220</v>
      </c>
      <c r="I286" s="15">
        <f t="shared" si="11"/>
        <v>600</v>
      </c>
    </row>
    <row r="287" spans="2:9" x14ac:dyDescent="0.2">
      <c r="B287" s="157">
        <f t="shared" si="9"/>
        <v>45718</v>
      </c>
      <c r="C287" s="342">
        <v>600</v>
      </c>
      <c r="D287" s="342"/>
      <c r="E287" s="342">
        <v>1.3919999999999999</v>
      </c>
      <c r="F287" s="342">
        <v>820</v>
      </c>
      <c r="G287" s="15">
        <f t="shared" si="10"/>
        <v>818.60799999999995</v>
      </c>
      <c r="H287" s="15">
        <f>IFERROR(IF(Yearending&gt;B286,'5. Historical demand'!F287-'5. Historical demand'!C287-'5. Historical demand'!D287,""),"")</f>
        <v>220</v>
      </c>
      <c r="I287" s="15">
        <f t="shared" si="11"/>
        <v>598.60799999999995</v>
      </c>
    </row>
    <row r="288" spans="2:9" x14ac:dyDescent="0.2">
      <c r="B288" s="157">
        <f t="shared" si="9"/>
        <v>45719</v>
      </c>
      <c r="C288" s="342">
        <v>600</v>
      </c>
      <c r="D288" s="342"/>
      <c r="E288" s="342">
        <v>0</v>
      </c>
      <c r="F288" s="342">
        <v>820</v>
      </c>
      <c r="G288" s="15">
        <f t="shared" si="10"/>
        <v>820</v>
      </c>
      <c r="H288" s="15">
        <f>IFERROR(IF(Yearending&gt;B287,'5. Historical demand'!F288-'5. Historical demand'!C288-'5. Historical demand'!D288,""),"")</f>
        <v>220</v>
      </c>
      <c r="I288" s="15">
        <f t="shared" si="11"/>
        <v>600</v>
      </c>
    </row>
    <row r="289" spans="2:9" x14ac:dyDescent="0.2">
      <c r="B289" s="157">
        <f t="shared" si="9"/>
        <v>45720</v>
      </c>
      <c r="C289" s="342">
        <v>600</v>
      </c>
      <c r="D289" s="342"/>
      <c r="E289" s="342">
        <v>87.165000000000006</v>
      </c>
      <c r="F289" s="342">
        <v>820</v>
      </c>
      <c r="G289" s="15">
        <f t="shared" si="10"/>
        <v>732.83500000000004</v>
      </c>
      <c r="H289" s="15">
        <f>IFERROR(IF(Yearending&gt;B288,'5. Historical demand'!F289-'5. Historical demand'!C289-'5. Historical demand'!D289,""),"")</f>
        <v>220</v>
      </c>
      <c r="I289" s="15">
        <f t="shared" si="11"/>
        <v>512.83500000000004</v>
      </c>
    </row>
    <row r="290" spans="2:9" x14ac:dyDescent="0.2">
      <c r="B290" s="157">
        <f t="shared" si="9"/>
        <v>45721</v>
      </c>
      <c r="C290" s="342">
        <v>600</v>
      </c>
      <c r="D290" s="342"/>
      <c r="E290" s="342">
        <v>89.52</v>
      </c>
      <c r="F290" s="342">
        <v>820</v>
      </c>
      <c r="G290" s="15">
        <f t="shared" si="10"/>
        <v>730.48</v>
      </c>
      <c r="H290" s="15">
        <f>IFERROR(IF(Yearending&gt;B289,'5. Historical demand'!F290-'5. Historical demand'!C290-'5. Historical demand'!D290,""),"")</f>
        <v>220</v>
      </c>
      <c r="I290" s="15">
        <f t="shared" si="11"/>
        <v>510.48</v>
      </c>
    </row>
    <row r="291" spans="2:9" x14ac:dyDescent="0.2">
      <c r="B291" s="157">
        <f t="shared" si="9"/>
        <v>45722</v>
      </c>
      <c r="C291" s="342">
        <v>600</v>
      </c>
      <c r="D291" s="342"/>
      <c r="E291" s="342">
        <v>89.635999999999996</v>
      </c>
      <c r="F291" s="342">
        <v>820</v>
      </c>
      <c r="G291" s="15">
        <f t="shared" si="10"/>
        <v>730.36400000000003</v>
      </c>
      <c r="H291" s="15">
        <f>IFERROR(IF(Yearending&gt;B290,'5. Historical demand'!F291-'5. Historical demand'!C291-'5. Historical demand'!D291,""),"")</f>
        <v>220</v>
      </c>
      <c r="I291" s="15">
        <f t="shared" si="11"/>
        <v>510.36400000000003</v>
      </c>
    </row>
    <row r="292" spans="2:9" x14ac:dyDescent="0.2">
      <c r="B292" s="157">
        <f t="shared" si="9"/>
        <v>45723</v>
      </c>
      <c r="C292" s="342">
        <v>600</v>
      </c>
      <c r="D292" s="342"/>
      <c r="E292" s="342">
        <v>90.664000000000001</v>
      </c>
      <c r="F292" s="342">
        <v>820</v>
      </c>
      <c r="G292" s="15">
        <f t="shared" si="10"/>
        <v>729.33600000000001</v>
      </c>
      <c r="H292" s="15">
        <f>IFERROR(IF(Yearending&gt;B291,'5. Historical demand'!F292-'5. Historical demand'!C292-'5. Historical demand'!D292,""),"")</f>
        <v>220</v>
      </c>
      <c r="I292" s="15">
        <f t="shared" si="11"/>
        <v>509.33600000000001</v>
      </c>
    </row>
    <row r="293" spans="2:9" x14ac:dyDescent="0.2">
      <c r="B293" s="157">
        <f t="shared" si="9"/>
        <v>45724</v>
      </c>
      <c r="C293" s="342">
        <v>600</v>
      </c>
      <c r="D293" s="342"/>
      <c r="E293" s="342">
        <v>95.728999999999999</v>
      </c>
      <c r="F293" s="342">
        <v>820</v>
      </c>
      <c r="G293" s="15">
        <f t="shared" si="10"/>
        <v>724.27099999999996</v>
      </c>
      <c r="H293" s="15">
        <f>IFERROR(IF(Yearending&gt;B292,'5. Historical demand'!F293-'5. Historical demand'!C293-'5. Historical demand'!D293,""),"")</f>
        <v>220</v>
      </c>
      <c r="I293" s="15">
        <f t="shared" si="11"/>
        <v>504.27100000000002</v>
      </c>
    </row>
    <row r="294" spans="2:9" x14ac:dyDescent="0.2">
      <c r="B294" s="157">
        <f t="shared" si="9"/>
        <v>45725</v>
      </c>
      <c r="C294" s="342">
        <v>600</v>
      </c>
      <c r="D294" s="342"/>
      <c r="E294" s="342">
        <v>59.84</v>
      </c>
      <c r="F294" s="342">
        <v>820</v>
      </c>
      <c r="G294" s="15">
        <f t="shared" si="10"/>
        <v>760.16</v>
      </c>
      <c r="H294" s="15">
        <f>IFERROR(IF(Yearending&gt;B293,'5. Historical demand'!F294-'5. Historical demand'!C294-'5. Historical demand'!D294,""),"")</f>
        <v>220</v>
      </c>
      <c r="I294" s="15">
        <f t="shared" si="11"/>
        <v>540.16</v>
      </c>
    </row>
    <row r="295" spans="2:9" x14ac:dyDescent="0.2">
      <c r="B295" s="157">
        <f t="shared" si="9"/>
        <v>45726</v>
      </c>
      <c r="C295" s="342">
        <v>600</v>
      </c>
      <c r="D295" s="342"/>
      <c r="E295" s="342">
        <v>47.036000000000001</v>
      </c>
      <c r="F295" s="342">
        <v>820</v>
      </c>
      <c r="G295" s="15">
        <f t="shared" si="10"/>
        <v>772.96399999999994</v>
      </c>
      <c r="H295" s="15">
        <f>IFERROR(IF(Yearending&gt;B294,'5. Historical demand'!F295-'5. Historical demand'!C295-'5. Historical demand'!D295,""),"")</f>
        <v>220</v>
      </c>
      <c r="I295" s="15">
        <f t="shared" si="11"/>
        <v>552.96399999999994</v>
      </c>
    </row>
    <row r="296" spans="2:9" x14ac:dyDescent="0.2">
      <c r="B296" s="157">
        <f t="shared" si="9"/>
        <v>45727</v>
      </c>
      <c r="C296" s="342">
        <v>600</v>
      </c>
      <c r="D296" s="342"/>
      <c r="E296" s="342">
        <v>39.237000000000002</v>
      </c>
      <c r="F296" s="342">
        <v>820</v>
      </c>
      <c r="G296" s="15">
        <f t="shared" si="10"/>
        <v>780.76300000000003</v>
      </c>
      <c r="H296" s="15">
        <f>IFERROR(IF(Yearending&gt;B295,'5. Historical demand'!F296-'5. Historical demand'!C296-'5. Historical demand'!D296,""),"")</f>
        <v>220</v>
      </c>
      <c r="I296" s="15">
        <f t="shared" si="11"/>
        <v>560.76300000000003</v>
      </c>
    </row>
    <row r="297" spans="2:9" x14ac:dyDescent="0.2">
      <c r="B297" s="157">
        <f t="shared" si="9"/>
        <v>45728</v>
      </c>
      <c r="C297" s="342">
        <v>600</v>
      </c>
      <c r="D297" s="342"/>
      <c r="E297" s="342">
        <v>57.555</v>
      </c>
      <c r="F297" s="342">
        <v>820</v>
      </c>
      <c r="G297" s="15">
        <f t="shared" si="10"/>
        <v>762.44500000000005</v>
      </c>
      <c r="H297" s="15">
        <f>IFERROR(IF(Yearending&gt;B296,'5. Historical demand'!F297-'5. Historical demand'!C297-'5. Historical demand'!D297,""),"")</f>
        <v>220</v>
      </c>
      <c r="I297" s="15">
        <f t="shared" si="11"/>
        <v>542.44500000000005</v>
      </c>
    </row>
    <row r="298" spans="2:9" x14ac:dyDescent="0.2">
      <c r="B298" s="157">
        <f t="shared" si="9"/>
        <v>45729</v>
      </c>
      <c r="C298" s="342">
        <v>600</v>
      </c>
      <c r="D298" s="342"/>
      <c r="E298" s="342">
        <v>97.57</v>
      </c>
      <c r="F298" s="342">
        <v>820</v>
      </c>
      <c r="G298" s="15">
        <f t="shared" si="10"/>
        <v>722.43000000000006</v>
      </c>
      <c r="H298" s="15">
        <f>IFERROR(IF(Yearending&gt;B297,'5. Historical demand'!F298-'5. Historical demand'!C298-'5. Historical demand'!D298,""),"")</f>
        <v>220</v>
      </c>
      <c r="I298" s="15">
        <f t="shared" si="11"/>
        <v>502.43</v>
      </c>
    </row>
    <row r="299" spans="2:9" x14ac:dyDescent="0.2">
      <c r="B299" s="157">
        <f t="shared" si="9"/>
        <v>45730</v>
      </c>
      <c r="C299" s="342">
        <v>600</v>
      </c>
      <c r="D299" s="342"/>
      <c r="E299" s="342">
        <v>101.622</v>
      </c>
      <c r="F299" s="342">
        <v>820</v>
      </c>
      <c r="G299" s="15">
        <f t="shared" si="10"/>
        <v>718.37800000000004</v>
      </c>
      <c r="H299" s="15">
        <f>IFERROR(IF(Yearending&gt;B298,'5. Historical demand'!F299-'5. Historical demand'!C299-'5. Historical demand'!D299,""),"")</f>
        <v>220</v>
      </c>
      <c r="I299" s="15">
        <f t="shared" si="11"/>
        <v>498.37799999999999</v>
      </c>
    </row>
    <row r="300" spans="2:9" x14ac:dyDescent="0.2">
      <c r="B300" s="157">
        <f t="shared" ref="B300:B363" si="12">IFERROR(IF(Yearending&gt;B299, B299+1, ""),"")</f>
        <v>45731</v>
      </c>
      <c r="C300" s="342">
        <v>600</v>
      </c>
      <c r="D300" s="342"/>
      <c r="E300" s="342">
        <v>98.611999999999995</v>
      </c>
      <c r="F300" s="342">
        <v>820</v>
      </c>
      <c r="G300" s="15">
        <f t="shared" ref="G300:G363" si="13">IFERROR(IF(Yearending&gt;B299,F300-E300,""),"")</f>
        <v>721.38800000000003</v>
      </c>
      <c r="H300" s="15">
        <f>IFERROR(IF(Yearending&gt;B299,'5. Historical demand'!F300-'5. Historical demand'!C300-'5. Historical demand'!D300,""),"")</f>
        <v>220</v>
      </c>
      <c r="I300" s="15">
        <f t="shared" ref="I300:I363" si="14">IFERROR(IF(Yearending&gt;B299,C300+D300-E300,""),"")</f>
        <v>501.38800000000003</v>
      </c>
    </row>
    <row r="301" spans="2:9" x14ac:dyDescent="0.2">
      <c r="B301" s="157">
        <f t="shared" si="12"/>
        <v>45732</v>
      </c>
      <c r="C301" s="342">
        <v>600</v>
      </c>
      <c r="D301" s="342"/>
      <c r="E301" s="342">
        <v>99.643000000000001</v>
      </c>
      <c r="F301" s="342">
        <v>820</v>
      </c>
      <c r="G301" s="15">
        <f t="shared" si="13"/>
        <v>720.35699999999997</v>
      </c>
      <c r="H301" s="15">
        <f>IFERROR(IF(Yearending&gt;B300,'5. Historical demand'!F301-'5. Historical demand'!C301-'5. Historical demand'!D301,""),"")</f>
        <v>220</v>
      </c>
      <c r="I301" s="15">
        <f t="shared" si="14"/>
        <v>500.35699999999997</v>
      </c>
    </row>
    <row r="302" spans="2:9" x14ac:dyDescent="0.2">
      <c r="B302" s="157">
        <f t="shared" si="12"/>
        <v>45733</v>
      </c>
      <c r="C302" s="342">
        <v>600</v>
      </c>
      <c r="D302" s="342"/>
      <c r="E302" s="342">
        <v>104.17100000000001</v>
      </c>
      <c r="F302" s="342">
        <v>820</v>
      </c>
      <c r="G302" s="15">
        <f t="shared" si="13"/>
        <v>715.82899999999995</v>
      </c>
      <c r="H302" s="15">
        <f>IFERROR(IF(Yearending&gt;B301,'5. Historical demand'!F302-'5. Historical demand'!C302-'5. Historical demand'!D302,""),"")</f>
        <v>220</v>
      </c>
      <c r="I302" s="15">
        <f t="shared" si="14"/>
        <v>495.82900000000001</v>
      </c>
    </row>
    <row r="303" spans="2:9" x14ac:dyDescent="0.2">
      <c r="B303" s="157">
        <f t="shared" si="12"/>
        <v>45734</v>
      </c>
      <c r="C303" s="342">
        <v>600</v>
      </c>
      <c r="D303" s="342"/>
      <c r="E303" s="342">
        <v>102.18899999999999</v>
      </c>
      <c r="F303" s="342">
        <v>820</v>
      </c>
      <c r="G303" s="15">
        <f t="shared" si="13"/>
        <v>717.81100000000004</v>
      </c>
      <c r="H303" s="15">
        <f>IFERROR(IF(Yearending&gt;B302,'5. Historical demand'!F303-'5. Historical demand'!C303-'5. Historical demand'!D303,""),"")</f>
        <v>220</v>
      </c>
      <c r="I303" s="15">
        <f t="shared" si="14"/>
        <v>497.81100000000004</v>
      </c>
    </row>
    <row r="304" spans="2:9" x14ac:dyDescent="0.2">
      <c r="B304" s="157">
        <f t="shared" si="12"/>
        <v>45735</v>
      </c>
      <c r="C304" s="342">
        <v>600</v>
      </c>
      <c r="D304" s="342"/>
      <c r="E304" s="342">
        <v>100.655</v>
      </c>
      <c r="F304" s="342">
        <v>820</v>
      </c>
      <c r="G304" s="15">
        <f t="shared" si="13"/>
        <v>719.34500000000003</v>
      </c>
      <c r="H304" s="15">
        <f>IFERROR(IF(Yearending&gt;B303,'5. Historical demand'!F304-'5. Historical demand'!C304-'5. Historical demand'!D304,""),"")</f>
        <v>220</v>
      </c>
      <c r="I304" s="15">
        <f t="shared" si="14"/>
        <v>499.34500000000003</v>
      </c>
    </row>
    <row r="305" spans="2:9" x14ac:dyDescent="0.2">
      <c r="B305" s="157">
        <f t="shared" si="12"/>
        <v>45736</v>
      </c>
      <c r="C305" s="342">
        <v>600</v>
      </c>
      <c r="D305" s="342"/>
      <c r="E305" s="342">
        <v>107.16800000000001</v>
      </c>
      <c r="F305" s="342">
        <v>820</v>
      </c>
      <c r="G305" s="15">
        <f t="shared" si="13"/>
        <v>712.83199999999999</v>
      </c>
      <c r="H305" s="15">
        <f>IFERROR(IF(Yearending&gt;B304,'5. Historical demand'!F305-'5. Historical demand'!C305-'5. Historical demand'!D305,""),"")</f>
        <v>220</v>
      </c>
      <c r="I305" s="15">
        <f t="shared" si="14"/>
        <v>492.83199999999999</v>
      </c>
    </row>
    <row r="306" spans="2:9" x14ac:dyDescent="0.2">
      <c r="B306" s="157">
        <f t="shared" si="12"/>
        <v>45737</v>
      </c>
      <c r="C306" s="342">
        <v>600</v>
      </c>
      <c r="D306" s="342"/>
      <c r="E306" s="342">
        <v>101.074</v>
      </c>
      <c r="F306" s="342">
        <v>820</v>
      </c>
      <c r="G306" s="15">
        <f t="shared" si="13"/>
        <v>718.92600000000004</v>
      </c>
      <c r="H306" s="15">
        <f>IFERROR(IF(Yearending&gt;B305,'5. Historical demand'!F306-'5. Historical demand'!C306-'5. Historical demand'!D306,""),"")</f>
        <v>220</v>
      </c>
      <c r="I306" s="15">
        <f t="shared" si="14"/>
        <v>498.92599999999999</v>
      </c>
    </row>
    <row r="307" spans="2:9" x14ac:dyDescent="0.2">
      <c r="B307" s="157">
        <f t="shared" si="12"/>
        <v>45738</v>
      </c>
      <c r="C307" s="342">
        <v>600</v>
      </c>
      <c r="D307" s="342"/>
      <c r="E307" s="342">
        <v>79.206000000000003</v>
      </c>
      <c r="F307" s="342">
        <v>820</v>
      </c>
      <c r="G307" s="15">
        <f t="shared" si="13"/>
        <v>740.79399999999998</v>
      </c>
      <c r="H307" s="15">
        <f>IFERROR(IF(Yearending&gt;B306,'5. Historical demand'!F307-'5. Historical demand'!C307-'5. Historical demand'!D307,""),"")</f>
        <v>220</v>
      </c>
      <c r="I307" s="15">
        <f t="shared" si="14"/>
        <v>520.79399999999998</v>
      </c>
    </row>
    <row r="308" spans="2:9" x14ac:dyDescent="0.2">
      <c r="B308" s="157">
        <f t="shared" si="12"/>
        <v>45739</v>
      </c>
      <c r="C308" s="342">
        <v>600</v>
      </c>
      <c r="D308" s="342"/>
      <c r="E308" s="342">
        <v>83.963999999999999</v>
      </c>
      <c r="F308" s="342">
        <v>820</v>
      </c>
      <c r="G308" s="15">
        <f t="shared" si="13"/>
        <v>736.03600000000006</v>
      </c>
      <c r="H308" s="15">
        <f>IFERROR(IF(Yearending&gt;B307,'5. Historical demand'!F308-'5. Historical demand'!C308-'5. Historical demand'!D308,""),"")</f>
        <v>220</v>
      </c>
      <c r="I308" s="15">
        <f t="shared" si="14"/>
        <v>516.03600000000006</v>
      </c>
    </row>
    <row r="309" spans="2:9" x14ac:dyDescent="0.2">
      <c r="B309" s="157">
        <f t="shared" si="12"/>
        <v>45740</v>
      </c>
      <c r="C309" s="342">
        <v>600</v>
      </c>
      <c r="D309" s="342"/>
      <c r="E309" s="342">
        <v>91.753</v>
      </c>
      <c r="F309" s="342">
        <v>820</v>
      </c>
      <c r="G309" s="15">
        <f t="shared" si="13"/>
        <v>728.24699999999996</v>
      </c>
      <c r="H309" s="15">
        <f>IFERROR(IF(Yearending&gt;B308,'5. Historical demand'!F309-'5. Historical demand'!C309-'5. Historical demand'!D309,""),"")</f>
        <v>220</v>
      </c>
      <c r="I309" s="15">
        <f t="shared" si="14"/>
        <v>508.24700000000001</v>
      </c>
    </row>
    <row r="310" spans="2:9" x14ac:dyDescent="0.2">
      <c r="B310" s="157">
        <f t="shared" si="12"/>
        <v>45741</v>
      </c>
      <c r="C310" s="342">
        <v>600</v>
      </c>
      <c r="D310" s="342"/>
      <c r="E310" s="342">
        <v>86.194999999999993</v>
      </c>
      <c r="F310" s="342">
        <v>820</v>
      </c>
      <c r="G310" s="15">
        <f t="shared" si="13"/>
        <v>733.80500000000006</v>
      </c>
      <c r="H310" s="15">
        <f>IFERROR(IF(Yearending&gt;B309,'5. Historical demand'!F310-'5. Historical demand'!C310-'5. Historical demand'!D310,""),"")</f>
        <v>220</v>
      </c>
      <c r="I310" s="15">
        <f t="shared" si="14"/>
        <v>513.80500000000006</v>
      </c>
    </row>
    <row r="311" spans="2:9" x14ac:dyDescent="0.2">
      <c r="B311" s="157">
        <f t="shared" si="12"/>
        <v>45742</v>
      </c>
      <c r="C311" s="342">
        <v>600</v>
      </c>
      <c r="D311" s="342"/>
      <c r="E311" s="342">
        <v>79.688999999999993</v>
      </c>
      <c r="F311" s="342">
        <v>820</v>
      </c>
      <c r="G311" s="15">
        <f t="shared" si="13"/>
        <v>740.31100000000004</v>
      </c>
      <c r="H311" s="15">
        <f>IFERROR(IF(Yearending&gt;B310,'5. Historical demand'!F311-'5. Historical demand'!C311-'5. Historical demand'!D311,""),"")</f>
        <v>220</v>
      </c>
      <c r="I311" s="15">
        <f t="shared" si="14"/>
        <v>520.31100000000004</v>
      </c>
    </row>
    <row r="312" spans="2:9" x14ac:dyDescent="0.2">
      <c r="B312" s="157">
        <f t="shared" si="12"/>
        <v>45743</v>
      </c>
      <c r="C312" s="342">
        <v>600</v>
      </c>
      <c r="D312" s="342"/>
      <c r="E312" s="342">
        <v>84.313999999999993</v>
      </c>
      <c r="F312" s="342">
        <v>820</v>
      </c>
      <c r="G312" s="15">
        <f t="shared" si="13"/>
        <v>735.68600000000004</v>
      </c>
      <c r="H312" s="15">
        <f>IFERROR(IF(Yearending&gt;B311,'5. Historical demand'!F312-'5. Historical demand'!C312-'5. Historical demand'!D312,""),"")</f>
        <v>220</v>
      </c>
      <c r="I312" s="15">
        <f t="shared" si="14"/>
        <v>515.68600000000004</v>
      </c>
    </row>
    <row r="313" spans="2:9" x14ac:dyDescent="0.2">
      <c r="B313" s="157">
        <f t="shared" si="12"/>
        <v>45744</v>
      </c>
      <c r="C313" s="342">
        <v>600</v>
      </c>
      <c r="D313" s="342"/>
      <c r="E313" s="342">
        <v>0.1</v>
      </c>
      <c r="F313" s="342">
        <v>820</v>
      </c>
      <c r="G313" s="15">
        <f t="shared" si="13"/>
        <v>819.9</v>
      </c>
      <c r="H313" s="15">
        <f>IFERROR(IF(Yearending&gt;B312,'5. Historical demand'!F313-'5. Historical demand'!C313-'5. Historical demand'!D313,""),"")</f>
        <v>220</v>
      </c>
      <c r="I313" s="15">
        <f t="shared" si="14"/>
        <v>599.9</v>
      </c>
    </row>
    <row r="314" spans="2:9" x14ac:dyDescent="0.2">
      <c r="B314" s="157">
        <f t="shared" si="12"/>
        <v>45745</v>
      </c>
      <c r="C314" s="342">
        <v>600</v>
      </c>
      <c r="D314" s="342"/>
      <c r="E314" s="342">
        <v>135.75800000000001</v>
      </c>
      <c r="F314" s="342">
        <v>820</v>
      </c>
      <c r="G314" s="15">
        <f t="shared" si="13"/>
        <v>684.24199999999996</v>
      </c>
      <c r="H314" s="15">
        <f>IFERROR(IF(Yearending&gt;B313,'5. Historical demand'!F314-'5. Historical demand'!C314-'5. Historical demand'!D314,""),"")</f>
        <v>220</v>
      </c>
      <c r="I314" s="15">
        <f t="shared" si="14"/>
        <v>464.24199999999996</v>
      </c>
    </row>
    <row r="315" spans="2:9" x14ac:dyDescent="0.2">
      <c r="B315" s="157">
        <f t="shared" si="12"/>
        <v>45746</v>
      </c>
      <c r="C315" s="342">
        <v>600</v>
      </c>
      <c r="D315" s="342"/>
      <c r="E315" s="342">
        <v>106.77500000000001</v>
      </c>
      <c r="F315" s="342">
        <v>820</v>
      </c>
      <c r="G315" s="15">
        <f t="shared" si="13"/>
        <v>713.22500000000002</v>
      </c>
      <c r="H315" s="15">
        <f>IFERROR(IF(Yearending&gt;B314,'5. Historical demand'!F315-'5. Historical demand'!C315-'5. Historical demand'!D315,""),"")</f>
        <v>220</v>
      </c>
      <c r="I315" s="15">
        <f t="shared" si="14"/>
        <v>493.22500000000002</v>
      </c>
    </row>
    <row r="316" spans="2:9" x14ac:dyDescent="0.2">
      <c r="B316" s="157">
        <f t="shared" si="12"/>
        <v>45747</v>
      </c>
      <c r="C316" s="342">
        <v>600</v>
      </c>
      <c r="D316" s="342"/>
      <c r="E316" s="342">
        <v>96.733000000000004</v>
      </c>
      <c r="F316" s="342">
        <v>820</v>
      </c>
      <c r="G316" s="15">
        <f t="shared" si="13"/>
        <v>723.26700000000005</v>
      </c>
      <c r="H316" s="15">
        <f>IFERROR(IF(Yearending&gt;B315,'5. Historical demand'!F316-'5. Historical demand'!C316-'5. Historical demand'!D316,""),"")</f>
        <v>220</v>
      </c>
      <c r="I316" s="15">
        <f t="shared" si="14"/>
        <v>503.267</v>
      </c>
    </row>
    <row r="317" spans="2:9" x14ac:dyDescent="0.2">
      <c r="B317" s="157">
        <f t="shared" si="12"/>
        <v>45748</v>
      </c>
      <c r="C317" s="342">
        <v>600</v>
      </c>
      <c r="D317" s="342"/>
      <c r="E317" s="342">
        <v>72.001999999999995</v>
      </c>
      <c r="F317" s="342">
        <v>820</v>
      </c>
      <c r="G317" s="15">
        <f t="shared" si="13"/>
        <v>747.99800000000005</v>
      </c>
      <c r="H317" s="15">
        <f>IFERROR(IF(Yearending&gt;B316,'5. Historical demand'!F317-'5. Historical demand'!C317-'5. Historical demand'!D317,""),"")</f>
        <v>220</v>
      </c>
      <c r="I317" s="15">
        <f t="shared" si="14"/>
        <v>527.99800000000005</v>
      </c>
    </row>
    <row r="318" spans="2:9" x14ac:dyDescent="0.2">
      <c r="B318" s="157">
        <f t="shared" si="12"/>
        <v>45749</v>
      </c>
      <c r="C318" s="342">
        <v>600</v>
      </c>
      <c r="D318" s="342"/>
      <c r="E318" s="342">
        <v>51.985999999999997</v>
      </c>
      <c r="F318" s="342">
        <v>820</v>
      </c>
      <c r="G318" s="15">
        <f t="shared" si="13"/>
        <v>768.01400000000001</v>
      </c>
      <c r="H318" s="15">
        <f>IFERROR(IF(Yearending&gt;B317,'5. Historical demand'!F318-'5. Historical demand'!C318-'5. Historical demand'!D318,""),"")</f>
        <v>220</v>
      </c>
      <c r="I318" s="15">
        <f t="shared" si="14"/>
        <v>548.01400000000001</v>
      </c>
    </row>
    <row r="319" spans="2:9" x14ac:dyDescent="0.2">
      <c r="B319" s="157">
        <f t="shared" si="12"/>
        <v>45750</v>
      </c>
      <c r="C319" s="342">
        <v>600</v>
      </c>
      <c r="D319" s="342"/>
      <c r="E319" s="342">
        <v>131.87</v>
      </c>
      <c r="F319" s="342">
        <v>820</v>
      </c>
      <c r="G319" s="15">
        <f t="shared" si="13"/>
        <v>688.13</v>
      </c>
      <c r="H319" s="15">
        <f>IFERROR(IF(Yearending&gt;B318,'5. Historical demand'!F319-'5. Historical demand'!C319-'5. Historical demand'!D319,""),"")</f>
        <v>220</v>
      </c>
      <c r="I319" s="15">
        <f t="shared" si="14"/>
        <v>468.13</v>
      </c>
    </row>
    <row r="320" spans="2:9" x14ac:dyDescent="0.2">
      <c r="B320" s="157">
        <f t="shared" si="12"/>
        <v>45751</v>
      </c>
      <c r="C320" s="342">
        <v>600</v>
      </c>
      <c r="D320" s="342"/>
      <c r="E320" s="342">
        <v>103.839</v>
      </c>
      <c r="F320" s="342">
        <v>820</v>
      </c>
      <c r="G320" s="15">
        <f t="shared" si="13"/>
        <v>716.16100000000006</v>
      </c>
      <c r="H320" s="15">
        <f>IFERROR(IF(Yearending&gt;B319,'5. Historical demand'!F320-'5. Historical demand'!C320-'5. Historical demand'!D320,""),"")</f>
        <v>220</v>
      </c>
      <c r="I320" s="15">
        <f t="shared" si="14"/>
        <v>496.161</v>
      </c>
    </row>
    <row r="321" spans="2:9" x14ac:dyDescent="0.2">
      <c r="B321" s="157">
        <f t="shared" si="12"/>
        <v>45752</v>
      </c>
      <c r="C321" s="342">
        <v>600</v>
      </c>
      <c r="D321" s="342"/>
      <c r="E321" s="342">
        <v>100.404</v>
      </c>
      <c r="F321" s="342">
        <v>820</v>
      </c>
      <c r="G321" s="15">
        <f t="shared" si="13"/>
        <v>719.596</v>
      </c>
      <c r="H321" s="15">
        <f>IFERROR(IF(Yearending&gt;B320,'5. Historical demand'!F321-'5. Historical demand'!C321-'5. Historical demand'!D321,""),"")</f>
        <v>220</v>
      </c>
      <c r="I321" s="15">
        <f t="shared" si="14"/>
        <v>499.596</v>
      </c>
    </row>
    <row r="322" spans="2:9" x14ac:dyDescent="0.2">
      <c r="B322" s="157">
        <f t="shared" si="12"/>
        <v>45753</v>
      </c>
      <c r="C322" s="342">
        <v>600</v>
      </c>
      <c r="D322" s="342"/>
      <c r="E322" s="342">
        <v>119.94199999999999</v>
      </c>
      <c r="F322" s="342">
        <v>820</v>
      </c>
      <c r="G322" s="15">
        <f t="shared" si="13"/>
        <v>700.05799999999999</v>
      </c>
      <c r="H322" s="15">
        <f>IFERROR(IF(Yearending&gt;B321,'5. Historical demand'!F322-'5. Historical demand'!C322-'5. Historical demand'!D322,""),"")</f>
        <v>220</v>
      </c>
      <c r="I322" s="15">
        <f t="shared" si="14"/>
        <v>480.05799999999999</v>
      </c>
    </row>
    <row r="323" spans="2:9" x14ac:dyDescent="0.2">
      <c r="B323" s="157">
        <f t="shared" si="12"/>
        <v>45754</v>
      </c>
      <c r="C323" s="342">
        <v>600</v>
      </c>
      <c r="D323" s="342"/>
      <c r="E323" s="342">
        <v>48.283000000000001</v>
      </c>
      <c r="F323" s="342">
        <v>820</v>
      </c>
      <c r="G323" s="15">
        <f t="shared" si="13"/>
        <v>771.71699999999998</v>
      </c>
      <c r="H323" s="15">
        <f>IFERROR(IF(Yearending&gt;B322,'5. Historical demand'!F323-'5. Historical demand'!C323-'5. Historical demand'!D323,""),"")</f>
        <v>220</v>
      </c>
      <c r="I323" s="15">
        <f t="shared" si="14"/>
        <v>551.71699999999998</v>
      </c>
    </row>
    <row r="324" spans="2:9" x14ac:dyDescent="0.2">
      <c r="B324" s="157">
        <f t="shared" si="12"/>
        <v>45755</v>
      </c>
      <c r="C324" s="342">
        <v>600</v>
      </c>
      <c r="D324" s="342"/>
      <c r="E324" s="342">
        <v>92.396000000000001</v>
      </c>
      <c r="F324" s="342">
        <v>820</v>
      </c>
      <c r="G324" s="15">
        <f t="shared" si="13"/>
        <v>727.60400000000004</v>
      </c>
      <c r="H324" s="15">
        <f>IFERROR(IF(Yearending&gt;B323,'5. Historical demand'!F324-'5. Historical demand'!C324-'5. Historical demand'!D324,""),"")</f>
        <v>220</v>
      </c>
      <c r="I324" s="15">
        <f t="shared" si="14"/>
        <v>507.60399999999998</v>
      </c>
    </row>
    <row r="325" spans="2:9" x14ac:dyDescent="0.2">
      <c r="B325" s="157">
        <f t="shared" si="12"/>
        <v>45756</v>
      </c>
      <c r="C325" s="342">
        <v>600</v>
      </c>
      <c r="D325" s="342"/>
      <c r="E325" s="342">
        <v>123.373</v>
      </c>
      <c r="F325" s="342">
        <v>820</v>
      </c>
      <c r="G325" s="15">
        <f t="shared" si="13"/>
        <v>696.62699999999995</v>
      </c>
      <c r="H325" s="15">
        <f>IFERROR(IF(Yearending&gt;B324,'5. Historical demand'!F325-'5. Historical demand'!C325-'5. Historical demand'!D325,""),"")</f>
        <v>220</v>
      </c>
      <c r="I325" s="15">
        <f t="shared" si="14"/>
        <v>476.62700000000001</v>
      </c>
    </row>
    <row r="326" spans="2:9" x14ac:dyDescent="0.2">
      <c r="B326" s="157">
        <f t="shared" si="12"/>
        <v>45757</v>
      </c>
      <c r="C326" s="342">
        <v>600</v>
      </c>
      <c r="D326" s="342"/>
      <c r="E326" s="342">
        <v>117.46599999999999</v>
      </c>
      <c r="F326" s="342">
        <v>820</v>
      </c>
      <c r="G326" s="15">
        <f t="shared" si="13"/>
        <v>702.53399999999999</v>
      </c>
      <c r="H326" s="15">
        <f>IFERROR(IF(Yearending&gt;B325,'5. Historical demand'!F326-'5. Historical demand'!C326-'5. Historical demand'!D326,""),"")</f>
        <v>220</v>
      </c>
      <c r="I326" s="15">
        <f t="shared" si="14"/>
        <v>482.53399999999999</v>
      </c>
    </row>
    <row r="327" spans="2:9" x14ac:dyDescent="0.2">
      <c r="B327" s="157">
        <f t="shared" si="12"/>
        <v>45758</v>
      </c>
      <c r="C327" s="342">
        <v>600</v>
      </c>
      <c r="D327" s="342"/>
      <c r="E327" s="342">
        <v>89.915999999999997</v>
      </c>
      <c r="F327" s="342">
        <v>820</v>
      </c>
      <c r="G327" s="15">
        <f t="shared" si="13"/>
        <v>730.08400000000006</v>
      </c>
      <c r="H327" s="15">
        <f>IFERROR(IF(Yearending&gt;B326,'5. Historical demand'!F327-'5. Historical demand'!C327-'5. Historical demand'!D327,""),"")</f>
        <v>220</v>
      </c>
      <c r="I327" s="15">
        <f t="shared" si="14"/>
        <v>510.084</v>
      </c>
    </row>
    <row r="328" spans="2:9" x14ac:dyDescent="0.2">
      <c r="B328" s="157">
        <f t="shared" si="12"/>
        <v>45759</v>
      </c>
      <c r="C328" s="342">
        <v>600</v>
      </c>
      <c r="D328" s="342"/>
      <c r="E328" s="342">
        <v>105.85299999999999</v>
      </c>
      <c r="F328" s="342">
        <v>820</v>
      </c>
      <c r="G328" s="15">
        <f t="shared" si="13"/>
        <v>714.14700000000005</v>
      </c>
      <c r="H328" s="15">
        <f>IFERROR(IF(Yearending&gt;B327,'5. Historical demand'!F328-'5. Historical demand'!C328-'5. Historical demand'!D328,""),"")</f>
        <v>220</v>
      </c>
      <c r="I328" s="15">
        <f t="shared" si="14"/>
        <v>494.14699999999999</v>
      </c>
    </row>
    <row r="329" spans="2:9" x14ac:dyDescent="0.2">
      <c r="B329" s="157">
        <f t="shared" si="12"/>
        <v>45760</v>
      </c>
      <c r="C329" s="342">
        <v>600</v>
      </c>
      <c r="D329" s="342"/>
      <c r="E329" s="342">
        <v>106.708</v>
      </c>
      <c r="F329" s="342">
        <v>820</v>
      </c>
      <c r="G329" s="15">
        <f t="shared" si="13"/>
        <v>713.29200000000003</v>
      </c>
      <c r="H329" s="15">
        <f>IFERROR(IF(Yearending&gt;B328,'5. Historical demand'!F329-'5. Historical demand'!C329-'5. Historical demand'!D329,""),"")</f>
        <v>220</v>
      </c>
      <c r="I329" s="15">
        <f t="shared" si="14"/>
        <v>493.29200000000003</v>
      </c>
    </row>
    <row r="330" spans="2:9" x14ac:dyDescent="0.2">
      <c r="B330" s="157">
        <f t="shared" si="12"/>
        <v>45761</v>
      </c>
      <c r="C330" s="342">
        <v>600</v>
      </c>
      <c r="D330" s="342"/>
      <c r="E330" s="342">
        <v>94.471000000000004</v>
      </c>
      <c r="F330" s="342">
        <v>820</v>
      </c>
      <c r="G330" s="15">
        <f t="shared" si="13"/>
        <v>725.529</v>
      </c>
      <c r="H330" s="15">
        <f>IFERROR(IF(Yearending&gt;B329,'5. Historical demand'!F330-'5. Historical demand'!C330-'5. Historical demand'!D330,""),"")</f>
        <v>220</v>
      </c>
      <c r="I330" s="15">
        <f t="shared" si="14"/>
        <v>505.529</v>
      </c>
    </row>
    <row r="331" spans="2:9" x14ac:dyDescent="0.2">
      <c r="B331" s="157">
        <f t="shared" si="12"/>
        <v>45762</v>
      </c>
      <c r="C331" s="342">
        <v>600</v>
      </c>
      <c r="D331" s="342"/>
      <c r="E331" s="342">
        <v>71.183999999999997</v>
      </c>
      <c r="F331" s="342">
        <v>820</v>
      </c>
      <c r="G331" s="15">
        <f t="shared" si="13"/>
        <v>748.81600000000003</v>
      </c>
      <c r="H331" s="15">
        <f>IFERROR(IF(Yearending&gt;B330,'5. Historical demand'!F331-'5. Historical demand'!C331-'5. Historical demand'!D331,""),"")</f>
        <v>220</v>
      </c>
      <c r="I331" s="15">
        <f t="shared" si="14"/>
        <v>528.81600000000003</v>
      </c>
    </row>
    <row r="332" spans="2:9" x14ac:dyDescent="0.2">
      <c r="B332" s="157">
        <f t="shared" si="12"/>
        <v>45763</v>
      </c>
      <c r="C332" s="342">
        <v>600</v>
      </c>
      <c r="D332" s="342"/>
      <c r="E332" s="342">
        <v>79.492999999999995</v>
      </c>
      <c r="F332" s="342">
        <v>820</v>
      </c>
      <c r="G332" s="15">
        <f t="shared" si="13"/>
        <v>740.50700000000006</v>
      </c>
      <c r="H332" s="15">
        <f>IFERROR(IF(Yearending&gt;B331,'5. Historical demand'!F332-'5. Historical demand'!C332-'5. Historical demand'!D332,""),"")</f>
        <v>220</v>
      </c>
      <c r="I332" s="15">
        <f t="shared" si="14"/>
        <v>520.50700000000006</v>
      </c>
    </row>
    <row r="333" spans="2:9" x14ac:dyDescent="0.2">
      <c r="B333" s="157">
        <f t="shared" si="12"/>
        <v>45764</v>
      </c>
      <c r="C333" s="342">
        <v>600</v>
      </c>
      <c r="D333" s="342"/>
      <c r="E333" s="342">
        <v>80.305000000000007</v>
      </c>
      <c r="F333" s="342">
        <v>820</v>
      </c>
      <c r="G333" s="15">
        <f t="shared" si="13"/>
        <v>739.69499999999994</v>
      </c>
      <c r="H333" s="15">
        <f>IFERROR(IF(Yearending&gt;B332,'5. Historical demand'!F333-'5. Historical demand'!C333-'5. Historical demand'!D333,""),"")</f>
        <v>220</v>
      </c>
      <c r="I333" s="15">
        <f t="shared" si="14"/>
        <v>519.69499999999994</v>
      </c>
    </row>
    <row r="334" spans="2:9" x14ac:dyDescent="0.2">
      <c r="B334" s="157">
        <f t="shared" si="12"/>
        <v>45765</v>
      </c>
      <c r="C334" s="342">
        <v>600</v>
      </c>
      <c r="D334" s="342"/>
      <c r="E334" s="342">
        <v>79.432000000000002</v>
      </c>
      <c r="F334" s="342">
        <v>820</v>
      </c>
      <c r="G334" s="15">
        <f t="shared" si="13"/>
        <v>740.56799999999998</v>
      </c>
      <c r="H334" s="15">
        <f>IFERROR(IF(Yearending&gt;B333,'5. Historical demand'!F334-'5. Historical demand'!C334-'5. Historical demand'!D334,""),"")</f>
        <v>220</v>
      </c>
      <c r="I334" s="15">
        <f t="shared" si="14"/>
        <v>520.56799999999998</v>
      </c>
    </row>
    <row r="335" spans="2:9" x14ac:dyDescent="0.2">
      <c r="B335" s="157">
        <f t="shared" si="12"/>
        <v>45766</v>
      </c>
      <c r="C335" s="342">
        <v>600</v>
      </c>
      <c r="D335" s="342"/>
      <c r="E335" s="342">
        <v>77.027000000000001</v>
      </c>
      <c r="F335" s="342">
        <v>820</v>
      </c>
      <c r="G335" s="15">
        <f t="shared" si="13"/>
        <v>742.97299999999996</v>
      </c>
      <c r="H335" s="15">
        <f>IFERROR(IF(Yearending&gt;B334,'5. Historical demand'!F335-'5. Historical demand'!C335-'5. Historical demand'!D335,""),"")</f>
        <v>220</v>
      </c>
      <c r="I335" s="15">
        <f t="shared" si="14"/>
        <v>522.97299999999996</v>
      </c>
    </row>
    <row r="336" spans="2:9" x14ac:dyDescent="0.2">
      <c r="B336" s="157">
        <f t="shared" si="12"/>
        <v>45767</v>
      </c>
      <c r="C336" s="342">
        <v>600</v>
      </c>
      <c r="D336" s="342"/>
      <c r="E336" s="342">
        <v>62.542999999999999</v>
      </c>
      <c r="F336" s="342">
        <v>820</v>
      </c>
      <c r="G336" s="15">
        <f t="shared" si="13"/>
        <v>757.45699999999999</v>
      </c>
      <c r="H336" s="15">
        <f>IFERROR(IF(Yearending&gt;B335,'5. Historical demand'!F336-'5. Historical demand'!C336-'5. Historical demand'!D336,""),"")</f>
        <v>220</v>
      </c>
      <c r="I336" s="15">
        <f t="shared" si="14"/>
        <v>537.45699999999999</v>
      </c>
    </row>
    <row r="337" spans="2:9" x14ac:dyDescent="0.2">
      <c r="B337" s="157">
        <f t="shared" si="12"/>
        <v>45768</v>
      </c>
      <c r="C337" s="342">
        <v>600</v>
      </c>
      <c r="D337" s="342"/>
      <c r="E337" s="342">
        <v>75.843999999999994</v>
      </c>
      <c r="F337" s="342">
        <v>820</v>
      </c>
      <c r="G337" s="15">
        <f t="shared" si="13"/>
        <v>744.15599999999995</v>
      </c>
      <c r="H337" s="15">
        <f>IFERROR(IF(Yearending&gt;B336,'5. Historical demand'!F337-'5. Historical demand'!C337-'5. Historical demand'!D337,""),"")</f>
        <v>220</v>
      </c>
      <c r="I337" s="15">
        <f t="shared" si="14"/>
        <v>524.15599999999995</v>
      </c>
    </row>
    <row r="338" spans="2:9" x14ac:dyDescent="0.2">
      <c r="B338" s="157">
        <f t="shared" si="12"/>
        <v>45769</v>
      </c>
      <c r="C338" s="342">
        <v>600</v>
      </c>
      <c r="D338" s="342"/>
      <c r="E338" s="342">
        <v>35.045000000000002</v>
      </c>
      <c r="F338" s="342">
        <v>820</v>
      </c>
      <c r="G338" s="15">
        <f t="shared" si="13"/>
        <v>784.95500000000004</v>
      </c>
      <c r="H338" s="15">
        <f>IFERROR(IF(Yearending&gt;B337,'5. Historical demand'!F338-'5. Historical demand'!C338-'5. Historical demand'!D338,""),"")</f>
        <v>220</v>
      </c>
      <c r="I338" s="15">
        <f t="shared" si="14"/>
        <v>564.95500000000004</v>
      </c>
    </row>
    <row r="339" spans="2:9" x14ac:dyDescent="0.2">
      <c r="B339" s="157">
        <f t="shared" si="12"/>
        <v>45770</v>
      </c>
      <c r="C339" s="342">
        <v>600</v>
      </c>
      <c r="D339" s="342"/>
      <c r="E339" s="342">
        <v>56.598999999999997</v>
      </c>
      <c r="F339" s="342">
        <v>820</v>
      </c>
      <c r="G339" s="15">
        <f t="shared" si="13"/>
        <v>763.40099999999995</v>
      </c>
      <c r="H339" s="15">
        <f>IFERROR(IF(Yearending&gt;B338,'5. Historical demand'!F339-'5. Historical demand'!C339-'5. Historical demand'!D339,""),"")</f>
        <v>220</v>
      </c>
      <c r="I339" s="15">
        <f t="shared" si="14"/>
        <v>543.40099999999995</v>
      </c>
    </row>
    <row r="340" spans="2:9" x14ac:dyDescent="0.2">
      <c r="B340" s="157">
        <f t="shared" si="12"/>
        <v>45771</v>
      </c>
      <c r="C340" s="342">
        <v>600</v>
      </c>
      <c r="D340" s="342"/>
      <c r="E340" s="342">
        <v>69.492999999999995</v>
      </c>
      <c r="F340" s="342">
        <v>820</v>
      </c>
      <c r="G340" s="15">
        <f t="shared" si="13"/>
        <v>750.50700000000006</v>
      </c>
      <c r="H340" s="15">
        <f>IFERROR(IF(Yearending&gt;B339,'5. Historical demand'!F340-'5. Historical demand'!C340-'5. Historical demand'!D340,""),"")</f>
        <v>220</v>
      </c>
      <c r="I340" s="15">
        <f t="shared" si="14"/>
        <v>530.50700000000006</v>
      </c>
    </row>
    <row r="341" spans="2:9" x14ac:dyDescent="0.2">
      <c r="B341" s="157">
        <f t="shared" si="12"/>
        <v>45772</v>
      </c>
      <c r="C341" s="342">
        <v>600</v>
      </c>
      <c r="D341" s="342"/>
      <c r="E341" s="342">
        <v>66.980999999999995</v>
      </c>
      <c r="F341" s="342">
        <v>820</v>
      </c>
      <c r="G341" s="15">
        <f t="shared" si="13"/>
        <v>753.01900000000001</v>
      </c>
      <c r="H341" s="15">
        <f>IFERROR(IF(Yearending&gt;B340,'5. Historical demand'!F341-'5. Historical demand'!C341-'5. Historical demand'!D341,""),"")</f>
        <v>220</v>
      </c>
      <c r="I341" s="15">
        <f t="shared" si="14"/>
        <v>533.01900000000001</v>
      </c>
    </row>
    <row r="342" spans="2:9" x14ac:dyDescent="0.2">
      <c r="B342" s="157">
        <f t="shared" si="12"/>
        <v>45773</v>
      </c>
      <c r="C342" s="342">
        <v>600</v>
      </c>
      <c r="D342" s="342"/>
      <c r="E342" s="342">
        <v>69.025000000000006</v>
      </c>
      <c r="F342" s="342">
        <v>820</v>
      </c>
      <c r="G342" s="15">
        <f t="shared" si="13"/>
        <v>750.97500000000002</v>
      </c>
      <c r="H342" s="15">
        <f>IFERROR(IF(Yearending&gt;B341,'5. Historical demand'!F342-'5. Historical demand'!C342-'5. Historical demand'!D342,""),"")</f>
        <v>220</v>
      </c>
      <c r="I342" s="15">
        <f t="shared" si="14"/>
        <v>530.97500000000002</v>
      </c>
    </row>
    <row r="343" spans="2:9" x14ac:dyDescent="0.2">
      <c r="B343" s="157">
        <f t="shared" si="12"/>
        <v>45774</v>
      </c>
      <c r="C343" s="342">
        <v>600</v>
      </c>
      <c r="D343" s="342"/>
      <c r="E343" s="342">
        <v>99.004000000000005</v>
      </c>
      <c r="F343" s="342">
        <v>820</v>
      </c>
      <c r="G343" s="15">
        <f t="shared" si="13"/>
        <v>720.99599999999998</v>
      </c>
      <c r="H343" s="15">
        <f>IFERROR(IF(Yearending&gt;B342,'5. Historical demand'!F343-'5. Historical demand'!C343-'5. Historical demand'!D343,""),"")</f>
        <v>220</v>
      </c>
      <c r="I343" s="15">
        <f t="shared" si="14"/>
        <v>500.99599999999998</v>
      </c>
    </row>
    <row r="344" spans="2:9" x14ac:dyDescent="0.2">
      <c r="B344" s="157">
        <f t="shared" si="12"/>
        <v>45775</v>
      </c>
      <c r="C344" s="342">
        <v>600</v>
      </c>
      <c r="D344" s="342"/>
      <c r="E344" s="342">
        <v>80.682000000000002</v>
      </c>
      <c r="F344" s="342">
        <v>820</v>
      </c>
      <c r="G344" s="15">
        <f t="shared" si="13"/>
        <v>739.31799999999998</v>
      </c>
      <c r="H344" s="15">
        <f>IFERROR(IF(Yearending&gt;B343,'5. Historical demand'!F344-'5. Historical demand'!C344-'5. Historical demand'!D344,""),"")</f>
        <v>220</v>
      </c>
      <c r="I344" s="15">
        <f t="shared" si="14"/>
        <v>519.31799999999998</v>
      </c>
    </row>
    <row r="345" spans="2:9" x14ac:dyDescent="0.2">
      <c r="B345" s="157">
        <f t="shared" si="12"/>
        <v>45776</v>
      </c>
      <c r="C345" s="342">
        <v>600</v>
      </c>
      <c r="D345" s="342"/>
      <c r="E345" s="342">
        <v>85.138999999999996</v>
      </c>
      <c r="F345" s="342">
        <v>820</v>
      </c>
      <c r="G345" s="15">
        <f t="shared" si="13"/>
        <v>734.86099999999999</v>
      </c>
      <c r="H345" s="15">
        <f>IFERROR(IF(Yearending&gt;B344,'5. Historical demand'!F345-'5. Historical demand'!C345-'5. Historical demand'!D345,""),"")</f>
        <v>220</v>
      </c>
      <c r="I345" s="15">
        <f t="shared" si="14"/>
        <v>514.86099999999999</v>
      </c>
    </row>
    <row r="346" spans="2:9" x14ac:dyDescent="0.2">
      <c r="B346" s="157">
        <f t="shared" si="12"/>
        <v>45777</v>
      </c>
      <c r="C346" s="342">
        <v>600</v>
      </c>
      <c r="D346" s="342"/>
      <c r="E346" s="342">
        <v>80.704999999999998</v>
      </c>
      <c r="F346" s="342">
        <v>820</v>
      </c>
      <c r="G346" s="15">
        <f t="shared" si="13"/>
        <v>739.29499999999996</v>
      </c>
      <c r="H346" s="15">
        <f>IFERROR(IF(Yearending&gt;B345,'5. Historical demand'!F346-'5. Historical demand'!C346-'5. Historical demand'!D346,""),"")</f>
        <v>220</v>
      </c>
      <c r="I346" s="15">
        <f t="shared" si="14"/>
        <v>519.29499999999996</v>
      </c>
    </row>
    <row r="347" spans="2:9" x14ac:dyDescent="0.2">
      <c r="B347" s="157">
        <f t="shared" si="12"/>
        <v>45778</v>
      </c>
      <c r="C347" s="342">
        <v>660</v>
      </c>
      <c r="D347" s="342"/>
      <c r="E347" s="342">
        <v>46.737000000000002</v>
      </c>
      <c r="F347" s="342">
        <v>820</v>
      </c>
      <c r="G347" s="15">
        <f t="shared" si="13"/>
        <v>773.26300000000003</v>
      </c>
      <c r="H347" s="15">
        <f>IFERROR(IF(Yearending&gt;B346,'5. Historical demand'!F347-'5. Historical demand'!C347-'5. Historical demand'!D347,""),"")</f>
        <v>160</v>
      </c>
      <c r="I347" s="15">
        <f t="shared" si="14"/>
        <v>613.26300000000003</v>
      </c>
    </row>
    <row r="348" spans="2:9" x14ac:dyDescent="0.2">
      <c r="B348" s="157">
        <f t="shared" si="12"/>
        <v>45779</v>
      </c>
      <c r="C348" s="342">
        <v>660</v>
      </c>
      <c r="D348" s="342"/>
      <c r="E348" s="342">
        <v>55.658000000000001</v>
      </c>
      <c r="F348" s="342">
        <v>820</v>
      </c>
      <c r="G348" s="15">
        <f t="shared" si="13"/>
        <v>764.34199999999998</v>
      </c>
      <c r="H348" s="15">
        <f>IFERROR(IF(Yearending&gt;B347,'5. Historical demand'!F348-'5. Historical demand'!C348-'5. Historical demand'!D348,""),"")</f>
        <v>160</v>
      </c>
      <c r="I348" s="15">
        <f t="shared" si="14"/>
        <v>604.34199999999998</v>
      </c>
    </row>
    <row r="349" spans="2:9" x14ac:dyDescent="0.2">
      <c r="B349" s="157">
        <f t="shared" si="12"/>
        <v>45780</v>
      </c>
      <c r="C349" s="342">
        <v>660</v>
      </c>
      <c r="D349" s="342"/>
      <c r="E349" s="342">
        <v>44.668999999999997</v>
      </c>
      <c r="F349" s="342">
        <v>820</v>
      </c>
      <c r="G349" s="15">
        <f t="shared" si="13"/>
        <v>775.33100000000002</v>
      </c>
      <c r="H349" s="15">
        <f>IFERROR(IF(Yearending&gt;B348,'5. Historical demand'!F349-'5. Historical demand'!C349-'5. Historical demand'!D349,""),"")</f>
        <v>160</v>
      </c>
      <c r="I349" s="15">
        <f t="shared" si="14"/>
        <v>615.33100000000002</v>
      </c>
    </row>
    <row r="350" spans="2:9" x14ac:dyDescent="0.2">
      <c r="B350" s="157">
        <f t="shared" si="12"/>
        <v>45781</v>
      </c>
      <c r="C350" s="342">
        <v>660</v>
      </c>
      <c r="D350" s="342"/>
      <c r="E350" s="342">
        <v>102.328</v>
      </c>
      <c r="F350" s="342">
        <v>820</v>
      </c>
      <c r="G350" s="15">
        <f t="shared" si="13"/>
        <v>717.67200000000003</v>
      </c>
      <c r="H350" s="15">
        <f>IFERROR(IF(Yearending&gt;B349,'5. Historical demand'!F350-'5. Historical demand'!C350-'5. Historical demand'!D350,""),"")</f>
        <v>160</v>
      </c>
      <c r="I350" s="15">
        <f t="shared" si="14"/>
        <v>557.67200000000003</v>
      </c>
    </row>
    <row r="351" spans="2:9" x14ac:dyDescent="0.2">
      <c r="B351" s="157">
        <f t="shared" si="12"/>
        <v>45782</v>
      </c>
      <c r="C351" s="342">
        <v>660</v>
      </c>
      <c r="D351" s="342"/>
      <c r="E351" s="342">
        <v>111.437</v>
      </c>
      <c r="F351" s="342">
        <v>820</v>
      </c>
      <c r="G351" s="15">
        <f t="shared" si="13"/>
        <v>708.56299999999999</v>
      </c>
      <c r="H351" s="15">
        <f>IFERROR(IF(Yearending&gt;B350,'5. Historical demand'!F351-'5. Historical demand'!C351-'5. Historical demand'!D351,""),"")</f>
        <v>160</v>
      </c>
      <c r="I351" s="15">
        <f t="shared" si="14"/>
        <v>548.56299999999999</v>
      </c>
    </row>
    <row r="352" spans="2:9" x14ac:dyDescent="0.2">
      <c r="B352" s="157">
        <f t="shared" si="12"/>
        <v>45783</v>
      </c>
      <c r="C352" s="342">
        <v>660</v>
      </c>
      <c r="D352" s="342"/>
      <c r="E352" s="342">
        <v>99.635999999999996</v>
      </c>
      <c r="F352" s="342">
        <v>820</v>
      </c>
      <c r="G352" s="15">
        <f t="shared" si="13"/>
        <v>720.36400000000003</v>
      </c>
      <c r="H352" s="15">
        <f>IFERROR(IF(Yearending&gt;B351,'5. Historical demand'!F352-'5. Historical demand'!C352-'5. Historical demand'!D352,""),"")</f>
        <v>160</v>
      </c>
      <c r="I352" s="15">
        <f t="shared" si="14"/>
        <v>560.36400000000003</v>
      </c>
    </row>
    <row r="353" spans="2:9" x14ac:dyDescent="0.2">
      <c r="B353" s="157">
        <f t="shared" si="12"/>
        <v>45784</v>
      </c>
      <c r="C353" s="342">
        <v>660</v>
      </c>
      <c r="D353" s="342"/>
      <c r="E353" s="342">
        <v>68.435000000000002</v>
      </c>
      <c r="F353" s="342">
        <v>820</v>
      </c>
      <c r="G353" s="15">
        <f t="shared" si="13"/>
        <v>751.56500000000005</v>
      </c>
      <c r="H353" s="15">
        <f>IFERROR(IF(Yearending&gt;B352,'5. Historical demand'!F353-'5. Historical demand'!C353-'5. Historical demand'!D353,""),"")</f>
        <v>160</v>
      </c>
      <c r="I353" s="15">
        <f t="shared" si="14"/>
        <v>591.56500000000005</v>
      </c>
    </row>
    <row r="354" spans="2:9" x14ac:dyDescent="0.2">
      <c r="B354" s="157">
        <f t="shared" si="12"/>
        <v>45785</v>
      </c>
      <c r="C354" s="342">
        <v>660</v>
      </c>
      <c r="D354" s="342"/>
      <c r="E354" s="342">
        <v>93.716999999999999</v>
      </c>
      <c r="F354" s="342">
        <v>820</v>
      </c>
      <c r="G354" s="15">
        <f t="shared" si="13"/>
        <v>726.28300000000002</v>
      </c>
      <c r="H354" s="15">
        <f>IFERROR(IF(Yearending&gt;B353,'5. Historical demand'!F354-'5. Historical demand'!C354-'5. Historical demand'!D354,""),"")</f>
        <v>160</v>
      </c>
      <c r="I354" s="15">
        <f t="shared" si="14"/>
        <v>566.28300000000002</v>
      </c>
    </row>
    <row r="355" spans="2:9" x14ac:dyDescent="0.2">
      <c r="B355" s="157">
        <f t="shared" si="12"/>
        <v>45786</v>
      </c>
      <c r="C355" s="342">
        <v>660</v>
      </c>
      <c r="D355" s="342"/>
      <c r="E355" s="342">
        <v>70.305999999999997</v>
      </c>
      <c r="F355" s="342">
        <v>820</v>
      </c>
      <c r="G355" s="15">
        <f t="shared" si="13"/>
        <v>749.69399999999996</v>
      </c>
      <c r="H355" s="15">
        <f>IFERROR(IF(Yearending&gt;B354,'5. Historical demand'!F355-'5. Historical demand'!C355-'5. Historical demand'!D355,""),"")</f>
        <v>160</v>
      </c>
      <c r="I355" s="15">
        <f t="shared" si="14"/>
        <v>589.69399999999996</v>
      </c>
    </row>
    <row r="356" spans="2:9" x14ac:dyDescent="0.2">
      <c r="B356" s="157">
        <f t="shared" si="12"/>
        <v>45787</v>
      </c>
      <c r="C356" s="342">
        <v>660</v>
      </c>
      <c r="D356" s="342"/>
      <c r="E356" s="342">
        <v>28.724</v>
      </c>
      <c r="F356" s="342">
        <v>820</v>
      </c>
      <c r="G356" s="15">
        <f t="shared" si="13"/>
        <v>791.27599999999995</v>
      </c>
      <c r="H356" s="15">
        <f>IFERROR(IF(Yearending&gt;B355,'5. Historical demand'!F356-'5. Historical demand'!C356-'5. Historical demand'!D356,""),"")</f>
        <v>160</v>
      </c>
      <c r="I356" s="15">
        <f t="shared" si="14"/>
        <v>631.27599999999995</v>
      </c>
    </row>
    <row r="357" spans="2:9" x14ac:dyDescent="0.2">
      <c r="B357" s="157">
        <f t="shared" si="12"/>
        <v>45788</v>
      </c>
      <c r="C357" s="342">
        <v>660</v>
      </c>
      <c r="D357" s="342"/>
      <c r="E357" s="342">
        <v>7.0830000000000002</v>
      </c>
      <c r="F357" s="342">
        <v>820</v>
      </c>
      <c r="G357" s="15">
        <f t="shared" si="13"/>
        <v>812.91700000000003</v>
      </c>
      <c r="H357" s="15">
        <f>IFERROR(IF(Yearending&gt;B356,'5. Historical demand'!F357-'5. Historical demand'!C357-'5. Historical demand'!D357,""),"")</f>
        <v>160</v>
      </c>
      <c r="I357" s="15">
        <f t="shared" si="14"/>
        <v>652.91700000000003</v>
      </c>
    </row>
    <row r="358" spans="2:9" x14ac:dyDescent="0.2">
      <c r="B358" s="157">
        <f t="shared" si="12"/>
        <v>45789</v>
      </c>
      <c r="C358" s="342">
        <v>660</v>
      </c>
      <c r="D358" s="342"/>
      <c r="E358" s="342">
        <v>92.905000000000001</v>
      </c>
      <c r="F358" s="342">
        <v>820</v>
      </c>
      <c r="G358" s="15">
        <f t="shared" si="13"/>
        <v>727.09500000000003</v>
      </c>
      <c r="H358" s="15">
        <f>IFERROR(IF(Yearending&gt;B357,'5. Historical demand'!F358-'5. Historical demand'!C358-'5. Historical demand'!D358,""),"")</f>
        <v>160</v>
      </c>
      <c r="I358" s="15">
        <f t="shared" si="14"/>
        <v>567.09500000000003</v>
      </c>
    </row>
    <row r="359" spans="2:9" x14ac:dyDescent="0.2">
      <c r="B359" s="157">
        <f t="shared" si="12"/>
        <v>45790</v>
      </c>
      <c r="C359" s="342">
        <v>660</v>
      </c>
      <c r="D359" s="342"/>
      <c r="E359" s="342">
        <v>126.539</v>
      </c>
      <c r="F359" s="342">
        <v>820</v>
      </c>
      <c r="G359" s="15">
        <f t="shared" si="13"/>
        <v>693.46100000000001</v>
      </c>
      <c r="H359" s="15">
        <f>IFERROR(IF(Yearending&gt;B358,'5. Historical demand'!F359-'5. Historical demand'!C359-'5. Historical demand'!D359,""),"")</f>
        <v>160</v>
      </c>
      <c r="I359" s="15">
        <f t="shared" si="14"/>
        <v>533.46100000000001</v>
      </c>
    </row>
    <row r="360" spans="2:9" x14ac:dyDescent="0.2">
      <c r="B360" s="157">
        <f t="shared" si="12"/>
        <v>45791</v>
      </c>
      <c r="C360" s="342">
        <v>660</v>
      </c>
      <c r="D360" s="342"/>
      <c r="E360" s="342">
        <v>121.67400000000001</v>
      </c>
      <c r="F360" s="342">
        <v>820</v>
      </c>
      <c r="G360" s="15">
        <f t="shared" si="13"/>
        <v>698.32600000000002</v>
      </c>
      <c r="H360" s="15">
        <f>IFERROR(IF(Yearending&gt;B359,'5. Historical demand'!F360-'5. Historical demand'!C360-'5. Historical demand'!D360,""),"")</f>
        <v>160</v>
      </c>
      <c r="I360" s="15">
        <f t="shared" si="14"/>
        <v>538.32600000000002</v>
      </c>
    </row>
    <row r="361" spans="2:9" x14ac:dyDescent="0.2">
      <c r="B361" s="157">
        <f t="shared" si="12"/>
        <v>45792</v>
      </c>
      <c r="C361" s="342">
        <v>660</v>
      </c>
      <c r="D361" s="342"/>
      <c r="E361" s="342">
        <v>127.666</v>
      </c>
      <c r="F361" s="342">
        <v>820</v>
      </c>
      <c r="G361" s="15">
        <f t="shared" si="13"/>
        <v>692.33400000000006</v>
      </c>
      <c r="H361" s="15">
        <f>IFERROR(IF(Yearending&gt;B360,'5. Historical demand'!F361-'5. Historical demand'!C361-'5. Historical demand'!D361,""),"")</f>
        <v>160</v>
      </c>
      <c r="I361" s="15">
        <f t="shared" si="14"/>
        <v>532.33400000000006</v>
      </c>
    </row>
    <row r="362" spans="2:9" x14ac:dyDescent="0.2">
      <c r="B362" s="157">
        <f t="shared" si="12"/>
        <v>45793</v>
      </c>
      <c r="C362" s="342">
        <v>660</v>
      </c>
      <c r="D362" s="342"/>
      <c r="E362" s="342">
        <v>117.848</v>
      </c>
      <c r="F362" s="342">
        <v>820</v>
      </c>
      <c r="G362" s="15">
        <f t="shared" si="13"/>
        <v>702.15200000000004</v>
      </c>
      <c r="H362" s="15">
        <f>IFERROR(IF(Yearending&gt;B361,'5. Historical demand'!F362-'5. Historical demand'!C362-'5. Historical demand'!D362,""),"")</f>
        <v>160</v>
      </c>
      <c r="I362" s="15">
        <f t="shared" si="14"/>
        <v>542.15200000000004</v>
      </c>
    </row>
    <row r="363" spans="2:9" x14ac:dyDescent="0.2">
      <c r="B363" s="157">
        <f t="shared" si="12"/>
        <v>45794</v>
      </c>
      <c r="C363" s="342">
        <v>660</v>
      </c>
      <c r="D363" s="342"/>
      <c r="E363" s="342">
        <v>134.28899999999999</v>
      </c>
      <c r="F363" s="342">
        <v>820</v>
      </c>
      <c r="G363" s="15">
        <f t="shared" si="13"/>
        <v>685.71100000000001</v>
      </c>
      <c r="H363" s="15">
        <f>IFERROR(IF(Yearending&gt;B362,'5. Historical demand'!F363-'5. Historical demand'!C363-'5. Historical demand'!D363,""),"")</f>
        <v>160</v>
      </c>
      <c r="I363" s="15">
        <f t="shared" si="14"/>
        <v>525.71100000000001</v>
      </c>
    </row>
    <row r="364" spans="2:9" x14ac:dyDescent="0.2">
      <c r="B364" s="157">
        <f t="shared" ref="B364:B408" si="15">IFERROR(IF(Yearending&gt;B363, B363+1, ""),"")</f>
        <v>45795</v>
      </c>
      <c r="C364" s="342">
        <v>660</v>
      </c>
      <c r="D364" s="342"/>
      <c r="E364" s="342">
        <v>152.02000000000001</v>
      </c>
      <c r="F364" s="342">
        <v>820</v>
      </c>
      <c r="G364" s="15">
        <f t="shared" ref="G364:G408" si="16">IFERROR(IF(Yearending&gt;B363,F364-E364,""),"")</f>
        <v>667.98</v>
      </c>
      <c r="H364" s="15">
        <f>IFERROR(IF(Yearending&gt;B363,'5. Historical demand'!F364-'5. Historical demand'!C364-'5. Historical demand'!D364,""),"")</f>
        <v>160</v>
      </c>
      <c r="I364" s="15">
        <f t="shared" ref="I364:I408" si="17">IFERROR(IF(Yearending&gt;B363,C364+D364-E364,""),"")</f>
        <v>507.98</v>
      </c>
    </row>
    <row r="365" spans="2:9" x14ac:dyDescent="0.2">
      <c r="B365" s="157">
        <f t="shared" si="15"/>
        <v>45796</v>
      </c>
      <c r="C365" s="342">
        <v>660</v>
      </c>
      <c r="D365" s="342"/>
      <c r="E365" s="342">
        <v>124.813</v>
      </c>
      <c r="F365" s="342">
        <v>820</v>
      </c>
      <c r="G365" s="15">
        <f t="shared" si="16"/>
        <v>695.18700000000001</v>
      </c>
      <c r="H365" s="15">
        <f>IFERROR(IF(Yearending&gt;B364,'5. Historical demand'!F365-'5. Historical demand'!C365-'5. Historical demand'!D365,""),"")</f>
        <v>160</v>
      </c>
      <c r="I365" s="15">
        <f t="shared" si="17"/>
        <v>535.18700000000001</v>
      </c>
    </row>
    <row r="366" spans="2:9" x14ac:dyDescent="0.2">
      <c r="B366" s="157">
        <f t="shared" si="15"/>
        <v>45797</v>
      </c>
      <c r="C366" s="342">
        <v>660</v>
      </c>
      <c r="D366" s="342"/>
      <c r="E366" s="342">
        <v>93.173000000000002</v>
      </c>
      <c r="F366" s="342">
        <v>820</v>
      </c>
      <c r="G366" s="15">
        <f t="shared" si="16"/>
        <v>726.827</v>
      </c>
      <c r="H366" s="15">
        <f>IFERROR(IF(Yearending&gt;B365,'5. Historical demand'!F366-'5. Historical demand'!C366-'5. Historical demand'!D366,""),"")</f>
        <v>160</v>
      </c>
      <c r="I366" s="15">
        <f t="shared" si="17"/>
        <v>566.827</v>
      </c>
    </row>
    <row r="367" spans="2:9" x14ac:dyDescent="0.2">
      <c r="B367" s="157">
        <f t="shared" si="15"/>
        <v>45798</v>
      </c>
      <c r="C367" s="342">
        <v>660</v>
      </c>
      <c r="D367" s="342"/>
      <c r="E367" s="342">
        <v>157.274</v>
      </c>
      <c r="F367" s="342">
        <v>820</v>
      </c>
      <c r="G367" s="15">
        <f t="shared" si="16"/>
        <v>662.726</v>
      </c>
      <c r="H367" s="15">
        <f>IFERROR(IF(Yearending&gt;B366,'5. Historical demand'!F367-'5. Historical demand'!C367-'5. Historical demand'!D367,""),"")</f>
        <v>160</v>
      </c>
      <c r="I367" s="15">
        <f t="shared" si="17"/>
        <v>502.726</v>
      </c>
    </row>
    <row r="368" spans="2:9" x14ac:dyDescent="0.2">
      <c r="B368" s="157">
        <f t="shared" si="15"/>
        <v>45799</v>
      </c>
      <c r="C368" s="342">
        <v>660</v>
      </c>
      <c r="D368" s="342"/>
      <c r="E368" s="342">
        <v>122.08</v>
      </c>
      <c r="F368" s="342">
        <v>820</v>
      </c>
      <c r="G368" s="15">
        <f t="shared" si="16"/>
        <v>697.92</v>
      </c>
      <c r="H368" s="15">
        <f>IFERROR(IF(Yearending&gt;B367,'5. Historical demand'!F368-'5. Historical demand'!C368-'5. Historical demand'!D368,""),"")</f>
        <v>160</v>
      </c>
      <c r="I368" s="15">
        <f t="shared" si="17"/>
        <v>537.91999999999996</v>
      </c>
    </row>
    <row r="369" spans="2:9" x14ac:dyDescent="0.2">
      <c r="B369" s="157">
        <f t="shared" si="15"/>
        <v>45800</v>
      </c>
      <c r="C369" s="342">
        <v>660</v>
      </c>
      <c r="D369" s="342"/>
      <c r="E369" s="342">
        <v>168.87100000000001</v>
      </c>
      <c r="F369" s="342">
        <v>820</v>
      </c>
      <c r="G369" s="15">
        <f t="shared" si="16"/>
        <v>651.12900000000002</v>
      </c>
      <c r="H369" s="15">
        <f>IFERROR(IF(Yearending&gt;B368,'5. Historical demand'!F369-'5. Historical demand'!C369-'5. Historical demand'!D369,""),"")</f>
        <v>160</v>
      </c>
      <c r="I369" s="15">
        <f t="shared" si="17"/>
        <v>491.12900000000002</v>
      </c>
    </row>
    <row r="370" spans="2:9" x14ac:dyDescent="0.2">
      <c r="B370" s="157">
        <f t="shared" si="15"/>
        <v>45801</v>
      </c>
      <c r="C370" s="342">
        <v>660</v>
      </c>
      <c r="D370" s="342"/>
      <c r="E370" s="342">
        <v>111.376</v>
      </c>
      <c r="F370" s="342">
        <v>820</v>
      </c>
      <c r="G370" s="15">
        <f t="shared" si="16"/>
        <v>708.62400000000002</v>
      </c>
      <c r="H370" s="15">
        <f>IFERROR(IF(Yearending&gt;B369,'5. Historical demand'!F370-'5. Historical demand'!C370-'5. Historical demand'!D370,""),"")</f>
        <v>160</v>
      </c>
      <c r="I370" s="15">
        <f t="shared" si="17"/>
        <v>548.62400000000002</v>
      </c>
    </row>
    <row r="371" spans="2:9" x14ac:dyDescent="0.2">
      <c r="B371" s="157">
        <f t="shared" si="15"/>
        <v>45802</v>
      </c>
      <c r="C371" s="342">
        <v>660</v>
      </c>
      <c r="D371" s="342"/>
      <c r="E371" s="342">
        <v>117.04600000000001</v>
      </c>
      <c r="F371" s="342">
        <v>820</v>
      </c>
      <c r="G371" s="15">
        <f t="shared" si="16"/>
        <v>702.95399999999995</v>
      </c>
      <c r="H371" s="15">
        <f>IFERROR(IF(Yearending&gt;B370,'5. Historical demand'!F371-'5. Historical demand'!C371-'5. Historical demand'!D371,""),"")</f>
        <v>160</v>
      </c>
      <c r="I371" s="15">
        <f t="shared" si="17"/>
        <v>542.95399999999995</v>
      </c>
    </row>
    <row r="372" spans="2:9" x14ac:dyDescent="0.2">
      <c r="B372" s="157">
        <f t="shared" si="15"/>
        <v>45803</v>
      </c>
      <c r="C372" s="342">
        <v>660</v>
      </c>
      <c r="D372" s="342"/>
      <c r="E372" s="342">
        <v>108.063</v>
      </c>
      <c r="F372" s="342">
        <v>820</v>
      </c>
      <c r="G372" s="15">
        <f t="shared" si="16"/>
        <v>711.93700000000001</v>
      </c>
      <c r="H372" s="15">
        <f>IFERROR(IF(Yearending&gt;B371,'5. Historical demand'!F372-'5. Historical demand'!C372-'5. Historical demand'!D372,""),"")</f>
        <v>160</v>
      </c>
      <c r="I372" s="15">
        <f t="shared" si="17"/>
        <v>551.93700000000001</v>
      </c>
    </row>
    <row r="373" spans="2:9" x14ac:dyDescent="0.2">
      <c r="B373" s="157">
        <f t="shared" si="15"/>
        <v>45804</v>
      </c>
      <c r="C373" s="342">
        <v>660</v>
      </c>
      <c r="D373" s="342"/>
      <c r="E373" s="342">
        <v>89.581000000000003</v>
      </c>
      <c r="F373" s="342">
        <v>820</v>
      </c>
      <c r="G373" s="15">
        <f t="shared" si="16"/>
        <v>730.41899999999998</v>
      </c>
      <c r="H373" s="15">
        <f>IFERROR(IF(Yearending&gt;B372,'5. Historical demand'!F373-'5. Historical demand'!C373-'5. Historical demand'!D373,""),"")</f>
        <v>160</v>
      </c>
      <c r="I373" s="15">
        <f t="shared" si="17"/>
        <v>570.41899999999998</v>
      </c>
    </row>
    <row r="374" spans="2:9" x14ac:dyDescent="0.2">
      <c r="B374" s="157">
        <f t="shared" si="15"/>
        <v>45805</v>
      </c>
      <c r="C374" s="342">
        <v>660</v>
      </c>
      <c r="D374" s="342"/>
      <c r="E374" s="342">
        <v>72.694000000000003</v>
      </c>
      <c r="F374" s="342">
        <v>820</v>
      </c>
      <c r="G374" s="15">
        <f t="shared" si="16"/>
        <v>747.30600000000004</v>
      </c>
      <c r="H374" s="15">
        <f>IFERROR(IF(Yearending&gt;B373,'5. Historical demand'!F374-'5. Historical demand'!C374-'5. Historical demand'!D374,""),"")</f>
        <v>160</v>
      </c>
      <c r="I374" s="15">
        <f t="shared" si="17"/>
        <v>587.30600000000004</v>
      </c>
    </row>
    <row r="375" spans="2:9" x14ac:dyDescent="0.2">
      <c r="B375" s="157">
        <f t="shared" si="15"/>
        <v>45806</v>
      </c>
      <c r="C375" s="342">
        <v>660</v>
      </c>
      <c r="D375" s="342"/>
      <c r="E375" s="342">
        <v>90.453999999999994</v>
      </c>
      <c r="F375" s="342">
        <v>820</v>
      </c>
      <c r="G375" s="15">
        <f t="shared" si="16"/>
        <v>729.54600000000005</v>
      </c>
      <c r="H375" s="15">
        <f>IFERROR(IF(Yearending&gt;B374,'5. Historical demand'!F375-'5. Historical demand'!C375-'5. Historical demand'!D375,""),"")</f>
        <v>160</v>
      </c>
      <c r="I375" s="15">
        <f t="shared" si="17"/>
        <v>569.54600000000005</v>
      </c>
    </row>
    <row r="376" spans="2:9" x14ac:dyDescent="0.2">
      <c r="B376" s="157">
        <f t="shared" si="15"/>
        <v>45807</v>
      </c>
      <c r="C376" s="342">
        <v>660</v>
      </c>
      <c r="D376" s="342"/>
      <c r="E376" s="342">
        <v>53.947000000000003</v>
      </c>
      <c r="F376" s="342">
        <v>820</v>
      </c>
      <c r="G376" s="15">
        <f t="shared" si="16"/>
        <v>766.053</v>
      </c>
      <c r="H376" s="15">
        <f>IFERROR(IF(Yearending&gt;B375,'5. Historical demand'!F376-'5. Historical demand'!C376-'5. Historical demand'!D376,""),"")</f>
        <v>160</v>
      </c>
      <c r="I376" s="15">
        <f t="shared" si="17"/>
        <v>606.053</v>
      </c>
    </row>
    <row r="377" spans="2:9" x14ac:dyDescent="0.2">
      <c r="B377" s="157">
        <f t="shared" si="15"/>
        <v>45808</v>
      </c>
      <c r="C377" s="342">
        <v>660</v>
      </c>
      <c r="D377" s="342"/>
      <c r="E377" s="342">
        <v>101.008</v>
      </c>
      <c r="F377" s="342">
        <v>820</v>
      </c>
      <c r="G377" s="15">
        <f t="shared" si="16"/>
        <v>718.99199999999996</v>
      </c>
      <c r="H377" s="15">
        <f>IFERROR(IF(Yearending&gt;B376,'5. Historical demand'!F377-'5. Historical demand'!C377-'5. Historical demand'!D377,""),"")</f>
        <v>160</v>
      </c>
      <c r="I377" s="15">
        <f t="shared" si="17"/>
        <v>558.99199999999996</v>
      </c>
    </row>
    <row r="378" spans="2:9" x14ac:dyDescent="0.2">
      <c r="B378" s="157">
        <f t="shared" si="15"/>
        <v>45809</v>
      </c>
      <c r="C378" s="342">
        <v>660</v>
      </c>
      <c r="D378" s="342"/>
      <c r="E378" s="342">
        <v>132.31800000000001</v>
      </c>
      <c r="F378" s="342">
        <v>820</v>
      </c>
      <c r="G378" s="15">
        <f t="shared" si="16"/>
        <v>687.68200000000002</v>
      </c>
      <c r="H378" s="15">
        <f>IFERROR(IF(Yearending&gt;B377,'5. Historical demand'!F378-'5. Historical demand'!C378-'5. Historical demand'!D378,""),"")</f>
        <v>160</v>
      </c>
      <c r="I378" s="15">
        <f t="shared" si="17"/>
        <v>527.68200000000002</v>
      </c>
    </row>
    <row r="379" spans="2:9" x14ac:dyDescent="0.2">
      <c r="B379" s="157">
        <f t="shared" si="15"/>
        <v>45810</v>
      </c>
      <c r="C379" s="342">
        <v>660</v>
      </c>
      <c r="D379" s="342"/>
      <c r="E379" s="342">
        <v>130.91399999999999</v>
      </c>
      <c r="F379" s="342">
        <v>820</v>
      </c>
      <c r="G379" s="15">
        <f t="shared" si="16"/>
        <v>689.08600000000001</v>
      </c>
      <c r="H379" s="15">
        <f>IFERROR(IF(Yearending&gt;B378,'5. Historical demand'!F379-'5. Historical demand'!C379-'5. Historical demand'!D379,""),"")</f>
        <v>160</v>
      </c>
      <c r="I379" s="15">
        <f t="shared" si="17"/>
        <v>529.08600000000001</v>
      </c>
    </row>
    <row r="380" spans="2:9" x14ac:dyDescent="0.2">
      <c r="B380" s="157">
        <f t="shared" si="15"/>
        <v>45811</v>
      </c>
      <c r="C380" s="342">
        <v>660</v>
      </c>
      <c r="D380" s="342"/>
      <c r="E380" s="342">
        <v>132.91300000000001</v>
      </c>
      <c r="F380" s="342">
        <v>820</v>
      </c>
      <c r="G380" s="15">
        <f t="shared" si="16"/>
        <v>687.08699999999999</v>
      </c>
      <c r="H380" s="15">
        <f>IFERROR(IF(Yearending&gt;B379,'5. Historical demand'!F380-'5. Historical demand'!C380-'5. Historical demand'!D380,""),"")</f>
        <v>160</v>
      </c>
      <c r="I380" s="15">
        <f t="shared" si="17"/>
        <v>527.08699999999999</v>
      </c>
    </row>
    <row r="381" spans="2:9" x14ac:dyDescent="0.2">
      <c r="B381" s="157">
        <f t="shared" si="15"/>
        <v>45812</v>
      </c>
      <c r="C381" s="342">
        <v>660</v>
      </c>
      <c r="D381" s="342"/>
      <c r="E381" s="342">
        <v>148.28100000000001</v>
      </c>
      <c r="F381" s="342">
        <v>820</v>
      </c>
      <c r="G381" s="15">
        <f t="shared" si="16"/>
        <v>671.71900000000005</v>
      </c>
      <c r="H381" s="15">
        <f>IFERROR(IF(Yearending&gt;B380,'5. Historical demand'!F381-'5. Historical demand'!C381-'5. Historical demand'!D381,""),"")</f>
        <v>160</v>
      </c>
      <c r="I381" s="15">
        <f t="shared" si="17"/>
        <v>511.71899999999999</v>
      </c>
    </row>
    <row r="382" spans="2:9" x14ac:dyDescent="0.2">
      <c r="B382" s="157">
        <f t="shared" si="15"/>
        <v>45813</v>
      </c>
      <c r="C382" s="342">
        <v>660</v>
      </c>
      <c r="D382" s="342"/>
      <c r="E382" s="342">
        <v>151.274</v>
      </c>
      <c r="F382" s="342">
        <v>820</v>
      </c>
      <c r="G382" s="15">
        <f t="shared" si="16"/>
        <v>668.726</v>
      </c>
      <c r="H382" s="15">
        <f>IFERROR(IF(Yearending&gt;B381,'5. Historical demand'!F382-'5. Historical demand'!C382-'5. Historical demand'!D382,""),"")</f>
        <v>160</v>
      </c>
      <c r="I382" s="15">
        <f t="shared" si="17"/>
        <v>508.726</v>
      </c>
    </row>
    <row r="383" spans="2:9" x14ac:dyDescent="0.2">
      <c r="B383" s="157">
        <f t="shared" si="15"/>
        <v>45814</v>
      </c>
      <c r="C383" s="342">
        <v>660</v>
      </c>
      <c r="D383" s="342"/>
      <c r="E383" s="342">
        <v>50.988999999999997</v>
      </c>
      <c r="F383" s="342">
        <v>820</v>
      </c>
      <c r="G383" s="15">
        <f t="shared" si="16"/>
        <v>769.01099999999997</v>
      </c>
      <c r="H383" s="15">
        <f>IFERROR(IF(Yearending&gt;B382,'5. Historical demand'!F383-'5. Historical demand'!C383-'5. Historical demand'!D383,""),"")</f>
        <v>160</v>
      </c>
      <c r="I383" s="15">
        <f t="shared" si="17"/>
        <v>609.01099999999997</v>
      </c>
    </row>
    <row r="384" spans="2:9" x14ac:dyDescent="0.2">
      <c r="B384" s="157">
        <f t="shared" si="15"/>
        <v>45815</v>
      </c>
      <c r="C384" s="342">
        <v>660</v>
      </c>
      <c r="D384" s="342"/>
      <c r="E384" s="342">
        <v>81.793000000000006</v>
      </c>
      <c r="F384" s="342">
        <v>820</v>
      </c>
      <c r="G384" s="15">
        <f t="shared" si="16"/>
        <v>738.20699999999999</v>
      </c>
      <c r="H384" s="15">
        <f>IFERROR(IF(Yearending&gt;B383,'5. Historical demand'!F384-'5. Historical demand'!C384-'5. Historical demand'!D384,""),"")</f>
        <v>160</v>
      </c>
      <c r="I384" s="15">
        <f t="shared" si="17"/>
        <v>578.20699999999999</v>
      </c>
    </row>
    <row r="385" spans="2:9" x14ac:dyDescent="0.2">
      <c r="B385" s="157">
        <f t="shared" si="15"/>
        <v>45816</v>
      </c>
      <c r="C385" s="342">
        <v>660</v>
      </c>
      <c r="D385" s="342"/>
      <c r="E385" s="342">
        <v>64.641000000000005</v>
      </c>
      <c r="F385" s="342">
        <v>820</v>
      </c>
      <c r="G385" s="15">
        <f t="shared" si="16"/>
        <v>755.35900000000004</v>
      </c>
      <c r="H385" s="15">
        <f>IFERROR(IF(Yearending&gt;B384,'5. Historical demand'!F385-'5. Historical demand'!C385-'5. Historical demand'!D385,""),"")</f>
        <v>160</v>
      </c>
      <c r="I385" s="15">
        <f t="shared" si="17"/>
        <v>595.35900000000004</v>
      </c>
    </row>
    <row r="386" spans="2:9" x14ac:dyDescent="0.2">
      <c r="B386" s="157">
        <f t="shared" si="15"/>
        <v>45817</v>
      </c>
      <c r="C386" s="342">
        <v>660</v>
      </c>
      <c r="D386" s="342"/>
      <c r="E386" s="342">
        <v>53.051000000000002</v>
      </c>
      <c r="F386" s="342">
        <v>820</v>
      </c>
      <c r="G386" s="15">
        <f t="shared" si="16"/>
        <v>766.94899999999996</v>
      </c>
      <c r="H386" s="15">
        <f>IFERROR(IF(Yearending&gt;B385,'5. Historical demand'!F386-'5. Historical demand'!C386-'5. Historical demand'!D386,""),"")</f>
        <v>160</v>
      </c>
      <c r="I386" s="15">
        <f t="shared" si="17"/>
        <v>606.94899999999996</v>
      </c>
    </row>
    <row r="387" spans="2:9" x14ac:dyDescent="0.2">
      <c r="B387" s="157">
        <f t="shared" si="15"/>
        <v>45818</v>
      </c>
      <c r="C387" s="342">
        <v>660</v>
      </c>
      <c r="D387" s="342"/>
      <c r="E387" s="342">
        <v>98.331000000000003</v>
      </c>
      <c r="F387" s="342">
        <v>820</v>
      </c>
      <c r="G387" s="15">
        <f t="shared" si="16"/>
        <v>721.66899999999998</v>
      </c>
      <c r="H387" s="15">
        <f>IFERROR(IF(Yearending&gt;B386,'5. Historical demand'!F387-'5. Historical demand'!C387-'5. Historical demand'!D387,""),"")</f>
        <v>160</v>
      </c>
      <c r="I387" s="15">
        <f t="shared" si="17"/>
        <v>561.66899999999998</v>
      </c>
    </row>
    <row r="388" spans="2:9" x14ac:dyDescent="0.2">
      <c r="B388" s="157">
        <f t="shared" si="15"/>
        <v>45819</v>
      </c>
      <c r="C388" s="342">
        <v>660</v>
      </c>
      <c r="D388" s="342"/>
      <c r="E388" s="342">
        <v>141.28700000000001</v>
      </c>
      <c r="F388" s="342">
        <v>820</v>
      </c>
      <c r="G388" s="15">
        <f t="shared" si="16"/>
        <v>678.71299999999997</v>
      </c>
      <c r="H388" s="15">
        <f>IFERROR(IF(Yearending&gt;B387,'5. Historical demand'!F388-'5. Historical demand'!C388-'5. Historical demand'!D388,""),"")</f>
        <v>160</v>
      </c>
      <c r="I388" s="15">
        <f t="shared" si="17"/>
        <v>518.71299999999997</v>
      </c>
    </row>
    <row r="389" spans="2:9" x14ac:dyDescent="0.2">
      <c r="B389" s="157">
        <f t="shared" si="15"/>
        <v>45820</v>
      </c>
      <c r="C389" s="342">
        <v>660</v>
      </c>
      <c r="D389" s="342"/>
      <c r="E389" s="342">
        <v>221.65299999999999</v>
      </c>
      <c r="F389" s="342">
        <v>820</v>
      </c>
      <c r="G389" s="15">
        <f t="shared" si="16"/>
        <v>598.34699999999998</v>
      </c>
      <c r="H389" s="15">
        <f>IFERROR(IF(Yearending&gt;B388,'5. Historical demand'!F389-'5. Historical demand'!C389-'5. Historical demand'!D389,""),"")</f>
        <v>160</v>
      </c>
      <c r="I389" s="15">
        <f t="shared" si="17"/>
        <v>438.34699999999998</v>
      </c>
    </row>
    <row r="390" spans="2:9" x14ac:dyDescent="0.2">
      <c r="B390" s="157">
        <f t="shared" si="15"/>
        <v>45821</v>
      </c>
      <c r="C390" s="342">
        <v>660</v>
      </c>
      <c r="D390" s="342"/>
      <c r="E390" s="342">
        <v>244.23099999999999</v>
      </c>
      <c r="F390" s="342">
        <v>820</v>
      </c>
      <c r="G390" s="15">
        <f t="shared" si="16"/>
        <v>575.76900000000001</v>
      </c>
      <c r="H390" s="15">
        <f>IFERROR(IF(Yearending&gt;B389,'5. Historical demand'!F390-'5. Historical demand'!C390-'5. Historical demand'!D390,""),"")</f>
        <v>160</v>
      </c>
      <c r="I390" s="15">
        <f t="shared" si="17"/>
        <v>415.76900000000001</v>
      </c>
    </row>
    <row r="391" spans="2:9" x14ac:dyDescent="0.2">
      <c r="B391" s="157">
        <f t="shared" si="15"/>
        <v>45822</v>
      </c>
      <c r="C391" s="342">
        <v>660</v>
      </c>
      <c r="D391" s="342"/>
      <c r="E391" s="342">
        <v>155.874</v>
      </c>
      <c r="F391" s="342">
        <v>820</v>
      </c>
      <c r="G391" s="15">
        <f t="shared" si="16"/>
        <v>664.12599999999998</v>
      </c>
      <c r="H391" s="15">
        <f>IFERROR(IF(Yearending&gt;B390,'5. Historical demand'!F391-'5. Historical demand'!C391-'5. Historical demand'!D391,""),"")</f>
        <v>160</v>
      </c>
      <c r="I391" s="15">
        <f t="shared" si="17"/>
        <v>504.12599999999998</v>
      </c>
    </row>
    <row r="392" spans="2:9" x14ac:dyDescent="0.2">
      <c r="B392" s="157">
        <f t="shared" si="15"/>
        <v>45823</v>
      </c>
      <c r="C392" s="342">
        <v>660</v>
      </c>
      <c r="D392" s="342"/>
      <c r="E392" s="342">
        <v>162.28200000000001</v>
      </c>
      <c r="F392" s="342">
        <v>820</v>
      </c>
      <c r="G392" s="15">
        <f t="shared" si="16"/>
        <v>657.71799999999996</v>
      </c>
      <c r="H392" s="15">
        <f>IFERROR(IF(Yearending&gt;B391,'5. Historical demand'!F392-'5. Historical demand'!C392-'5. Historical demand'!D392,""),"")</f>
        <v>160</v>
      </c>
      <c r="I392" s="15">
        <f t="shared" si="17"/>
        <v>497.71799999999996</v>
      </c>
    </row>
    <row r="393" spans="2:9" x14ac:dyDescent="0.2">
      <c r="B393" s="157">
        <f t="shared" si="15"/>
        <v>45824</v>
      </c>
      <c r="C393" s="342">
        <v>660</v>
      </c>
      <c r="D393" s="342"/>
      <c r="E393" s="342">
        <v>134.51300000000001</v>
      </c>
      <c r="F393" s="342">
        <v>820</v>
      </c>
      <c r="G393" s="15">
        <f t="shared" si="16"/>
        <v>685.48699999999997</v>
      </c>
      <c r="H393" s="15">
        <f>IFERROR(IF(Yearending&gt;B392,'5. Historical demand'!F393-'5. Historical demand'!C393-'5. Historical demand'!D393,""),"")</f>
        <v>160</v>
      </c>
      <c r="I393" s="15">
        <f t="shared" si="17"/>
        <v>525.48699999999997</v>
      </c>
    </row>
    <row r="394" spans="2:9" x14ac:dyDescent="0.2">
      <c r="B394" s="157">
        <f t="shared" si="15"/>
        <v>45825</v>
      </c>
      <c r="C394" s="342">
        <v>660</v>
      </c>
      <c r="D394" s="342"/>
      <c r="E394" s="342">
        <v>179.46299999999999</v>
      </c>
      <c r="F394" s="342">
        <v>820</v>
      </c>
      <c r="G394" s="15">
        <f t="shared" si="16"/>
        <v>640.53700000000003</v>
      </c>
      <c r="H394" s="15">
        <f>IFERROR(IF(Yearending&gt;B393,'5. Historical demand'!F394-'5. Historical demand'!C394-'5. Historical demand'!D394,""),"")</f>
        <v>160</v>
      </c>
      <c r="I394" s="15">
        <f t="shared" si="17"/>
        <v>480.53700000000003</v>
      </c>
    </row>
    <row r="395" spans="2:9" x14ac:dyDescent="0.2">
      <c r="B395" s="157">
        <f t="shared" si="15"/>
        <v>45826</v>
      </c>
      <c r="C395" s="342">
        <v>660</v>
      </c>
      <c r="D395" s="342"/>
      <c r="E395" s="342">
        <v>241.244</v>
      </c>
      <c r="F395" s="342">
        <v>820</v>
      </c>
      <c r="G395" s="15">
        <f t="shared" si="16"/>
        <v>578.75599999999997</v>
      </c>
      <c r="H395" s="15">
        <f>IFERROR(IF(Yearending&gt;B394,'5. Historical demand'!F395-'5. Historical demand'!C395-'5. Historical demand'!D395,""),"")</f>
        <v>160</v>
      </c>
      <c r="I395" s="15">
        <f t="shared" si="17"/>
        <v>418.75599999999997</v>
      </c>
    </row>
    <row r="396" spans="2:9" x14ac:dyDescent="0.2">
      <c r="B396" s="157">
        <f t="shared" si="15"/>
        <v>45827</v>
      </c>
      <c r="C396" s="342">
        <v>660</v>
      </c>
      <c r="D396" s="342"/>
      <c r="E396" s="342">
        <v>217.392</v>
      </c>
      <c r="F396" s="342">
        <v>820</v>
      </c>
      <c r="G396" s="15">
        <f t="shared" si="16"/>
        <v>602.60799999999995</v>
      </c>
      <c r="H396" s="15">
        <f>IFERROR(IF(Yearending&gt;B395,'5. Historical demand'!F396-'5. Historical demand'!C396-'5. Historical demand'!D396,""),"")</f>
        <v>160</v>
      </c>
      <c r="I396" s="15">
        <f t="shared" si="17"/>
        <v>442.608</v>
      </c>
    </row>
    <row r="397" spans="2:9" x14ac:dyDescent="0.2">
      <c r="B397" s="157">
        <f t="shared" si="15"/>
        <v>45828</v>
      </c>
      <c r="C397" s="342">
        <v>660</v>
      </c>
      <c r="D397" s="342"/>
      <c r="E397" s="342">
        <v>198.661</v>
      </c>
      <c r="F397" s="342">
        <v>820</v>
      </c>
      <c r="G397" s="15">
        <f t="shared" si="16"/>
        <v>621.33899999999994</v>
      </c>
      <c r="H397" s="15">
        <f>IFERROR(IF(Yearending&gt;B396,'5. Historical demand'!F397-'5. Historical demand'!C397-'5. Historical demand'!D397,""),"")</f>
        <v>160</v>
      </c>
      <c r="I397" s="15">
        <f t="shared" si="17"/>
        <v>461.339</v>
      </c>
    </row>
    <row r="398" spans="2:9" x14ac:dyDescent="0.2">
      <c r="B398" s="157">
        <f t="shared" si="15"/>
        <v>45829</v>
      </c>
      <c r="C398" s="342">
        <v>660</v>
      </c>
      <c r="D398" s="342"/>
      <c r="E398" s="342">
        <v>141.286</v>
      </c>
      <c r="F398" s="342">
        <v>820</v>
      </c>
      <c r="G398" s="15">
        <f t="shared" si="16"/>
        <v>678.71399999999994</v>
      </c>
      <c r="H398" s="15">
        <f>IFERROR(IF(Yearending&gt;B397,'5. Historical demand'!F398-'5. Historical demand'!C398-'5. Historical demand'!D398,""),"")</f>
        <v>160</v>
      </c>
      <c r="I398" s="15">
        <f t="shared" si="17"/>
        <v>518.71399999999994</v>
      </c>
    </row>
    <row r="399" spans="2:9" x14ac:dyDescent="0.2">
      <c r="B399" s="157">
        <f t="shared" si="15"/>
        <v>45830</v>
      </c>
      <c r="C399" s="342">
        <v>660</v>
      </c>
      <c r="D399" s="342"/>
      <c r="E399" s="342">
        <v>146.67099999999999</v>
      </c>
      <c r="F399" s="342">
        <v>820</v>
      </c>
      <c r="G399" s="15">
        <f t="shared" si="16"/>
        <v>673.32899999999995</v>
      </c>
      <c r="H399" s="15">
        <f>IFERROR(IF(Yearending&gt;B398,'5. Historical demand'!F399-'5. Historical demand'!C399-'5. Historical demand'!D399,""),"")</f>
        <v>160</v>
      </c>
      <c r="I399" s="15">
        <f t="shared" si="17"/>
        <v>513.32899999999995</v>
      </c>
    </row>
    <row r="400" spans="2:9" x14ac:dyDescent="0.2">
      <c r="B400" s="157">
        <f t="shared" si="15"/>
        <v>45831</v>
      </c>
      <c r="C400" s="342">
        <v>660</v>
      </c>
      <c r="D400" s="342"/>
      <c r="E400" s="342">
        <v>151.98699999999999</v>
      </c>
      <c r="F400" s="342">
        <v>820</v>
      </c>
      <c r="G400" s="15">
        <f t="shared" si="16"/>
        <v>668.01300000000003</v>
      </c>
      <c r="H400" s="15">
        <f>IFERROR(IF(Yearending&gt;B399,'5. Historical demand'!F400-'5. Historical demand'!C400-'5. Historical demand'!D400,""),"")</f>
        <v>160</v>
      </c>
      <c r="I400" s="15">
        <f t="shared" si="17"/>
        <v>508.01300000000003</v>
      </c>
    </row>
    <row r="401" spans="2:9" x14ac:dyDescent="0.2">
      <c r="B401" s="157">
        <f t="shared" si="15"/>
        <v>45832</v>
      </c>
      <c r="C401" s="342">
        <v>660</v>
      </c>
      <c r="D401" s="342"/>
      <c r="E401" s="342">
        <v>181.78200000000001</v>
      </c>
      <c r="F401" s="342">
        <v>820</v>
      </c>
      <c r="G401" s="15">
        <f t="shared" si="16"/>
        <v>638.21799999999996</v>
      </c>
      <c r="H401" s="15">
        <f>IFERROR(IF(Yearending&gt;B400,'5. Historical demand'!F401-'5. Historical demand'!C401-'5. Historical demand'!D401,""),"")</f>
        <v>160</v>
      </c>
      <c r="I401" s="15">
        <f t="shared" si="17"/>
        <v>478.21799999999996</v>
      </c>
    </row>
    <row r="402" spans="2:9" x14ac:dyDescent="0.2">
      <c r="B402" s="157">
        <f t="shared" si="15"/>
        <v>45833</v>
      </c>
      <c r="C402" s="342">
        <v>660</v>
      </c>
      <c r="D402" s="342"/>
      <c r="E402" s="342">
        <v>186.56100000000001</v>
      </c>
      <c r="F402" s="342">
        <v>820</v>
      </c>
      <c r="G402" s="15">
        <f t="shared" si="16"/>
        <v>633.43899999999996</v>
      </c>
      <c r="H402" s="15">
        <f>IFERROR(IF(Yearending&gt;B401,'5. Historical demand'!F402-'5. Historical demand'!C402-'5. Historical demand'!D402,""),"")</f>
        <v>160</v>
      </c>
      <c r="I402" s="15">
        <f t="shared" si="17"/>
        <v>473.43899999999996</v>
      </c>
    </row>
    <row r="403" spans="2:9" x14ac:dyDescent="0.2">
      <c r="B403" s="157">
        <f t="shared" si="15"/>
        <v>45834</v>
      </c>
      <c r="C403" s="342">
        <v>660</v>
      </c>
      <c r="D403" s="342"/>
      <c r="E403" s="342">
        <v>57.028000000000006</v>
      </c>
      <c r="F403" s="342">
        <v>820</v>
      </c>
      <c r="G403" s="15">
        <f t="shared" si="16"/>
        <v>762.97199999999998</v>
      </c>
      <c r="H403" s="15">
        <f>IFERROR(IF(Yearending&gt;B402,'5. Historical demand'!F403-'5. Historical demand'!C403-'5. Historical demand'!D403,""),"")</f>
        <v>160</v>
      </c>
      <c r="I403" s="15">
        <f t="shared" si="17"/>
        <v>602.97199999999998</v>
      </c>
    </row>
    <row r="404" spans="2:9" x14ac:dyDescent="0.2">
      <c r="B404" s="157">
        <f t="shared" si="15"/>
        <v>45835</v>
      </c>
      <c r="C404" s="342">
        <v>660</v>
      </c>
      <c r="D404" s="342"/>
      <c r="E404" s="342">
        <v>140.07300000000001</v>
      </c>
      <c r="F404" s="342">
        <v>820</v>
      </c>
      <c r="G404" s="15">
        <f t="shared" si="16"/>
        <v>679.92700000000002</v>
      </c>
      <c r="H404" s="15">
        <f>IFERROR(IF(Yearending&gt;B403,'5. Historical demand'!F404-'5. Historical demand'!C404-'5. Historical demand'!D404,""),"")</f>
        <v>160</v>
      </c>
      <c r="I404" s="15">
        <f t="shared" si="17"/>
        <v>519.92700000000002</v>
      </c>
    </row>
    <row r="405" spans="2:9" x14ac:dyDescent="0.2">
      <c r="B405" s="157">
        <f t="shared" si="15"/>
        <v>45836</v>
      </c>
      <c r="C405" s="342">
        <v>660</v>
      </c>
      <c r="D405" s="342"/>
      <c r="E405" s="342">
        <v>107.69199999999999</v>
      </c>
      <c r="F405" s="342">
        <v>820</v>
      </c>
      <c r="G405" s="15">
        <f t="shared" si="16"/>
        <v>712.30799999999999</v>
      </c>
      <c r="H405" s="15">
        <f>IFERROR(IF(Yearending&gt;B404,'5. Historical demand'!F405-'5. Historical demand'!C405-'5. Historical demand'!D405,""),"")</f>
        <v>160</v>
      </c>
      <c r="I405" s="15">
        <f t="shared" si="17"/>
        <v>552.30799999999999</v>
      </c>
    </row>
    <row r="406" spans="2:9" x14ac:dyDescent="0.2">
      <c r="B406" s="157">
        <f t="shared" si="15"/>
        <v>45837</v>
      </c>
      <c r="C406" s="342">
        <v>660</v>
      </c>
      <c r="D406" s="342"/>
      <c r="E406" s="342">
        <v>142.82499999999999</v>
      </c>
      <c r="F406" s="342">
        <v>820</v>
      </c>
      <c r="G406" s="15">
        <f t="shared" si="16"/>
        <v>677.17499999999995</v>
      </c>
      <c r="H406" s="15">
        <f>IFERROR(IF(Yearending&gt;B405,'5. Historical demand'!F406-'5. Historical demand'!C406-'5. Historical demand'!D406,""),"")</f>
        <v>160</v>
      </c>
      <c r="I406" s="15">
        <f t="shared" si="17"/>
        <v>517.17499999999995</v>
      </c>
    </row>
    <row r="407" spans="2:9" x14ac:dyDescent="0.2">
      <c r="B407" s="157">
        <f t="shared" si="15"/>
        <v>45838</v>
      </c>
      <c r="C407" s="342">
        <v>660</v>
      </c>
      <c r="D407" s="342"/>
      <c r="E407" s="342">
        <v>174.61799999999999</v>
      </c>
      <c r="F407" s="342">
        <v>820</v>
      </c>
      <c r="G407" s="15">
        <f t="shared" si="16"/>
        <v>645.38200000000006</v>
      </c>
      <c r="H407" s="15">
        <f>IFERROR(IF(Yearending&gt;B406,'5. Historical demand'!F407-'5. Historical demand'!C407-'5. Historical demand'!D407,""),"")</f>
        <v>160</v>
      </c>
      <c r="I407" s="15">
        <f t="shared" si="17"/>
        <v>485.38200000000001</v>
      </c>
    </row>
    <row r="408" spans="2:9" x14ac:dyDescent="0.2">
      <c r="B408" s="157" t="str">
        <f t="shared" si="15"/>
        <v/>
      </c>
      <c r="C408" s="342"/>
      <c r="D408" s="342"/>
      <c r="E408" s="342"/>
      <c r="F408" s="342"/>
      <c r="G408" s="15" t="str">
        <f t="shared" si="16"/>
        <v/>
      </c>
      <c r="H408" s="15" t="str">
        <f>IFERROR(IF(Yearending&gt;B407,'5. Historical demand'!F408-'5. Historical demand'!C408-'5. Historical demand'!D408,""),"")</f>
        <v/>
      </c>
      <c r="I408" s="15" t="str">
        <f t="shared" si="17"/>
        <v/>
      </c>
    </row>
  </sheetData>
  <sheetProtection sheet="1" insertRows="0"/>
  <mergeCells count="1">
    <mergeCell ref="B6:D9"/>
  </mergeCells>
  <conditionalFormatting sqref="B43:B408">
    <cfRule type="containsErrors" dxfId="2" priority="1" stopIfTrue="1">
      <formula>ISERROR(B43)</formula>
    </cfRule>
  </conditionalFormatting>
  <pageMargins left="0.75" right="0.75" top="1" bottom="1" header="0.5" footer="0.5"/>
  <pageSetup paperSize="9" scale="30" orientation="landscape" r:id="rId1"/>
  <headerFooter alignWithMargins="0">
    <oddFooter>&amp;C_x000D_&amp;1#&amp;"Aptos"&amp;10&amp;K008000 APA-INTERNAL</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48B3-AB81-4224-B0DC-97DB7F2996E8}">
  <sheetPr>
    <tabColor theme="5" tint="0.79998168889431442"/>
  </sheetPr>
  <dimension ref="A1"/>
  <sheetViews>
    <sheetView workbookViewId="0"/>
  </sheetViews>
  <sheetFormatPr defaultColWidth="9.42578125" defaultRowHeight="12.75" x14ac:dyDescent="0.2"/>
  <cols>
    <col min="1" max="16384" width="9.42578125" style="244"/>
  </cols>
  <sheetData>
    <row r="1" spans="1:1" x14ac:dyDescent="0.2">
      <c r="A1" s="273" t="s">
        <v>890</v>
      </c>
    </row>
  </sheetData>
  <pageMargins left="0.7" right="0.7" top="0.75" bottom="0.75" header="0.3" footer="0.3"/>
  <headerFooter>
    <oddFooter>&amp;C_x000D_&amp;1#&amp;"Aptos"&amp;10&amp;K008000 APA-INTERNAL</oddFooter>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6C029-2D9E-42A2-B608-1360135147F8}">
  <sheetPr codeName="Sheet31">
    <tabColor rgb="FF17415D"/>
  </sheetPr>
  <dimension ref="A1:K195"/>
  <sheetViews>
    <sheetView showGridLines="0" zoomScaleNormal="100" workbookViewId="0">
      <pane xSplit="1" ySplit="13" topLeftCell="B14" activePane="bottomRight" state="frozen"/>
      <selection pane="topRight" activeCell="B1" sqref="B1"/>
      <selection pane="bottomLeft" activeCell="A14" sqref="A14"/>
      <selection pane="bottomRight"/>
    </sheetView>
  </sheetViews>
  <sheetFormatPr defaultColWidth="9.42578125" defaultRowHeight="12.75" x14ac:dyDescent="0.2"/>
  <cols>
    <col min="1" max="1" width="11.5703125" style="155" customWidth="1"/>
    <col min="2" max="2" width="57.5703125" style="155" customWidth="1"/>
    <col min="3" max="3" width="44.5703125" style="155" customWidth="1"/>
    <col min="4" max="11" width="39" style="155" customWidth="1"/>
    <col min="12" max="16384" width="9.42578125" style="155"/>
  </cols>
  <sheetData>
    <row r="1" spans="1:4" ht="20.25" x14ac:dyDescent="0.2">
      <c r="A1" s="156"/>
      <c r="B1" s="103" t="s">
        <v>68</v>
      </c>
      <c r="C1" s="103"/>
    </row>
    <row r="2" spans="1:4" ht="20.25" x14ac:dyDescent="0.2">
      <c r="A2" s="156"/>
      <c r="B2" s="103" t="str">
        <f>IF(Tradingname=0," ",Tradingname)</f>
        <v>APA Reedy Creek Wallumbilla Pty Limited</v>
      </c>
      <c r="C2" s="103"/>
    </row>
    <row r="3" spans="1:4" ht="20.25" x14ac:dyDescent="0.3">
      <c r="B3" s="103" t="s">
        <v>46</v>
      </c>
      <c r="C3" s="80">
        <f>IF(Yearending=0, "0/01/2000", Yearending)</f>
        <v>45838</v>
      </c>
    </row>
    <row r="4" spans="1:4" ht="20.25" x14ac:dyDescent="0.2">
      <c r="B4" s="72" t="s">
        <v>444</v>
      </c>
      <c r="C4" s="72"/>
    </row>
    <row r="5" spans="1:4" x14ac:dyDescent="0.2">
      <c r="B5" s="155" t="s">
        <v>445</v>
      </c>
    </row>
    <row r="6" spans="1:4" ht="15.75" x14ac:dyDescent="0.25">
      <c r="B6" s="154"/>
    </row>
    <row r="7" spans="1:4" ht="12.75" customHeight="1" x14ac:dyDescent="0.2">
      <c r="B7" s="426" t="s">
        <v>446</v>
      </c>
      <c r="C7" s="426"/>
      <c r="D7" s="426"/>
    </row>
    <row r="8" spans="1:4" ht="12.75" customHeight="1" x14ac:dyDescent="0.2">
      <c r="B8" s="426"/>
      <c r="C8" s="426"/>
      <c r="D8" s="426"/>
    </row>
    <row r="9" spans="1:4" ht="12.75" customHeight="1" x14ac:dyDescent="0.2">
      <c r="B9" s="426"/>
      <c r="C9" s="426"/>
      <c r="D9" s="426"/>
    </row>
    <row r="10" spans="1:4" ht="12.75" customHeight="1" x14ac:dyDescent="0.2">
      <c r="B10" s="426"/>
      <c r="C10" s="426"/>
      <c r="D10" s="426"/>
    </row>
    <row r="11" spans="1:4" ht="12.75" customHeight="1" x14ac:dyDescent="0.2">
      <c r="B11" s="426"/>
      <c r="C11" s="426"/>
      <c r="D11" s="426"/>
    </row>
    <row r="12" spans="1:4" ht="12.75" customHeight="1" x14ac:dyDescent="0.2">
      <c r="B12" s="426"/>
      <c r="C12" s="426"/>
      <c r="D12" s="426"/>
    </row>
    <row r="13" spans="1:4" ht="12.75" customHeight="1" x14ac:dyDescent="0.2">
      <c r="B13" s="426"/>
      <c r="C13" s="426"/>
      <c r="D13" s="426"/>
    </row>
    <row r="16" spans="1:4" ht="12.75" customHeight="1" x14ac:dyDescent="0.25">
      <c r="B16" s="154" t="s">
        <v>447</v>
      </c>
    </row>
    <row r="17" spans="2:5" ht="12.75" customHeight="1" x14ac:dyDescent="0.25">
      <c r="B17" s="154"/>
    </row>
    <row r="18" spans="2:5" x14ac:dyDescent="0.2">
      <c r="B18" s="421" t="s">
        <v>448</v>
      </c>
      <c r="C18" s="423"/>
      <c r="D18" s="421" t="s">
        <v>449</v>
      </c>
      <c r="E18" s="423"/>
    </row>
    <row r="19" spans="2:5" x14ac:dyDescent="0.2">
      <c r="B19" s="461" t="s">
        <v>132</v>
      </c>
      <c r="C19" s="179" t="s">
        <v>450</v>
      </c>
      <c r="D19" s="465" t="s">
        <v>132</v>
      </c>
      <c r="E19" s="463" t="s">
        <v>184</v>
      </c>
    </row>
    <row r="20" spans="2:5" x14ac:dyDescent="0.2">
      <c r="B20" s="462"/>
      <c r="C20" s="90" t="s">
        <v>184</v>
      </c>
      <c r="D20" s="466"/>
      <c r="E20" s="464"/>
    </row>
    <row r="21" spans="2:5" x14ac:dyDescent="0.2">
      <c r="B21" s="91" t="s">
        <v>93</v>
      </c>
      <c r="C21" s="164">
        <v>0.97192258798925968</v>
      </c>
      <c r="D21" s="153" t="s">
        <v>451</v>
      </c>
      <c r="E21" s="164">
        <v>5.8299999999999998E-2</v>
      </c>
    </row>
    <row r="22" spans="2:5" x14ac:dyDescent="0.2">
      <c r="B22" s="91" t="s">
        <v>95</v>
      </c>
      <c r="C22" s="164">
        <v>0</v>
      </c>
      <c r="D22" s="153" t="s">
        <v>452</v>
      </c>
      <c r="E22" s="163">
        <v>0.6</v>
      </c>
    </row>
    <row r="23" spans="2:5" x14ac:dyDescent="0.2">
      <c r="B23" s="91" t="s">
        <v>96</v>
      </c>
      <c r="C23" s="164">
        <v>2.021546938176793E-2</v>
      </c>
      <c r="D23" s="153" t="s">
        <v>453</v>
      </c>
      <c r="E23" s="163">
        <v>0.3</v>
      </c>
    </row>
    <row r="24" spans="2:5" x14ac:dyDescent="0.2">
      <c r="B24" s="91" t="s">
        <v>97</v>
      </c>
      <c r="C24" s="164">
        <v>0</v>
      </c>
      <c r="D24" s="153" t="s">
        <v>454</v>
      </c>
      <c r="E24" s="163">
        <v>0.56999999999999995</v>
      </c>
    </row>
    <row r="25" spans="2:5" x14ac:dyDescent="0.2">
      <c r="B25" s="159" t="s">
        <v>98</v>
      </c>
      <c r="C25" s="164">
        <v>0</v>
      </c>
      <c r="D25" s="152" t="s">
        <v>455</v>
      </c>
      <c r="E25" s="164">
        <v>6.6600000000000006E-2</v>
      </c>
    </row>
    <row r="26" spans="2:5" x14ac:dyDescent="0.2">
      <c r="B26" s="91" t="s">
        <v>99</v>
      </c>
      <c r="C26" s="164">
        <v>0</v>
      </c>
      <c r="D26" s="323"/>
      <c r="E26" s="323"/>
    </row>
    <row r="27" spans="2:5" x14ac:dyDescent="0.2">
      <c r="B27" s="91" t="s">
        <v>100</v>
      </c>
      <c r="C27" s="164">
        <v>0</v>
      </c>
      <c r="D27" s="323"/>
      <c r="E27" s="323"/>
    </row>
    <row r="28" spans="2:5" x14ac:dyDescent="0.2">
      <c r="B28" s="91" t="s">
        <v>101</v>
      </c>
      <c r="C28" s="164">
        <v>9.5911992737281442E-5</v>
      </c>
      <c r="D28" s="323"/>
      <c r="E28" s="323"/>
    </row>
    <row r="29" spans="2:5" x14ac:dyDescent="0.2">
      <c r="B29" s="91" t="s">
        <v>103</v>
      </c>
      <c r="C29" s="164">
        <v>1.3823066406322112E-3</v>
      </c>
      <c r="D29" s="323"/>
      <c r="E29" s="323"/>
    </row>
    <row r="30" spans="2:5" x14ac:dyDescent="0.2">
      <c r="B30" s="91" t="s">
        <v>105</v>
      </c>
      <c r="C30" s="164">
        <v>6.3837239956030653E-3</v>
      </c>
      <c r="D30" s="323"/>
      <c r="E30" s="323"/>
    </row>
    <row r="31" spans="2:5" x14ac:dyDescent="0.2">
      <c r="B31" s="151" t="s">
        <v>71</v>
      </c>
      <c r="C31" s="96">
        <f>SUM(C21:C30)</f>
        <v>1.0000000000000002</v>
      </c>
      <c r="D31" s="323"/>
      <c r="E31" s="323"/>
    </row>
    <row r="34" spans="2:8" ht="15.75" x14ac:dyDescent="0.25">
      <c r="B34" s="154" t="s">
        <v>456</v>
      </c>
      <c r="C34" s="154"/>
    </row>
    <row r="36" spans="2:8" x14ac:dyDescent="0.2">
      <c r="B36" s="150"/>
      <c r="C36" s="150"/>
      <c r="D36" s="150" t="s">
        <v>457</v>
      </c>
      <c r="E36" s="150" t="s">
        <v>458</v>
      </c>
      <c r="F36" s="150" t="s">
        <v>459</v>
      </c>
      <c r="G36" s="150" t="s">
        <v>89</v>
      </c>
      <c r="H36" s="150" t="s">
        <v>90</v>
      </c>
    </row>
    <row r="37" spans="2:8" x14ac:dyDescent="0.2">
      <c r="B37" s="448" t="s">
        <v>93</v>
      </c>
      <c r="C37" s="150" t="s">
        <v>91</v>
      </c>
      <c r="D37" s="149">
        <f>MIN(C64:D64)</f>
        <v>4.2758943568901716E-3</v>
      </c>
      <c r="E37" s="149">
        <f>MIN(E64:G64)</f>
        <v>1.1303725203832138E-2</v>
      </c>
      <c r="F37" s="149">
        <f>MIN(H64,J64)+MIN(I64,K64)</f>
        <v>2.0746584641639608E-2</v>
      </c>
      <c r="G37" s="149">
        <f t="shared" ref="G37:G56" si="0">SUM(D37:F37)</f>
        <v>3.632620420236192E-2</v>
      </c>
      <c r="H37" s="460" t="s">
        <v>94</v>
      </c>
    </row>
    <row r="38" spans="2:8" x14ac:dyDescent="0.2">
      <c r="B38" s="449"/>
      <c r="C38" s="150" t="s">
        <v>92</v>
      </c>
      <c r="D38" s="149">
        <f>MAX(C64:D64)</f>
        <v>9.2246618189243627E-3</v>
      </c>
      <c r="E38" s="149">
        <f>MAX(E64:G64)</f>
        <v>1.263778756978047E-2</v>
      </c>
      <c r="F38" s="149">
        <f>MAX(H64,J64)+MAX(I64,K64)</f>
        <v>2.2627082729850558E-2</v>
      </c>
      <c r="G38" s="149">
        <f t="shared" si="0"/>
        <v>4.4489532118555386E-2</v>
      </c>
      <c r="H38" s="460"/>
    </row>
    <row r="39" spans="2:8" x14ac:dyDescent="0.2">
      <c r="B39" s="448" t="s">
        <v>95</v>
      </c>
      <c r="C39" s="150" t="s">
        <v>91</v>
      </c>
      <c r="D39" s="149">
        <f>MIN(C65:D65)</f>
        <v>0</v>
      </c>
      <c r="E39" s="149">
        <f>MIN(E65:G65)</f>
        <v>0</v>
      </c>
      <c r="F39" s="149">
        <f>MIN(H65,J65)+MIN(I65,K65)</f>
        <v>0</v>
      </c>
      <c r="G39" s="149">
        <f t="shared" si="0"/>
        <v>0</v>
      </c>
      <c r="H39" s="460" t="s">
        <v>94</v>
      </c>
    </row>
    <row r="40" spans="2:8" x14ac:dyDescent="0.2">
      <c r="B40" s="449"/>
      <c r="C40" s="150" t="s">
        <v>92</v>
      </c>
      <c r="D40" s="149">
        <f>MAX(C65:D65)</f>
        <v>0</v>
      </c>
      <c r="E40" s="149">
        <f>MAX(E65:G65)</f>
        <v>0</v>
      </c>
      <c r="F40" s="149">
        <f>MAX(H65,J65)+MAX(I65,K65)</f>
        <v>0</v>
      </c>
      <c r="G40" s="149">
        <f t="shared" si="0"/>
        <v>0</v>
      </c>
      <c r="H40" s="460"/>
    </row>
    <row r="41" spans="2:8" x14ac:dyDescent="0.2">
      <c r="B41" s="448" t="s">
        <v>96</v>
      </c>
      <c r="C41" s="150" t="s">
        <v>91</v>
      </c>
      <c r="D41" s="149">
        <f>MIN(C66:D66)</f>
        <v>0</v>
      </c>
      <c r="E41" s="149">
        <f>MIN(E66:G66)</f>
        <v>0</v>
      </c>
      <c r="F41" s="149">
        <f>MIN(H66,J66)+MIN(I66,K66)</f>
        <v>0</v>
      </c>
      <c r="G41" s="149">
        <f t="shared" si="0"/>
        <v>0</v>
      </c>
      <c r="H41" s="460" t="s">
        <v>94</v>
      </c>
    </row>
    <row r="42" spans="2:8" x14ac:dyDescent="0.2">
      <c r="B42" s="449"/>
      <c r="C42" s="150" t="s">
        <v>92</v>
      </c>
      <c r="D42" s="149">
        <f>MAX(C66:D66)</f>
        <v>0</v>
      </c>
      <c r="E42" s="149">
        <f>MAX(E66:G66)</f>
        <v>0</v>
      </c>
      <c r="F42" s="149">
        <f>MAX(H66,J66)+MAX(I66,K66)</f>
        <v>0</v>
      </c>
      <c r="G42" s="149">
        <f t="shared" si="0"/>
        <v>0</v>
      </c>
      <c r="H42" s="460"/>
    </row>
    <row r="43" spans="2:8" x14ac:dyDescent="0.2">
      <c r="B43" s="448" t="s">
        <v>97</v>
      </c>
      <c r="C43" s="150" t="s">
        <v>91</v>
      </c>
      <c r="D43" s="149">
        <f>MIN(C67:D67)</f>
        <v>0</v>
      </c>
      <c r="E43" s="149">
        <f>MIN(E67:G67)</f>
        <v>0</v>
      </c>
      <c r="F43" s="149">
        <f>MIN(H67,J67)+MIN(I67,K67)</f>
        <v>0</v>
      </c>
      <c r="G43" s="149">
        <f t="shared" si="0"/>
        <v>0</v>
      </c>
      <c r="H43" s="460" t="s">
        <v>94</v>
      </c>
    </row>
    <row r="44" spans="2:8" x14ac:dyDescent="0.2">
      <c r="B44" s="449"/>
      <c r="C44" s="150" t="s">
        <v>92</v>
      </c>
      <c r="D44" s="149">
        <f>MAX(C67:D67)</f>
        <v>0</v>
      </c>
      <c r="E44" s="149">
        <f>MAX(E67:G67)</f>
        <v>0</v>
      </c>
      <c r="F44" s="149">
        <f>MAX(H67,J67)+MAX(I67,K67)</f>
        <v>0</v>
      </c>
      <c r="G44" s="149">
        <f t="shared" si="0"/>
        <v>0</v>
      </c>
      <c r="H44" s="460"/>
    </row>
    <row r="45" spans="2:8" x14ac:dyDescent="0.2">
      <c r="B45" s="448" t="s">
        <v>98</v>
      </c>
      <c r="C45" s="150" t="s">
        <v>91</v>
      </c>
      <c r="D45" s="149">
        <f>MIN(C68:D68)</f>
        <v>0</v>
      </c>
      <c r="E45" s="149">
        <f>MIN(E68:G68)</f>
        <v>0</v>
      </c>
      <c r="F45" s="149">
        <f>MIN(H68,J68)+MIN(I68,K68)</f>
        <v>0</v>
      </c>
      <c r="G45" s="149">
        <f t="shared" si="0"/>
        <v>0</v>
      </c>
      <c r="H45" s="460" t="s">
        <v>94</v>
      </c>
    </row>
    <row r="46" spans="2:8" x14ac:dyDescent="0.2">
      <c r="B46" s="449"/>
      <c r="C46" s="150" t="s">
        <v>92</v>
      </c>
      <c r="D46" s="149">
        <f>MAX(C68:D68)</f>
        <v>0</v>
      </c>
      <c r="E46" s="149">
        <f>MAX(E68:G68)</f>
        <v>0</v>
      </c>
      <c r="F46" s="149">
        <f>MAX(H68,J68)+MAX(I68,K68)</f>
        <v>0</v>
      </c>
      <c r="G46" s="149">
        <f t="shared" si="0"/>
        <v>0</v>
      </c>
      <c r="H46" s="460"/>
    </row>
    <row r="47" spans="2:8" x14ac:dyDescent="0.2">
      <c r="B47" s="448" t="s">
        <v>99</v>
      </c>
      <c r="C47" s="150" t="s">
        <v>91</v>
      </c>
      <c r="D47" s="149">
        <f>MIN(C69:D69)</f>
        <v>0</v>
      </c>
      <c r="E47" s="149">
        <f>MIN(E69:G69)</f>
        <v>0</v>
      </c>
      <c r="F47" s="149">
        <f>MIN(H69,J69)+MIN(I69,K69)</f>
        <v>0</v>
      </c>
      <c r="G47" s="149">
        <f t="shared" si="0"/>
        <v>0</v>
      </c>
      <c r="H47" s="460" t="s">
        <v>94</v>
      </c>
    </row>
    <row r="48" spans="2:8" x14ac:dyDescent="0.2">
      <c r="B48" s="449"/>
      <c r="C48" s="150" t="s">
        <v>92</v>
      </c>
      <c r="D48" s="149">
        <f>MAX(C69:D69)</f>
        <v>0</v>
      </c>
      <c r="E48" s="149">
        <f>MAX(E69:G69)</f>
        <v>0</v>
      </c>
      <c r="F48" s="149">
        <f>MAX(H69,J69)+MAX(I69,K69)</f>
        <v>0</v>
      </c>
      <c r="G48" s="149">
        <f t="shared" si="0"/>
        <v>0</v>
      </c>
      <c r="H48" s="460"/>
    </row>
    <row r="49" spans="2:11" x14ac:dyDescent="0.2">
      <c r="B49" s="448" t="s">
        <v>100</v>
      </c>
      <c r="C49" s="150" t="s">
        <v>91</v>
      </c>
      <c r="D49" s="149">
        <f>MIN(C70:D70)</f>
        <v>0</v>
      </c>
      <c r="E49" s="149">
        <f>MIN(E70:G70)</f>
        <v>0</v>
      </c>
      <c r="F49" s="149">
        <f>MIN(H70,J70)+MIN(I70,K70)</f>
        <v>0</v>
      </c>
      <c r="G49" s="149">
        <f t="shared" si="0"/>
        <v>0</v>
      </c>
      <c r="H49" s="460" t="s">
        <v>94</v>
      </c>
    </row>
    <row r="50" spans="2:11" x14ac:dyDescent="0.2">
      <c r="B50" s="449"/>
      <c r="C50" s="150" t="s">
        <v>92</v>
      </c>
      <c r="D50" s="149">
        <f>MAX(C70:D70)</f>
        <v>0</v>
      </c>
      <c r="E50" s="149">
        <f>MAX(E70:G70)</f>
        <v>0</v>
      </c>
      <c r="F50" s="149">
        <f>MAX(H70,J70)+MAX(I70,K70)</f>
        <v>0</v>
      </c>
      <c r="G50" s="149">
        <f t="shared" si="0"/>
        <v>0</v>
      </c>
      <c r="H50" s="460"/>
    </row>
    <row r="51" spans="2:11" x14ac:dyDescent="0.2">
      <c r="B51" s="448" t="s">
        <v>101</v>
      </c>
      <c r="C51" s="150" t="s">
        <v>91</v>
      </c>
      <c r="D51" s="149">
        <f>MIN(C71:D71)</f>
        <v>0</v>
      </c>
      <c r="E51" s="149">
        <f>MIN(E71:G71)</f>
        <v>0</v>
      </c>
      <c r="F51" s="149">
        <f>MIN(H71,J71)+MIN(I71,K71)</f>
        <v>0</v>
      </c>
      <c r="G51" s="149">
        <f t="shared" si="0"/>
        <v>0</v>
      </c>
      <c r="H51" s="460" t="s">
        <v>102</v>
      </c>
    </row>
    <row r="52" spans="2:11" x14ac:dyDescent="0.2">
      <c r="B52" s="449"/>
      <c r="C52" s="150" t="s">
        <v>92</v>
      </c>
      <c r="D52" s="149">
        <f>MAX(C71:D71)</f>
        <v>0</v>
      </c>
      <c r="E52" s="149">
        <f>MAX(E71:G71)</f>
        <v>0</v>
      </c>
      <c r="F52" s="149">
        <f>MAX(H71,J71)+MAX(I71,K71)</f>
        <v>0</v>
      </c>
      <c r="G52" s="149">
        <f t="shared" si="0"/>
        <v>0</v>
      </c>
      <c r="H52" s="460"/>
    </row>
    <row r="53" spans="2:11" x14ac:dyDescent="0.2">
      <c r="B53" s="448" t="s">
        <v>103</v>
      </c>
      <c r="C53" s="150" t="s">
        <v>91</v>
      </c>
      <c r="D53" s="149">
        <f>MIN(C72:D72)</f>
        <v>0</v>
      </c>
      <c r="E53" s="149">
        <f>MIN(E72:G72)</f>
        <v>0</v>
      </c>
      <c r="F53" s="149">
        <f>MIN(H72,J72)+MIN(I72,K72)</f>
        <v>0</v>
      </c>
      <c r="G53" s="149">
        <f t="shared" si="0"/>
        <v>0</v>
      </c>
      <c r="H53" s="460" t="s">
        <v>104</v>
      </c>
    </row>
    <row r="54" spans="2:11" x14ac:dyDescent="0.2">
      <c r="B54" s="449"/>
      <c r="C54" s="150" t="s">
        <v>92</v>
      </c>
      <c r="D54" s="149">
        <f>MAX(C72:D72)</f>
        <v>0</v>
      </c>
      <c r="E54" s="149">
        <f>MAX(E72:G72)</f>
        <v>0</v>
      </c>
      <c r="F54" s="149">
        <f>MAX(H72,J72)+MAX(I72,K72)</f>
        <v>0</v>
      </c>
      <c r="G54" s="149">
        <f t="shared" si="0"/>
        <v>0</v>
      </c>
      <c r="H54" s="460"/>
    </row>
    <row r="55" spans="2:11" x14ac:dyDescent="0.2">
      <c r="B55" s="448" t="s">
        <v>105</v>
      </c>
      <c r="C55" s="150" t="s">
        <v>91</v>
      </c>
      <c r="D55" s="149">
        <f>MIN(C73:D73)</f>
        <v>0</v>
      </c>
      <c r="E55" s="149">
        <f>MIN(E73:G73)</f>
        <v>0</v>
      </c>
      <c r="F55" s="149">
        <f>MIN(H73,J73)+MIN(I73,K73)</f>
        <v>0</v>
      </c>
      <c r="G55" s="149">
        <f t="shared" si="0"/>
        <v>0</v>
      </c>
      <c r="H55" s="460"/>
    </row>
    <row r="56" spans="2:11" x14ac:dyDescent="0.2">
      <c r="B56" s="449"/>
      <c r="C56" s="150" t="s">
        <v>92</v>
      </c>
      <c r="D56" s="149">
        <f>MAX(C73:D73)</f>
        <v>0</v>
      </c>
      <c r="E56" s="149">
        <f>MAX(E73:G73)</f>
        <v>0</v>
      </c>
      <c r="F56" s="149">
        <f>MAX(H73,J73)+MAX(I73,K73)</f>
        <v>0</v>
      </c>
      <c r="G56" s="149">
        <f t="shared" si="0"/>
        <v>0</v>
      </c>
      <c r="H56" s="460"/>
    </row>
    <row r="59" spans="2:11" ht="15.75" x14ac:dyDescent="0.25">
      <c r="B59" s="154" t="s">
        <v>460</v>
      </c>
    </row>
    <row r="60" spans="2:11" ht="16.5" thickBot="1" x14ac:dyDescent="0.3">
      <c r="B60" s="148" t="s">
        <v>461</v>
      </c>
    </row>
    <row r="61" spans="2:11" s="146" customFormat="1" ht="13.5" thickBot="1" x14ac:dyDescent="0.25">
      <c r="B61" s="147"/>
      <c r="C61" s="450" t="s">
        <v>462</v>
      </c>
      <c r="D61" s="451"/>
      <c r="E61" s="450" t="s">
        <v>463</v>
      </c>
      <c r="F61" s="457"/>
      <c r="G61" s="451"/>
      <c r="H61" s="454" t="s">
        <v>464</v>
      </c>
      <c r="I61" s="455"/>
      <c r="J61" s="455"/>
      <c r="K61" s="456"/>
    </row>
    <row r="62" spans="2:11" s="146" customFormat="1" x14ac:dyDescent="0.2">
      <c r="B62" s="147"/>
      <c r="C62" s="444" t="s">
        <v>465</v>
      </c>
      <c r="D62" s="446" t="s">
        <v>466</v>
      </c>
      <c r="E62" s="444" t="s">
        <v>467</v>
      </c>
      <c r="F62" s="458" t="s">
        <v>468</v>
      </c>
      <c r="G62" s="446" t="s">
        <v>469</v>
      </c>
      <c r="H62" s="450" t="s">
        <v>470</v>
      </c>
      <c r="I62" s="451"/>
      <c r="J62" s="452" t="s">
        <v>471</v>
      </c>
      <c r="K62" s="453"/>
    </row>
    <row r="63" spans="2:11" s="146" customFormat="1" x14ac:dyDescent="0.2">
      <c r="B63" s="147"/>
      <c r="C63" s="445"/>
      <c r="D63" s="447"/>
      <c r="E63" s="445"/>
      <c r="F63" s="459"/>
      <c r="G63" s="447"/>
      <c r="H63" s="145" t="s">
        <v>472</v>
      </c>
      <c r="I63" s="178" t="s">
        <v>473</v>
      </c>
      <c r="J63" s="145" t="s">
        <v>472</v>
      </c>
      <c r="K63" s="178" t="s">
        <v>473</v>
      </c>
    </row>
    <row r="64" spans="2:11" x14ac:dyDescent="0.2">
      <c r="B64" s="91" t="s">
        <v>93</v>
      </c>
      <c r="C64" s="144">
        <f>INDEX($F$79:$G$88,MATCH($B64,$B$79:$B$88,0),MATCH(C$62,$F$78:$G$78,0))</f>
        <v>9.2246618189243627E-3</v>
      </c>
      <c r="D64" s="143">
        <f>INDEX($F$79:$G$88,MATCH($B64,$B$79:$B$88,0),MATCH(D$62,$F$78:$G$78,0))</f>
        <v>4.2758943568901716E-3</v>
      </c>
      <c r="E64" s="144">
        <f t="shared" ref="E64:F73" si="1">F104</f>
        <v>1.263778756978047E-2</v>
      </c>
      <c r="F64" s="142">
        <f t="shared" si="1"/>
        <v>1.1303725203832138E-2</v>
      </c>
      <c r="G64" s="143">
        <f t="shared" ref="G64:G73" si="2">G116</f>
        <v>1.1933568397557487E-2</v>
      </c>
      <c r="H64" s="144">
        <f>I137</f>
        <v>2.1021506009675971E-2</v>
      </c>
      <c r="I64" s="143">
        <f>J137</f>
        <v>1.6055767201745867E-3</v>
      </c>
      <c r="J64" s="144">
        <f>I149</f>
        <v>1.9383592174844234E-2</v>
      </c>
      <c r="K64" s="143">
        <f>J149</f>
        <v>1.3629924667953749E-3</v>
      </c>
    </row>
    <row r="65" spans="2:11" x14ac:dyDescent="0.2">
      <c r="B65" s="91" t="s">
        <v>95</v>
      </c>
      <c r="C65" s="144" t="str">
        <f t="shared" ref="C65:D73" si="3">INDEX($F$79:$G$88,MATCH($B65,$B$79:$B$88,0),MATCH(C$62,$F$78:$G$78,0))</f>
        <v xml:space="preserve"> -</v>
      </c>
      <c r="D65" s="143" t="str">
        <f t="shared" si="3"/>
        <v xml:space="preserve"> -</v>
      </c>
      <c r="E65" s="144" t="str">
        <f t="shared" si="1"/>
        <v xml:space="preserve"> - </v>
      </c>
      <c r="F65" s="142" t="str">
        <f t="shared" si="1"/>
        <v xml:space="preserve"> - </v>
      </c>
      <c r="G65" s="143" t="str">
        <f t="shared" si="2"/>
        <v xml:space="preserve"> - </v>
      </c>
      <c r="H65" s="144" t="str">
        <f t="shared" ref="H65:I73" si="4">I138</f>
        <v xml:space="preserve"> - </v>
      </c>
      <c r="I65" s="143" t="str">
        <f t="shared" si="4"/>
        <v xml:space="preserve"> - </v>
      </c>
      <c r="J65" s="144" t="str">
        <f t="shared" ref="J65:K73" si="5">I150</f>
        <v xml:space="preserve"> - </v>
      </c>
      <c r="K65" s="143" t="str">
        <f t="shared" si="5"/>
        <v xml:space="preserve"> - </v>
      </c>
    </row>
    <row r="66" spans="2:11" x14ac:dyDescent="0.2">
      <c r="B66" s="91" t="s">
        <v>96</v>
      </c>
      <c r="C66" s="144" t="str">
        <f t="shared" si="3"/>
        <v xml:space="preserve"> -</v>
      </c>
      <c r="D66" s="143" t="str">
        <f t="shared" si="3"/>
        <v xml:space="preserve"> -</v>
      </c>
      <c r="E66" s="144" t="str">
        <f t="shared" si="1"/>
        <v xml:space="preserve"> - </v>
      </c>
      <c r="F66" s="142" t="str">
        <f t="shared" si="1"/>
        <v xml:space="preserve"> - </v>
      </c>
      <c r="G66" s="143" t="str">
        <f t="shared" si="2"/>
        <v xml:space="preserve"> - </v>
      </c>
      <c r="H66" s="144" t="str">
        <f t="shared" si="4"/>
        <v xml:space="preserve"> - </v>
      </c>
      <c r="I66" s="143" t="str">
        <f t="shared" si="4"/>
        <v xml:space="preserve"> - </v>
      </c>
      <c r="J66" s="144" t="str">
        <f>I151</f>
        <v xml:space="preserve"> - </v>
      </c>
      <c r="K66" s="143" t="str">
        <f t="shared" si="5"/>
        <v xml:space="preserve"> - </v>
      </c>
    </row>
    <row r="67" spans="2:11" x14ac:dyDescent="0.2">
      <c r="B67" s="91" t="s">
        <v>97</v>
      </c>
      <c r="C67" s="144" t="str">
        <f t="shared" si="3"/>
        <v xml:space="preserve"> -</v>
      </c>
      <c r="D67" s="143" t="str">
        <f t="shared" si="3"/>
        <v xml:space="preserve"> -</v>
      </c>
      <c r="E67" s="144" t="str">
        <f t="shared" si="1"/>
        <v xml:space="preserve"> - </v>
      </c>
      <c r="F67" s="142" t="str">
        <f t="shared" si="1"/>
        <v xml:space="preserve"> - </v>
      </c>
      <c r="G67" s="143" t="str">
        <f t="shared" si="2"/>
        <v xml:space="preserve"> - </v>
      </c>
      <c r="H67" s="144" t="str">
        <f t="shared" si="4"/>
        <v xml:space="preserve"> - </v>
      </c>
      <c r="I67" s="143" t="str">
        <f t="shared" si="4"/>
        <v xml:space="preserve"> - </v>
      </c>
      <c r="J67" s="144" t="str">
        <f t="shared" si="5"/>
        <v xml:space="preserve"> - </v>
      </c>
      <c r="K67" s="143" t="str">
        <f t="shared" si="5"/>
        <v xml:space="preserve"> - </v>
      </c>
    </row>
    <row r="68" spans="2:11" x14ac:dyDescent="0.2">
      <c r="B68" s="159" t="s">
        <v>98</v>
      </c>
      <c r="C68" s="144" t="str">
        <f t="shared" si="3"/>
        <v xml:space="preserve"> -</v>
      </c>
      <c r="D68" s="143" t="str">
        <f t="shared" si="3"/>
        <v xml:space="preserve"> -</v>
      </c>
      <c r="E68" s="144" t="str">
        <f t="shared" si="1"/>
        <v xml:space="preserve"> - </v>
      </c>
      <c r="F68" s="142" t="str">
        <f t="shared" si="1"/>
        <v xml:space="preserve"> - </v>
      </c>
      <c r="G68" s="143" t="str">
        <f t="shared" si="2"/>
        <v xml:space="preserve"> - </v>
      </c>
      <c r="H68" s="144" t="str">
        <f t="shared" si="4"/>
        <v xml:space="preserve"> - </v>
      </c>
      <c r="I68" s="143" t="str">
        <f t="shared" si="4"/>
        <v xml:space="preserve"> - </v>
      </c>
      <c r="J68" s="144" t="str">
        <f t="shared" si="5"/>
        <v xml:space="preserve"> - </v>
      </c>
      <c r="K68" s="143" t="str">
        <f t="shared" si="5"/>
        <v xml:space="preserve"> - </v>
      </c>
    </row>
    <row r="69" spans="2:11" x14ac:dyDescent="0.2">
      <c r="B69" s="91" t="s">
        <v>99</v>
      </c>
      <c r="C69" s="144" t="str">
        <f t="shared" si="3"/>
        <v xml:space="preserve"> -</v>
      </c>
      <c r="D69" s="143" t="str">
        <f t="shared" si="3"/>
        <v xml:space="preserve"> -</v>
      </c>
      <c r="E69" s="144" t="str">
        <f t="shared" si="1"/>
        <v xml:space="preserve"> - </v>
      </c>
      <c r="F69" s="142" t="str">
        <f t="shared" si="1"/>
        <v xml:space="preserve"> - </v>
      </c>
      <c r="G69" s="143" t="str">
        <f t="shared" si="2"/>
        <v xml:space="preserve"> - </v>
      </c>
      <c r="H69" s="144" t="str">
        <f t="shared" si="4"/>
        <v xml:space="preserve"> - </v>
      </c>
      <c r="I69" s="143" t="str">
        <f>J142</f>
        <v xml:space="preserve"> - </v>
      </c>
      <c r="J69" s="144" t="str">
        <f t="shared" si="5"/>
        <v xml:space="preserve"> - </v>
      </c>
      <c r="K69" s="143" t="str">
        <f t="shared" si="5"/>
        <v xml:space="preserve"> - </v>
      </c>
    </row>
    <row r="70" spans="2:11" x14ac:dyDescent="0.2">
      <c r="B70" s="91" t="s">
        <v>100</v>
      </c>
      <c r="C70" s="144" t="str">
        <f t="shared" si="3"/>
        <v xml:space="preserve"> -</v>
      </c>
      <c r="D70" s="143" t="str">
        <f t="shared" si="3"/>
        <v xml:space="preserve"> -</v>
      </c>
      <c r="E70" s="144" t="str">
        <f t="shared" si="1"/>
        <v xml:space="preserve"> - </v>
      </c>
      <c r="F70" s="142" t="str">
        <f t="shared" si="1"/>
        <v xml:space="preserve"> - </v>
      </c>
      <c r="G70" s="143" t="str">
        <f t="shared" si="2"/>
        <v xml:space="preserve"> - </v>
      </c>
      <c r="H70" s="144" t="str">
        <f t="shared" si="4"/>
        <v xml:space="preserve"> - </v>
      </c>
      <c r="I70" s="143" t="str">
        <f t="shared" si="4"/>
        <v xml:space="preserve"> - </v>
      </c>
      <c r="J70" s="144" t="str">
        <f t="shared" si="5"/>
        <v xml:space="preserve"> - </v>
      </c>
      <c r="K70" s="143" t="str">
        <f>J155</f>
        <v xml:space="preserve"> - </v>
      </c>
    </row>
    <row r="71" spans="2:11" x14ac:dyDescent="0.2">
      <c r="B71" s="91" t="s">
        <v>101</v>
      </c>
      <c r="C71" s="144" t="str">
        <f t="shared" si="3"/>
        <v xml:space="preserve"> -</v>
      </c>
      <c r="D71" s="143" t="str">
        <f t="shared" si="3"/>
        <v xml:space="preserve"> -</v>
      </c>
      <c r="E71" s="144" t="str">
        <f t="shared" si="1"/>
        <v xml:space="preserve"> - </v>
      </c>
      <c r="F71" s="142" t="str">
        <f t="shared" si="1"/>
        <v xml:space="preserve"> - </v>
      </c>
      <c r="G71" s="143" t="str">
        <f t="shared" si="2"/>
        <v xml:space="preserve"> - </v>
      </c>
      <c r="H71" s="144" t="str">
        <f>I144</f>
        <v xml:space="preserve"> - </v>
      </c>
      <c r="I71" s="143" t="str">
        <f t="shared" si="4"/>
        <v xml:space="preserve"> - </v>
      </c>
      <c r="J71" s="144" t="str">
        <f t="shared" si="5"/>
        <v xml:space="preserve"> - </v>
      </c>
      <c r="K71" s="143" t="str">
        <f t="shared" si="5"/>
        <v xml:space="preserve"> - </v>
      </c>
    </row>
    <row r="72" spans="2:11" x14ac:dyDescent="0.2">
      <c r="B72" s="91" t="s">
        <v>103</v>
      </c>
      <c r="C72" s="144" t="str">
        <f t="shared" si="3"/>
        <v xml:space="preserve"> -</v>
      </c>
      <c r="D72" s="143" t="str">
        <f t="shared" si="3"/>
        <v xml:space="preserve"> -</v>
      </c>
      <c r="E72" s="144" t="str">
        <f t="shared" si="1"/>
        <v xml:space="preserve"> - </v>
      </c>
      <c r="F72" s="142" t="str">
        <f t="shared" si="1"/>
        <v xml:space="preserve"> - </v>
      </c>
      <c r="G72" s="143" t="str">
        <f t="shared" si="2"/>
        <v xml:space="preserve"> - </v>
      </c>
      <c r="H72" s="144" t="str">
        <f t="shared" si="4"/>
        <v xml:space="preserve"> - </v>
      </c>
      <c r="I72" s="143" t="str">
        <f t="shared" si="4"/>
        <v xml:space="preserve"> - </v>
      </c>
      <c r="J72" s="144" t="str">
        <f t="shared" si="5"/>
        <v xml:space="preserve"> - </v>
      </c>
      <c r="K72" s="143" t="str">
        <f t="shared" si="5"/>
        <v xml:space="preserve"> - </v>
      </c>
    </row>
    <row r="73" spans="2:11" ht="13.5" thickBot="1" x14ac:dyDescent="0.25">
      <c r="B73" s="91" t="s">
        <v>105</v>
      </c>
      <c r="C73" s="141" t="str">
        <f t="shared" si="3"/>
        <v xml:space="preserve"> -</v>
      </c>
      <c r="D73" s="140" t="str">
        <f t="shared" si="3"/>
        <v xml:space="preserve"> -</v>
      </c>
      <c r="E73" s="141" t="str">
        <f t="shared" si="1"/>
        <v xml:space="preserve"> - </v>
      </c>
      <c r="F73" s="139" t="str">
        <f t="shared" si="1"/>
        <v xml:space="preserve"> - </v>
      </c>
      <c r="G73" s="140" t="str">
        <f t="shared" si="2"/>
        <v xml:space="preserve"> - </v>
      </c>
      <c r="H73" s="141" t="str">
        <f t="shared" si="4"/>
        <v xml:space="preserve"> - </v>
      </c>
      <c r="I73" s="140" t="str">
        <f t="shared" si="4"/>
        <v xml:space="preserve"> - </v>
      </c>
      <c r="J73" s="141" t="str">
        <f t="shared" si="5"/>
        <v xml:space="preserve"> - </v>
      </c>
      <c r="K73" s="140" t="str">
        <f t="shared" si="5"/>
        <v xml:space="preserve"> - </v>
      </c>
    </row>
    <row r="76" spans="2:11" ht="15.75" x14ac:dyDescent="0.25">
      <c r="B76" s="154" t="s">
        <v>474</v>
      </c>
    </row>
    <row r="77" spans="2:11" ht="15.75" x14ac:dyDescent="0.25">
      <c r="B77" s="148" t="s">
        <v>475</v>
      </c>
    </row>
    <row r="78" spans="2:11" s="136" customFormat="1" ht="24.75" customHeight="1" x14ac:dyDescent="0.2">
      <c r="B78" s="138" t="s">
        <v>476</v>
      </c>
      <c r="C78" s="137" t="s">
        <v>477</v>
      </c>
      <c r="D78" s="137" t="s">
        <v>478</v>
      </c>
      <c r="E78" s="137" t="s">
        <v>479</v>
      </c>
      <c r="F78" s="138" t="s">
        <v>465</v>
      </c>
      <c r="G78" s="138" t="s">
        <v>466</v>
      </c>
    </row>
    <row r="79" spans="2:11" x14ac:dyDescent="0.2">
      <c r="B79" s="91" t="s">
        <v>93</v>
      </c>
      <c r="C79" s="135">
        <f>ABS('2.1 Profit &amp; Loss by component'!$F$32*INDEX('2.2 Allocation to services'!$D$56:$D$65,MATCH('6. Pricing template'!B79,'2.2 Allocation to services'!$C$56:$C$65,0),1))+ABS('2.1 Profit &amp; Loss by component'!$F$43*INDEX('2.2 Allocation to services'!$D$80:$D$89,MATCH('6. Pricing template'!B79,'2.2 Allocation to services'!$C$80:$C$89,0),1))-ABS('2.1 Profit &amp; Loss by component'!$F$37+'2.1 Profit &amp; Loss by component'!$F$26)*INDEX('2.2 Allocation to services'!$D$68:$D$77,MATCH('6. Pricing template'!B79,'2.2 Allocation to services'!$C$68:$C$77,0),1)</f>
        <v>2048335.904161694</v>
      </c>
      <c r="D79" s="135">
        <f>ABS('2.1 Profit &amp; Loss by component'!$F$32*INDEX('2.2 Allocation to services'!$D$56:$D$65,MATCH('6. Pricing template'!B79,'2.2 Allocation to services'!$C$56:$C$65,0),1))-ABS('2.1 Profit &amp; Loss by component'!$F$26)*INDEX('2.2 Allocation to services'!$D$68:$D$77,MATCH('6. Pricing template'!B79,'2.2 Allocation to services'!$C$68:$C$77,0),1)</f>
        <v>949462.22479967214</v>
      </c>
      <c r="E79" s="134">
        <f>INDEX('5. Historical demand'!$C$26:$C$35,MATCH('6. Pricing template'!B79,'5. Historical demand'!$B$26:$B$35,0),1)*(Yearending-Yearstart)</f>
        <v>222049.97260273976</v>
      </c>
      <c r="F79" s="133">
        <f>IFERROR(C79/(E79*1000)," -")</f>
        <v>9.2246618189243627E-3</v>
      </c>
      <c r="G79" s="133">
        <f>IFERROR(D79/(E79*1000)," -")</f>
        <v>4.2758943568901716E-3</v>
      </c>
    </row>
    <row r="80" spans="2:11" x14ac:dyDescent="0.2">
      <c r="B80" s="91" t="s">
        <v>95</v>
      </c>
      <c r="C80" s="135">
        <f>ABS('2.1 Profit &amp; Loss by component'!$F$32*INDEX('2.2 Allocation to services'!$D$56:$D$65,MATCH('6. Pricing template'!B80,'2.2 Allocation to services'!$C$56:$C$65,0),1))+ABS('2.1 Profit &amp; Loss by component'!$F$43*INDEX('2.2 Allocation to services'!$D$80:$D$89,MATCH('6. Pricing template'!B80,'2.2 Allocation to services'!$C$80:$C$89,0),1))-ABS('2.1 Profit &amp; Loss by component'!$F$37+'2.1 Profit &amp; Loss by component'!$F$26)*INDEX('2.2 Allocation to services'!$D$68:$D$77,MATCH('6. Pricing template'!B80,'2.2 Allocation to services'!$C$68:$C$77,0),1)</f>
        <v>0</v>
      </c>
      <c r="D80" s="135">
        <f>ABS('2.1 Profit &amp; Loss by component'!$F$32*INDEX('2.2 Allocation to services'!$D$56:$D$65,MATCH('6. Pricing template'!B80,'2.2 Allocation to services'!$C$56:$C$65,0),1))-ABS('2.1 Profit &amp; Loss by component'!$F$26)*INDEX('2.2 Allocation to services'!$D$68:$D$77,MATCH('6. Pricing template'!B80,'2.2 Allocation to services'!$C$68:$C$77,0),1)</f>
        <v>0</v>
      </c>
      <c r="E80" s="134">
        <f>INDEX('5. Historical demand'!$C$26:$C$35,MATCH('6. Pricing template'!B80,'5. Historical demand'!$B$26:$B$35,0),1)*(Yearending-Yearstart)</f>
        <v>0</v>
      </c>
      <c r="F80" s="133" t="str">
        <f t="shared" ref="F80:F88" si="6">IFERROR(C80/(E80*1000)," -")</f>
        <v xml:space="preserve"> -</v>
      </c>
      <c r="G80" s="133" t="str">
        <f t="shared" ref="G80:G88" si="7">IFERROR(D80/(E80*1000)," -")</f>
        <v xml:space="preserve"> -</v>
      </c>
    </row>
    <row r="81" spans="2:7" x14ac:dyDescent="0.2">
      <c r="B81" s="91" t="s">
        <v>96</v>
      </c>
      <c r="C81" s="135">
        <f>ABS('2.1 Profit &amp; Loss by component'!$F$32*INDEX('2.2 Allocation to services'!$D$56:$D$65,MATCH('6. Pricing template'!B81,'2.2 Allocation to services'!$C$56:$C$65,0),1))+ABS('2.1 Profit &amp; Loss by component'!$F$43*INDEX('2.2 Allocation to services'!$D$80:$D$89,MATCH('6. Pricing template'!B81,'2.2 Allocation to services'!$C$80:$C$89,0),1))-ABS('2.1 Profit &amp; Loss by component'!$F$37+'2.1 Profit &amp; Loss by component'!$F$26)*INDEX('2.2 Allocation to services'!$D$68:$D$77,MATCH('6. Pricing template'!B81,'2.2 Allocation to services'!$C$68:$C$77,0),1)</f>
        <v>42604.289956695851</v>
      </c>
      <c r="D81" s="135">
        <f>ABS('2.1 Profit &amp; Loss by component'!$F$32*INDEX('2.2 Allocation to services'!$D$56:$D$65,MATCH('6. Pricing template'!B81,'2.2 Allocation to services'!$C$56:$C$65,0),1))-ABS('2.1 Profit &amp; Loss by component'!$F$26)*INDEX('2.2 Allocation to services'!$D$68:$D$77,MATCH('6. Pricing template'!B81,'2.2 Allocation to services'!$C$68:$C$77,0),1)</f>
        <v>19748.305854576072</v>
      </c>
      <c r="E81" s="134">
        <f>INDEX('5. Historical demand'!$C$26:$C$35,MATCH('6. Pricing template'!B81,'5. Historical demand'!$B$26:$B$35,0),1)*(Yearending-Yearstart)</f>
        <v>0</v>
      </c>
      <c r="F81" s="133" t="str">
        <f t="shared" si="6"/>
        <v xml:space="preserve"> -</v>
      </c>
      <c r="G81" s="133" t="str">
        <f t="shared" si="7"/>
        <v xml:space="preserve"> -</v>
      </c>
    </row>
    <row r="82" spans="2:7" x14ac:dyDescent="0.2">
      <c r="B82" s="91" t="s">
        <v>97</v>
      </c>
      <c r="C82" s="135">
        <f>ABS('2.1 Profit &amp; Loss by component'!$F$32*INDEX('2.2 Allocation to services'!$D$56:$D$65,MATCH('6. Pricing template'!B82,'2.2 Allocation to services'!$C$56:$C$65,0),1))+ABS('2.1 Profit &amp; Loss by component'!$F$43*INDEX('2.2 Allocation to services'!$D$80:$D$89,MATCH('6. Pricing template'!B82,'2.2 Allocation to services'!$C$80:$C$89,0),1))-ABS('2.1 Profit &amp; Loss by component'!$F$37+'2.1 Profit &amp; Loss by component'!$F$26)*INDEX('2.2 Allocation to services'!$D$68:$D$77,MATCH('6. Pricing template'!B82,'2.2 Allocation to services'!$C$68:$C$77,0),1)</f>
        <v>0</v>
      </c>
      <c r="D82" s="135">
        <f>ABS('2.1 Profit &amp; Loss by component'!$F$32*INDEX('2.2 Allocation to services'!$D$56:$D$65,MATCH('6. Pricing template'!B82,'2.2 Allocation to services'!$C$56:$C$65,0),1))-ABS('2.1 Profit &amp; Loss by component'!$F$26)*INDEX('2.2 Allocation to services'!$D$68:$D$77,MATCH('6. Pricing template'!B82,'2.2 Allocation to services'!$C$68:$C$77,0),1)</f>
        <v>0</v>
      </c>
      <c r="E82" s="134">
        <f>INDEX('5. Historical demand'!$C$26:$C$35,MATCH('6. Pricing template'!B82,'5. Historical demand'!$B$26:$B$35,0),1)*(Yearending-Yearstart)</f>
        <v>0</v>
      </c>
      <c r="F82" s="133" t="str">
        <f t="shared" si="6"/>
        <v xml:space="preserve"> -</v>
      </c>
      <c r="G82" s="133" t="str">
        <f t="shared" si="7"/>
        <v xml:space="preserve"> -</v>
      </c>
    </row>
    <row r="83" spans="2:7" x14ac:dyDescent="0.2">
      <c r="B83" s="159" t="s">
        <v>98</v>
      </c>
      <c r="C83" s="135">
        <f>ABS('2.1 Profit &amp; Loss by component'!$F$32*INDEX('2.2 Allocation to services'!$D$56:$D$65,MATCH('6. Pricing template'!B83,'2.2 Allocation to services'!$C$56:$C$65,0),1))+ABS('2.1 Profit &amp; Loss by component'!$F$43*INDEX('2.2 Allocation to services'!$D$80:$D$89,MATCH('6. Pricing template'!B83,'2.2 Allocation to services'!$C$80:$C$89,0),1))-ABS('2.1 Profit &amp; Loss by component'!$F$37+'2.1 Profit &amp; Loss by component'!$F$26)*INDEX('2.2 Allocation to services'!$D$68:$D$77,MATCH('6. Pricing template'!B83,'2.2 Allocation to services'!$C$68:$C$77,0),1)</f>
        <v>0</v>
      </c>
      <c r="D83" s="135">
        <f>ABS('2.1 Profit &amp; Loss by component'!$F$32*INDEX('2.2 Allocation to services'!$D$56:$D$65,MATCH('6. Pricing template'!B83,'2.2 Allocation to services'!$C$56:$C$65,0),1))-ABS('2.1 Profit &amp; Loss by component'!$F$26)*INDEX('2.2 Allocation to services'!$D$68:$D$77,MATCH('6. Pricing template'!B83,'2.2 Allocation to services'!$C$68:$C$77,0),1)</f>
        <v>0</v>
      </c>
      <c r="E83" s="134">
        <f>INDEX('5. Historical demand'!$C$26:$C$35,MATCH('6. Pricing template'!B83,'5. Historical demand'!$B$26:$B$35,0),1)*(Yearending-Yearstart)</f>
        <v>0</v>
      </c>
      <c r="F83" s="133" t="str">
        <f t="shared" si="6"/>
        <v xml:space="preserve"> -</v>
      </c>
      <c r="G83" s="133" t="str">
        <f t="shared" si="7"/>
        <v xml:space="preserve"> -</v>
      </c>
    </row>
    <row r="84" spans="2:7" x14ac:dyDescent="0.2">
      <c r="B84" s="91" t="s">
        <v>99</v>
      </c>
      <c r="C84" s="135">
        <f>ABS('2.1 Profit &amp; Loss by component'!$F$32*INDEX('2.2 Allocation to services'!$D$56:$D$65,MATCH('6. Pricing template'!B84,'2.2 Allocation to services'!$C$56:$C$65,0),1))+ABS('2.1 Profit &amp; Loss by component'!$F$43*INDEX('2.2 Allocation to services'!$D$80:$D$89,MATCH('6. Pricing template'!B84,'2.2 Allocation to services'!$C$80:$C$89,0),1))-ABS('2.1 Profit &amp; Loss by component'!$F$37+'2.1 Profit &amp; Loss by component'!$F$26)*INDEX('2.2 Allocation to services'!$D$68:$D$77,MATCH('6. Pricing template'!B84,'2.2 Allocation to services'!$C$68:$C$77,0),1)</f>
        <v>0</v>
      </c>
      <c r="D84" s="135">
        <f>ABS('2.1 Profit &amp; Loss by component'!$F$32*INDEX('2.2 Allocation to services'!$D$56:$D$65,MATCH('6. Pricing template'!B84,'2.2 Allocation to services'!$C$56:$C$65,0),1))-ABS('2.1 Profit &amp; Loss by component'!$F$26)*INDEX('2.2 Allocation to services'!$D$68:$D$77,MATCH('6. Pricing template'!B84,'2.2 Allocation to services'!$C$68:$C$77,0),1)</f>
        <v>0</v>
      </c>
      <c r="E84" s="134">
        <f>INDEX('5. Historical demand'!$C$26:$C$35,MATCH('6. Pricing template'!B84,'5. Historical demand'!$B$26:$B$35,0),1)*(Yearending-Yearstart)</f>
        <v>0</v>
      </c>
      <c r="F84" s="133" t="str">
        <f t="shared" si="6"/>
        <v xml:space="preserve"> -</v>
      </c>
      <c r="G84" s="133" t="str">
        <f t="shared" si="7"/>
        <v xml:space="preserve"> -</v>
      </c>
    </row>
    <row r="85" spans="2:7" x14ac:dyDescent="0.2">
      <c r="B85" s="91" t="s">
        <v>100</v>
      </c>
      <c r="C85" s="135">
        <f>ABS('2.1 Profit &amp; Loss by component'!$F$32*INDEX('2.2 Allocation to services'!$D$56:$D$65,MATCH('6. Pricing template'!B85,'2.2 Allocation to services'!$C$56:$C$65,0),1))+ABS('2.1 Profit &amp; Loss by component'!$F$43*INDEX('2.2 Allocation to services'!$D$80:$D$89,MATCH('6. Pricing template'!B85,'2.2 Allocation to services'!$C$80:$C$89,0),1))-ABS('2.1 Profit &amp; Loss by component'!$F$37+'2.1 Profit &amp; Loss by component'!$F$26)*INDEX('2.2 Allocation to services'!$D$68:$D$77,MATCH('6. Pricing template'!B85,'2.2 Allocation to services'!$C$68:$C$77,0),1)</f>
        <v>0</v>
      </c>
      <c r="D85" s="135">
        <f>ABS('2.1 Profit &amp; Loss by component'!$F$32*INDEX('2.2 Allocation to services'!$D$56:$D$65,MATCH('6. Pricing template'!B85,'2.2 Allocation to services'!$C$56:$C$65,0),1))-ABS('2.1 Profit &amp; Loss by component'!$F$26)*INDEX('2.2 Allocation to services'!$D$68:$D$77,MATCH('6. Pricing template'!B85,'2.2 Allocation to services'!$C$68:$C$77,0),1)</f>
        <v>0</v>
      </c>
      <c r="E85" s="134">
        <f>INDEX('5. Historical demand'!$C$26:$C$35,MATCH('6. Pricing template'!B85,'5. Historical demand'!$B$26:$B$35,0),1)*(Yearending-Yearstart)</f>
        <v>0</v>
      </c>
      <c r="F85" s="133" t="str">
        <f t="shared" si="6"/>
        <v xml:space="preserve"> -</v>
      </c>
      <c r="G85" s="133" t="str">
        <f t="shared" si="7"/>
        <v xml:space="preserve"> -</v>
      </c>
    </row>
    <row r="86" spans="2:7" x14ac:dyDescent="0.2">
      <c r="B86" s="91" t="s">
        <v>101</v>
      </c>
      <c r="C86" s="135">
        <f>ABS('2.1 Profit &amp; Loss by component'!$F$32*INDEX('2.2 Allocation to services'!$D$56:$D$65,MATCH('6. Pricing template'!B86,'2.2 Allocation to services'!$C$56:$C$65,0),1))+ABS('2.1 Profit &amp; Loss by component'!$F$43*INDEX('2.2 Allocation to services'!$D$80:$D$89,MATCH('6. Pricing template'!B86,'2.2 Allocation to services'!$C$80:$C$89,0),1))-ABS('2.1 Profit &amp; Loss by component'!$F$37+'2.1 Profit &amp; Loss by component'!$F$26)*INDEX('2.2 Allocation to services'!$D$68:$D$77,MATCH('6. Pricing template'!B86,'2.2 Allocation to services'!$C$68:$C$77,0),1)</f>
        <v>202.13541777016525</v>
      </c>
      <c r="D86" s="135">
        <f>ABS('2.1 Profit &amp; Loss by component'!$F$32*INDEX('2.2 Allocation to services'!$D$56:$D$65,MATCH('6. Pricing template'!B86,'2.2 Allocation to services'!$C$56:$C$65,0),1))-ABS('2.1 Profit &amp; Loss by component'!$F$26)*INDEX('2.2 Allocation to services'!$D$68:$D$77,MATCH('6. Pricing template'!B86,'2.2 Allocation to services'!$C$68:$C$77,0),1)</f>
        <v>93.69554235559707</v>
      </c>
      <c r="E86" s="134">
        <f>INDEX('5. Historical demand'!$C$26:$C$35,MATCH('6. Pricing template'!B86,'5. Historical demand'!$B$26:$B$35,0),1)*(Yearending-Yearstart)</f>
        <v>0</v>
      </c>
      <c r="F86" s="133" t="str">
        <f t="shared" si="6"/>
        <v xml:space="preserve"> -</v>
      </c>
      <c r="G86" s="133" t="str">
        <f t="shared" si="7"/>
        <v xml:space="preserve"> -</v>
      </c>
    </row>
    <row r="87" spans="2:7" x14ac:dyDescent="0.2">
      <c r="B87" s="91" t="s">
        <v>103</v>
      </c>
      <c r="C87" s="135">
        <f>ABS('2.1 Profit &amp; Loss by component'!$F$32*INDEX('2.2 Allocation to services'!$D$56:$D$65,MATCH('6. Pricing template'!B87,'2.2 Allocation to services'!$C$56:$C$65,0),1))+ABS('2.1 Profit &amp; Loss by component'!$F$43*INDEX('2.2 Allocation to services'!$D$80:$D$89,MATCH('6. Pricing template'!B87,'2.2 Allocation to services'!$C$80:$C$89,0),1))-ABS('2.1 Profit &amp; Loss by component'!$F$37+'2.1 Profit &amp; Loss by component'!$F$26)*INDEX('2.2 Allocation to services'!$D$68:$D$77,MATCH('6. Pricing template'!B87,'2.2 Allocation to services'!$C$68:$C$77,0),1)</f>
        <v>2913.2241163628391</v>
      </c>
      <c r="D87" s="135">
        <f>ABS('2.1 Profit &amp; Loss by component'!$F$32*INDEX('2.2 Allocation to services'!$D$56:$D$65,MATCH('6. Pricing template'!B87,'2.2 Allocation to services'!$C$56:$C$65,0),1))-ABS('2.1 Profit &amp; Loss by component'!$F$26)*INDEX('2.2 Allocation to services'!$D$68:$D$77,MATCH('6. Pricing template'!B87,'2.2 Allocation to services'!$C$68:$C$77,0),1)</f>
        <v>1350.3626261894465</v>
      </c>
      <c r="E87" s="134">
        <f>INDEX('5. Historical demand'!$C$26:$C$35,MATCH('6. Pricing template'!B87,'5. Historical demand'!$B$26:$B$35,0),1)*(Yearending-Yearstart)</f>
        <v>0</v>
      </c>
      <c r="F87" s="133" t="str">
        <f t="shared" si="6"/>
        <v xml:space="preserve"> -</v>
      </c>
      <c r="G87" s="133" t="str">
        <f t="shared" si="7"/>
        <v xml:space="preserve"> -</v>
      </c>
    </row>
    <row r="88" spans="2:7" x14ac:dyDescent="0.2">
      <c r="B88" s="91" t="s">
        <v>105</v>
      </c>
      <c r="C88" s="135">
        <f>ABS('2.1 Profit &amp; Loss by component'!$F$32*INDEX('2.2 Allocation to services'!$D$56:$D$65,MATCH('6. Pricing template'!B88,'2.2 Allocation to services'!$C$56:$C$65,0),1))+ABS('2.1 Profit &amp; Loss by component'!$F$43*INDEX('2.2 Allocation to services'!$D$80:$D$89,MATCH('6. Pricing template'!B88,'2.2 Allocation to services'!$C$80:$C$89,0),1))-ABS('2.1 Profit &amp; Loss by component'!$F$37+'2.1 Profit &amp; Loss by component'!$F$26)*INDEX('2.2 Allocation to services'!$D$68:$D$77,MATCH('6. Pricing template'!B88,'2.2 Allocation to services'!$C$68:$C$77,0),1)</f>
        <v>13453.757762235284</v>
      </c>
      <c r="D88" s="135">
        <f>ABS('2.1 Profit &amp; Loss by component'!$F$32*INDEX('2.2 Allocation to services'!$D$56:$D$65,MATCH('6. Pricing template'!B88,'2.2 Allocation to services'!$C$56:$C$65,0),1))-ABS('2.1 Profit &amp; Loss by component'!$F$26)*INDEX('2.2 Allocation to services'!$D$68:$D$77,MATCH('6. Pricing template'!B88,'2.2 Allocation to services'!$C$68:$C$77,0),1)</f>
        <v>6236.2011772066326</v>
      </c>
      <c r="E88" s="134">
        <f>INDEX('5. Historical demand'!$C$26:$C$35,MATCH('6. Pricing template'!B88,'5. Historical demand'!$B$26:$B$35,0),1)*(Yearending-Yearstart)</f>
        <v>0</v>
      </c>
      <c r="F88" s="133" t="str">
        <f t="shared" si="6"/>
        <v xml:space="preserve"> -</v>
      </c>
      <c r="G88" s="133" t="str">
        <f t="shared" si="7"/>
        <v xml:space="preserve"> -</v>
      </c>
    </row>
    <row r="90" spans="2:7" ht="15.75" x14ac:dyDescent="0.25">
      <c r="B90" s="148" t="s">
        <v>396</v>
      </c>
    </row>
    <row r="91" spans="2:7" x14ac:dyDescent="0.2">
      <c r="B91" s="132" t="s">
        <v>480</v>
      </c>
      <c r="C91" s="153" t="s">
        <v>481</v>
      </c>
      <c r="D91" s="153" t="s">
        <v>482</v>
      </c>
      <c r="E91" s="153" t="s">
        <v>483</v>
      </c>
    </row>
    <row r="92" spans="2:7" x14ac:dyDescent="0.2">
      <c r="B92" s="91" t="s">
        <v>93</v>
      </c>
      <c r="C92" s="135">
        <f>IF(Cover!$C$23="Scheme pipeline",( '3.2 Regulatory Asset Base'!$H$95-'3.2 Regulatory Asset Base'!$H$94)*C21,('3.1 Depreciated Book Value'!$D$25+'3.1 Depreciated Book Value'!$D$33+'3.1 Depreciated Book Value'!$D$41+'3.1 Depreciated Book Value'!$D$49+'3.1 Depreciated Book Value'!$D$57+'3.1 Depreciated Book Value'!$D$65+'3.1 Depreciated Book Value'!$D$73+'3.1 Depreciated Book Value'!$D$88+'3.1 Depreciated Book Value'!$D$96)*C21)</f>
        <v>60778408.344172984</v>
      </c>
      <c r="D92" s="135">
        <f>ABS('2.1 Profit &amp; Loss by component'!$F$26)*INDEX('2.2 Allocation to services'!$D$68:$D$77,MATCH('6. Pricing template'!B79,'2.2 Allocation to services'!$C$68:$C$77,0),1)/(Yearending-Yearstart)*365</f>
        <v>2516887.4538852638</v>
      </c>
      <c r="E92" s="131">
        <f t="shared" ref="E92:E101" si="8">IFERROR(C92/D92," - ")</f>
        <v>24.148242405654926</v>
      </c>
    </row>
    <row r="93" spans="2:7" x14ac:dyDescent="0.2">
      <c r="B93" s="91" t="s">
        <v>95</v>
      </c>
      <c r="C93" s="135">
        <f>IF(Cover!$C$23="Scheme pipeline",( '3.2 Regulatory Asset Base'!$H$95-'3.2 Regulatory Asset Base'!$H$94)*C22,('3.1 Depreciated Book Value'!$D$25+'3.1 Depreciated Book Value'!$D$33+'3.1 Depreciated Book Value'!$D$41+'3.1 Depreciated Book Value'!$D$49+'3.1 Depreciated Book Value'!$D$57+'3.1 Depreciated Book Value'!$D$65+'3.1 Depreciated Book Value'!$D$73+'3.1 Depreciated Book Value'!$D$88+'3.1 Depreciated Book Value'!$D$96)*C22)</f>
        <v>0</v>
      </c>
      <c r="D93" s="135">
        <f>ABS('2.1 Profit &amp; Loss by component'!$F$26)*INDEX('2.2 Allocation to services'!$D$68:$D$77,MATCH('6. Pricing template'!B80,'2.2 Allocation to services'!$C$68:$C$77,0),1)/(Yearending-Yearstart)*365</f>
        <v>0</v>
      </c>
      <c r="E93" s="131" t="str">
        <f t="shared" si="8"/>
        <v xml:space="preserve"> - </v>
      </c>
      <c r="G93" s="130"/>
    </row>
    <row r="94" spans="2:7" x14ac:dyDescent="0.2">
      <c r="B94" s="91" t="s">
        <v>96</v>
      </c>
      <c r="C94" s="135">
        <f>IF(Cover!$C$23="Scheme pipeline",( '3.2 Regulatory Asset Base'!$H$95-'3.2 Regulatory Asset Base'!$H$94)*C23,('3.1 Depreciated Book Value'!$D$25+'3.1 Depreciated Book Value'!$D$33+'3.1 Depreciated Book Value'!$D$41+'3.1 Depreciated Book Value'!$D$49+'3.1 Depreciated Book Value'!$D$57+'3.1 Depreciated Book Value'!$D$65+'3.1 Depreciated Book Value'!$D$73+'3.1 Depreciated Book Value'!$D$88+'3.1 Depreciated Book Value'!$D$96)*C23)</f>
        <v>1264158.3477302564</v>
      </c>
      <c r="D94" s="135">
        <f>ABS('2.1 Profit &amp; Loss by component'!$F$26)*INDEX('2.2 Allocation to services'!$D$68:$D$77,MATCH('6. Pricing template'!B81,'2.2 Allocation to services'!$C$68:$C$77,0),1)/(Yearending-Yearstart)*365</f>
        <v>52349.911289370764</v>
      </c>
      <c r="E94" s="131">
        <f t="shared" si="8"/>
        <v>24.148242405654923</v>
      </c>
    </row>
    <row r="95" spans="2:7" x14ac:dyDescent="0.2">
      <c r="B95" s="91" t="s">
        <v>97</v>
      </c>
      <c r="C95" s="135">
        <f>IF(Cover!$C$23="Scheme pipeline",( '3.2 Regulatory Asset Base'!$H$95-'3.2 Regulatory Asset Base'!$H$94)*C24,('3.1 Depreciated Book Value'!$D$25+'3.1 Depreciated Book Value'!$D$33+'3.1 Depreciated Book Value'!$D$41+'3.1 Depreciated Book Value'!$D$49+'3.1 Depreciated Book Value'!$D$57+'3.1 Depreciated Book Value'!$D$65+'3.1 Depreciated Book Value'!$D$73+'3.1 Depreciated Book Value'!$D$88+'3.1 Depreciated Book Value'!$D$96)*C24)</f>
        <v>0</v>
      </c>
      <c r="D95" s="135">
        <f>ABS('2.1 Profit &amp; Loss by component'!$F$26)*INDEX('2.2 Allocation to services'!$D$68:$D$77,MATCH('6. Pricing template'!B82,'2.2 Allocation to services'!$C$68:$C$77,0),1)/(Yearending-Yearstart)*365</f>
        <v>0</v>
      </c>
      <c r="E95" s="131" t="str">
        <f t="shared" si="8"/>
        <v xml:space="preserve"> - </v>
      </c>
    </row>
    <row r="96" spans="2:7" x14ac:dyDescent="0.2">
      <c r="B96" s="159" t="s">
        <v>98</v>
      </c>
      <c r="C96" s="135">
        <f>IF(Cover!$C$23="Scheme pipeline",( '3.2 Regulatory Asset Base'!$H$95-'3.2 Regulatory Asset Base'!$H$94)*C25,('3.1 Depreciated Book Value'!$D$25+'3.1 Depreciated Book Value'!$D$33+'3.1 Depreciated Book Value'!$D$41+'3.1 Depreciated Book Value'!$D$49+'3.1 Depreciated Book Value'!$D$57+'3.1 Depreciated Book Value'!$D$65+'3.1 Depreciated Book Value'!$D$73+'3.1 Depreciated Book Value'!$D$88+'3.1 Depreciated Book Value'!$D$96)*C25)</f>
        <v>0</v>
      </c>
      <c r="D96" s="135">
        <f>ABS('2.1 Profit &amp; Loss by component'!$F$26)*INDEX('2.2 Allocation to services'!$D$68:$D$77,MATCH('6. Pricing template'!B83,'2.2 Allocation to services'!$C$68:$C$77,0),1)/(Yearending-Yearstart)*365</f>
        <v>0</v>
      </c>
      <c r="E96" s="131" t="str">
        <f t="shared" si="8"/>
        <v xml:space="preserve"> - </v>
      </c>
    </row>
    <row r="97" spans="2:7" x14ac:dyDescent="0.2">
      <c r="B97" s="91" t="s">
        <v>99</v>
      </c>
      <c r="C97" s="135">
        <f>IF(Cover!$C$23="Scheme pipeline",( '3.2 Regulatory Asset Base'!$H$95-'3.2 Regulatory Asset Base'!$H$94)*C26,('3.1 Depreciated Book Value'!$D$25+'3.1 Depreciated Book Value'!$D$33+'3.1 Depreciated Book Value'!$D$41+'3.1 Depreciated Book Value'!$D$49+'3.1 Depreciated Book Value'!$D$57+'3.1 Depreciated Book Value'!$D$65+'3.1 Depreciated Book Value'!$D$73+'3.1 Depreciated Book Value'!$D$88+'3.1 Depreciated Book Value'!$D$96)*C26)</f>
        <v>0</v>
      </c>
      <c r="D97" s="135">
        <f>ABS('2.1 Profit &amp; Loss by component'!$F$26)*INDEX('2.2 Allocation to services'!$D$68:$D$77,MATCH('6. Pricing template'!B84,'2.2 Allocation to services'!$C$68:$C$77,0),1)/(Yearending-Yearstart)*365</f>
        <v>0</v>
      </c>
      <c r="E97" s="131" t="str">
        <f t="shared" si="8"/>
        <v xml:space="preserve"> - </v>
      </c>
    </row>
    <row r="98" spans="2:7" x14ac:dyDescent="0.2">
      <c r="B98" s="91" t="s">
        <v>100</v>
      </c>
      <c r="C98" s="135">
        <f>IF(Cover!$C$23="Scheme pipeline",( '3.2 Regulatory Asset Base'!$H$95-'3.2 Regulatory Asset Base'!$H$94)*C27,('3.1 Depreciated Book Value'!$D$25+'3.1 Depreciated Book Value'!$D$33+'3.1 Depreciated Book Value'!$D$41+'3.1 Depreciated Book Value'!$D$49+'3.1 Depreciated Book Value'!$D$57+'3.1 Depreciated Book Value'!$D$65+'3.1 Depreciated Book Value'!$D$73+'3.1 Depreciated Book Value'!$D$88+'3.1 Depreciated Book Value'!$D$96)*C27)</f>
        <v>0</v>
      </c>
      <c r="D98" s="135">
        <f>ABS('2.1 Profit &amp; Loss by component'!$F$26)*INDEX('2.2 Allocation to services'!$D$68:$D$77,MATCH('6. Pricing template'!B85,'2.2 Allocation to services'!$C$68:$C$77,0),1)/(Yearending-Yearstart)*365</f>
        <v>0</v>
      </c>
      <c r="E98" s="131" t="str">
        <f t="shared" si="8"/>
        <v xml:space="preserve"> - </v>
      </c>
    </row>
    <row r="99" spans="2:7" x14ac:dyDescent="0.2">
      <c r="B99" s="91" t="s">
        <v>101</v>
      </c>
      <c r="C99" s="135">
        <f>IF(Cover!$C$23="Scheme pipeline",( '3.2 Regulatory Asset Base'!$H$95-'3.2 Regulatory Asset Base'!$H$94)*C28,('3.1 Depreciated Book Value'!$D$25+'3.1 Depreciated Book Value'!$D$33+'3.1 Depreciated Book Value'!$D$41+'3.1 Depreciated Book Value'!$D$49+'3.1 Depreciated Book Value'!$D$57+'3.1 Depreciated Book Value'!$D$65+'3.1 Depreciated Book Value'!$D$73+'3.1 Depreciated Book Value'!$D$88+'3.1 Depreciated Book Value'!$D$96)*C28)</f>
        <v>5997.7804114521341</v>
      </c>
      <c r="D99" s="135">
        <f>ABS('2.1 Profit &amp; Loss by component'!$F$26)*INDEX('2.2 Allocation to services'!$D$68:$D$77,MATCH('6. Pricing template'!B86,'2.2 Allocation to services'!$C$68:$C$77,0),1)/(Yearending-Yearstart)*365</f>
        <v>248.37337271583795</v>
      </c>
      <c r="E99" s="131">
        <f t="shared" si="8"/>
        <v>24.148242405654926</v>
      </c>
    </row>
    <row r="100" spans="2:7" x14ac:dyDescent="0.2">
      <c r="B100" s="91" t="s">
        <v>103</v>
      </c>
      <c r="C100" s="135">
        <f>IF(Cover!$C$23="Scheme pipeline",( '3.2 Regulatory Asset Base'!$H$95-'3.2 Regulatory Asset Base'!$H$94)*C29,('3.1 Depreciated Book Value'!$D$25+'3.1 Depreciated Book Value'!$D$33+'3.1 Depreciated Book Value'!$D$41+'3.1 Depreciated Book Value'!$D$49+'3.1 Depreciated Book Value'!$D$57+'3.1 Depreciated Book Value'!$D$65+'3.1 Depreciated Book Value'!$D$73+'3.1 Depreciated Book Value'!$D$88+'3.1 Depreciated Book Value'!$D$96)*C29)</f>
        <v>86441.449658061567</v>
      </c>
      <c r="D100" s="135">
        <f>ABS('2.1 Profit &amp; Loss by component'!$F$26)*INDEX('2.2 Allocation to services'!$D$68:$D$77,MATCH('6. Pricing template'!B87,'2.2 Allocation to services'!$C$68:$C$77,0),1)/(Yearending-Yearstart)*365</f>
        <v>3579.6166116760164</v>
      </c>
      <c r="E100" s="131">
        <f t="shared" si="8"/>
        <v>24.148242405654923</v>
      </c>
    </row>
    <row r="101" spans="2:7" x14ac:dyDescent="0.2">
      <c r="B101" s="91" t="s">
        <v>105</v>
      </c>
      <c r="C101" s="135">
        <f>IF(Cover!$C$23="Scheme pipeline",( '3.2 Regulatory Asset Base'!$H$95-'3.2 Regulatory Asset Base'!$H$94)*C30,('3.1 Depreciated Book Value'!$D$25+'3.1 Depreciated Book Value'!$D$33+'3.1 Depreciated Book Value'!$D$41+'3.1 Depreciated Book Value'!$D$49+'3.1 Depreciated Book Value'!$D$57+'3.1 Depreciated Book Value'!$D$65+'3.1 Depreciated Book Value'!$D$73+'3.1 Depreciated Book Value'!$D$88+'3.1 Depreciated Book Value'!$D$96)*C30)</f>
        <v>399201.11802725814</v>
      </c>
      <c r="D101" s="135">
        <f>ABS('2.1 Profit &amp; Loss by component'!$F$26)*INDEX('2.2 Allocation to services'!$D$68:$D$77,MATCH('6. Pricing template'!B88,'2.2 Allocation to services'!$C$68:$C$77,0),1)/(Yearending-Yearstart)*365</f>
        <v>16531.270115698982</v>
      </c>
      <c r="E101" s="131">
        <f t="shared" si="8"/>
        <v>24.148242405654923</v>
      </c>
    </row>
    <row r="103" spans="2:7" s="136" customFormat="1" ht="27" customHeight="1" x14ac:dyDescent="0.2">
      <c r="B103" s="129" t="s">
        <v>484</v>
      </c>
      <c r="C103" s="137" t="s">
        <v>485</v>
      </c>
      <c r="D103" s="137" t="s">
        <v>486</v>
      </c>
      <c r="E103" s="137" t="s">
        <v>479</v>
      </c>
      <c r="F103" s="138" t="s">
        <v>467</v>
      </c>
      <c r="G103" s="165" t="s">
        <v>468</v>
      </c>
    </row>
    <row r="104" spans="2:7" x14ac:dyDescent="0.2">
      <c r="B104" s="91" t="s">
        <v>93</v>
      </c>
      <c r="C104" s="135">
        <f>ABS('2.1 Profit &amp; Loss by component'!$F$26+'2.1 Profit &amp; Loss by component'!$F$37)*INDEX('2.2 Allocation to services'!$D$68:$D$77,MATCH(B104,'2.2 Allocation to services'!$C$68:$C$77,0),1)</f>
        <v>2806220.3836289984</v>
      </c>
      <c r="D104" s="135">
        <f>ABS('2.1 Profit &amp; Loss by component'!$F$26*INDEX('2.2 Allocation to services'!$D$68:$D$77,MATCH(B104,'2.2 Allocation to services'!$C$68:$C$77,0),1))</f>
        <v>2509991.8718198249</v>
      </c>
      <c r="E104" s="134">
        <f>INDEX('5. Historical demand'!$C$26:$C$35,MATCH(B104,'5. Historical demand'!$B$26:$B$35,0),1)*(Yearending-Yearstart)</f>
        <v>222049.97260273976</v>
      </c>
      <c r="F104" s="166">
        <f>IFERROR(C104/(E104*1000)," - ")</f>
        <v>1.263778756978047E-2</v>
      </c>
      <c r="G104" s="166">
        <f>IFERROR(D104/(E104*1000)," - ")</f>
        <v>1.1303725203832138E-2</v>
      </c>
    </row>
    <row r="105" spans="2:7" x14ac:dyDescent="0.2">
      <c r="B105" s="91" t="s">
        <v>95</v>
      </c>
      <c r="C105" s="135">
        <f>ABS('2.1 Profit &amp; Loss by component'!$F$26+'2.1 Profit &amp; Loss by component'!$F$37)*INDEX('2.2 Allocation to services'!$D$68:$D$77,MATCH(B105,'2.2 Allocation to services'!$C$68:$C$77,0),1)</f>
        <v>0</v>
      </c>
      <c r="D105" s="135">
        <f>ABS('2.1 Profit &amp; Loss by component'!$F$26*INDEX('2.2 Allocation to services'!$D$68:$D$77,MATCH(B105,'2.2 Allocation to services'!$C$68:$C$77,0),1))</f>
        <v>0</v>
      </c>
      <c r="E105" s="134">
        <f>INDEX('5. Historical demand'!$C$26:$C$35,MATCH(B105,'5. Historical demand'!$B$26:$B$35,0),1)*(Yearending-Yearstart)</f>
        <v>0</v>
      </c>
      <c r="F105" s="166" t="str">
        <f t="shared" ref="F105:F113" si="9">IFERROR(C105/(E105*1000)," - ")</f>
        <v xml:space="preserve"> - </v>
      </c>
      <c r="G105" s="166" t="str">
        <f t="shared" ref="G105:G113" si="10">IFERROR(D105/(E105*1000)," - ")</f>
        <v xml:space="preserve"> - </v>
      </c>
    </row>
    <row r="106" spans="2:7" x14ac:dyDescent="0.2">
      <c r="B106" s="91" t="s">
        <v>96</v>
      </c>
      <c r="C106" s="135">
        <f>ABS('2.1 Profit &amp; Loss by component'!$F$26+'2.1 Profit &amp; Loss by component'!$F$37)*INDEX('2.2 Allocation to services'!$D$68:$D$77,MATCH(B106,'2.2 Allocation to services'!$C$68:$C$77,0),1)</f>
        <v>58367.881295060462</v>
      </c>
      <c r="D106" s="135">
        <f>ABS('2.1 Profit &amp; Loss by component'!$F$26*INDEX('2.2 Allocation to services'!$D$68:$D$77,MATCH(B106,'2.2 Allocation to services'!$C$68:$C$77,0),1))</f>
        <v>52206.486874879338</v>
      </c>
      <c r="E106" s="134">
        <f>INDEX('5. Historical demand'!$C$26:$C$35,MATCH(B106,'5. Historical demand'!$B$26:$B$35,0),1)*(Yearending-Yearstart)</f>
        <v>0</v>
      </c>
      <c r="F106" s="166" t="str">
        <f t="shared" si="9"/>
        <v xml:space="preserve"> - </v>
      </c>
      <c r="G106" s="166" t="str">
        <f t="shared" si="10"/>
        <v xml:space="preserve"> - </v>
      </c>
    </row>
    <row r="107" spans="2:7" x14ac:dyDescent="0.2">
      <c r="B107" s="91" t="s">
        <v>97</v>
      </c>
      <c r="C107" s="135">
        <f>ABS('2.1 Profit &amp; Loss by component'!$F$26+'2.1 Profit &amp; Loss by component'!$F$37)*INDEX('2.2 Allocation to services'!$D$68:$D$77,MATCH(B107,'2.2 Allocation to services'!$C$68:$C$77,0),1)</f>
        <v>0</v>
      </c>
      <c r="D107" s="135">
        <f>ABS('2.1 Profit &amp; Loss by component'!$F$26*INDEX('2.2 Allocation to services'!$D$68:$D$77,MATCH(B107,'2.2 Allocation to services'!$C$68:$C$77,0),1))</f>
        <v>0</v>
      </c>
      <c r="E107" s="134">
        <f>INDEX('5. Historical demand'!$C$26:$C$35,MATCH(B107,'5. Historical demand'!$B$26:$B$35,0),1)*(Yearending-Yearstart)</f>
        <v>0</v>
      </c>
      <c r="F107" s="166" t="str">
        <f t="shared" si="9"/>
        <v xml:space="preserve"> - </v>
      </c>
      <c r="G107" s="166" t="str">
        <f t="shared" si="10"/>
        <v xml:space="preserve"> - </v>
      </c>
    </row>
    <row r="108" spans="2:7" x14ac:dyDescent="0.2">
      <c r="B108" s="159" t="s">
        <v>98</v>
      </c>
      <c r="C108" s="135">
        <f>ABS('2.1 Profit &amp; Loss by component'!$F$26+'2.1 Profit &amp; Loss by component'!$F$37)*INDEX('2.2 Allocation to services'!$D$68:$D$77,MATCH(B108,'2.2 Allocation to services'!$C$68:$C$77,0),1)</f>
        <v>0</v>
      </c>
      <c r="D108" s="135">
        <f>ABS('2.1 Profit &amp; Loss by component'!$F$26*INDEX('2.2 Allocation to services'!$D$68:$D$77,MATCH(B108,'2.2 Allocation to services'!$C$68:$C$77,0),1))</f>
        <v>0</v>
      </c>
      <c r="E108" s="134">
        <f>INDEX('5. Historical demand'!$C$26:$C$35,MATCH(B108,'5. Historical demand'!$B$26:$B$35,0),1)*(Yearending-Yearstart)</f>
        <v>0</v>
      </c>
      <c r="F108" s="166" t="str">
        <f t="shared" si="9"/>
        <v xml:space="preserve"> - </v>
      </c>
      <c r="G108" s="166" t="str">
        <f t="shared" si="10"/>
        <v xml:space="preserve"> - </v>
      </c>
    </row>
    <row r="109" spans="2:7" x14ac:dyDescent="0.2">
      <c r="B109" s="91" t="s">
        <v>99</v>
      </c>
      <c r="C109" s="135">
        <f>ABS('2.1 Profit &amp; Loss by component'!$F$26+'2.1 Profit &amp; Loss by component'!$F$37)*INDEX('2.2 Allocation to services'!$D$68:$D$77,MATCH(B109,'2.2 Allocation to services'!$C$68:$C$77,0),1)</f>
        <v>0</v>
      </c>
      <c r="D109" s="135">
        <f>ABS('2.1 Profit &amp; Loss by component'!$F$26*INDEX('2.2 Allocation to services'!$D$68:$D$77,MATCH(B109,'2.2 Allocation to services'!$C$68:$C$77,0),1))</f>
        <v>0</v>
      </c>
      <c r="E109" s="134">
        <f>INDEX('5. Historical demand'!$C$26:$C$35,MATCH(B109,'5. Historical demand'!$B$26:$B$35,0),1)*(Yearending-Yearstart)</f>
        <v>0</v>
      </c>
      <c r="F109" s="166" t="str">
        <f t="shared" si="9"/>
        <v xml:space="preserve"> - </v>
      </c>
      <c r="G109" s="166" t="str">
        <f t="shared" si="10"/>
        <v xml:space="preserve"> - </v>
      </c>
    </row>
    <row r="110" spans="2:7" x14ac:dyDescent="0.2">
      <c r="B110" s="91" t="s">
        <v>100</v>
      </c>
      <c r="C110" s="135">
        <f>ABS('2.1 Profit &amp; Loss by component'!$F$26+'2.1 Profit &amp; Loss by component'!$F$37)*INDEX('2.2 Allocation to services'!$D$68:$D$77,MATCH(B110,'2.2 Allocation to services'!$C$68:$C$77,0),1)</f>
        <v>0</v>
      </c>
      <c r="D110" s="135">
        <f>ABS('2.1 Profit &amp; Loss by component'!$F$26*INDEX('2.2 Allocation to services'!$D$68:$D$77,MATCH(B110,'2.2 Allocation to services'!$C$68:$C$77,0),1))</f>
        <v>0</v>
      </c>
      <c r="E110" s="134">
        <f>INDEX('5. Historical demand'!$C$26:$C$35,MATCH(B110,'5. Historical demand'!$B$26:$B$35,0),1)*(Yearending-Yearstart)</f>
        <v>0</v>
      </c>
      <c r="F110" s="166" t="str">
        <f t="shared" si="9"/>
        <v xml:space="preserve"> - </v>
      </c>
      <c r="G110" s="166" t="str">
        <f t="shared" si="10"/>
        <v xml:space="preserve"> - </v>
      </c>
    </row>
    <row r="111" spans="2:7" x14ac:dyDescent="0.2">
      <c r="B111" s="91" t="s">
        <v>101</v>
      </c>
      <c r="C111" s="135">
        <f>ABS('2.1 Profit &amp; Loss by component'!$F$26+'2.1 Profit &amp; Loss by component'!$F$37)*INDEX('2.2 Allocation to services'!$D$68:$D$77,MATCH(B111,'2.2 Allocation to services'!$C$68:$C$77,0),1)</f>
        <v>276.92554158110573</v>
      </c>
      <c r="D111" s="135">
        <f>ABS('2.1 Profit &amp; Loss by component'!$F$26*INDEX('2.2 Allocation to services'!$D$68:$D$77,MATCH(B111,'2.2 Allocation to services'!$C$68:$C$77,0),1))</f>
        <v>247.69289772209595</v>
      </c>
      <c r="E111" s="134">
        <f>INDEX('5. Historical demand'!$C$26:$C$35,MATCH(B111,'5. Historical demand'!$B$26:$B$35,0),1)*(Yearending-Yearstart)</f>
        <v>0</v>
      </c>
      <c r="F111" s="166" t="str">
        <f t="shared" si="9"/>
        <v xml:space="preserve"> - </v>
      </c>
      <c r="G111" s="166" t="str">
        <f t="shared" si="10"/>
        <v xml:space="preserve"> - </v>
      </c>
    </row>
    <row r="112" spans="2:7" x14ac:dyDescent="0.2">
      <c r="B112" s="91" t="s">
        <v>103</v>
      </c>
      <c r="C112" s="135">
        <f>ABS('2.1 Profit &amp; Loss by component'!$F$26+'2.1 Profit &amp; Loss by component'!$F$37)*INDEX('2.2 Allocation to services'!$D$68:$D$77,MATCH(B112,'2.2 Allocation to services'!$C$68:$C$77,0),1)</f>
        <v>3991.1173166506355</v>
      </c>
      <c r="D112" s="135">
        <f>ABS('2.1 Profit &amp; Loss by component'!$F$26*INDEX('2.2 Allocation to services'!$D$68:$D$77,MATCH(B112,'2.2 Allocation to services'!$C$68:$C$77,0),1))</f>
        <v>3569.8094428769041</v>
      </c>
      <c r="E112" s="134">
        <f>INDEX('5. Historical demand'!$C$26:$C$35,MATCH(B112,'5. Historical demand'!$B$26:$B$35,0),1)*(Yearending-Yearstart)</f>
        <v>0</v>
      </c>
      <c r="F112" s="166" t="str">
        <f t="shared" si="9"/>
        <v xml:space="preserve"> - </v>
      </c>
      <c r="G112" s="166" t="str">
        <f t="shared" si="10"/>
        <v xml:space="preserve"> - </v>
      </c>
    </row>
    <row r="113" spans="2:7" x14ac:dyDescent="0.2">
      <c r="B113" s="91" t="s">
        <v>105</v>
      </c>
      <c r="C113" s="135">
        <f>ABS('2.1 Profit &amp; Loss by component'!$F$26+'2.1 Profit &amp; Loss by component'!$F$37)*INDEX('2.2 Allocation to services'!$D$68:$D$77,MATCH(B113,'2.2 Allocation to services'!$C$68:$C$77,0),1)</f>
        <v>18431.649414573374</v>
      </c>
      <c r="D113" s="135">
        <f>ABS('2.1 Profit &amp; Loss by component'!$F$26*INDEX('2.2 Allocation to services'!$D$68:$D$77,MATCH(B113,'2.2 Allocation to services'!$C$68:$C$77,0),1))</f>
        <v>16485.978964697068</v>
      </c>
      <c r="E113" s="134">
        <f>INDEX('5. Historical demand'!$C$26:$C$35,MATCH(B113,'5. Historical demand'!$B$26:$B$35,0),1)*(Yearending-Yearstart)</f>
        <v>0</v>
      </c>
      <c r="F113" s="166" t="str">
        <f t="shared" si="9"/>
        <v xml:space="preserve"> - </v>
      </c>
      <c r="G113" s="166" t="str">
        <f t="shared" si="10"/>
        <v xml:space="preserve"> - </v>
      </c>
    </row>
    <row r="114" spans="2:7" ht="15.75" x14ac:dyDescent="0.25">
      <c r="B114" s="154"/>
    </row>
    <row r="115" spans="2:7" s="136" customFormat="1" ht="24.75" customHeight="1" x14ac:dyDescent="0.2">
      <c r="B115" s="129" t="s">
        <v>487</v>
      </c>
      <c r="C115" s="167" t="s">
        <v>488</v>
      </c>
      <c r="D115" s="167" t="s">
        <v>483</v>
      </c>
      <c r="E115" s="167" t="s">
        <v>489</v>
      </c>
      <c r="F115" s="137" t="s">
        <v>479</v>
      </c>
      <c r="G115" s="165" t="s">
        <v>469</v>
      </c>
    </row>
    <row r="116" spans="2:7" x14ac:dyDescent="0.2">
      <c r="B116" s="91" t="s">
        <v>93</v>
      </c>
      <c r="C116" s="343">
        <f>'4. Recovered Capital'!$E$37*C21</f>
        <v>63989184.779091336</v>
      </c>
      <c r="D116" s="131">
        <f>E92</f>
        <v>24.148242405654926</v>
      </c>
      <c r="E116" s="343">
        <f t="shared" ref="E116:E125" si="11">IFERROR(C116/D116, " - ")</f>
        <v>2649848.5357305608</v>
      </c>
      <c r="F116" s="134">
        <f>INDEX('5. Historical demand'!$C$26:$C$35,MATCH(B116,'5. Historical demand'!$B$26:$B$35,0),1)*(Yearending-Yearstart)</f>
        <v>222049.97260273976</v>
      </c>
      <c r="G116" s="166">
        <f>IFERROR(E116/(E104*1000), " - ")</f>
        <v>1.1933568397557487E-2</v>
      </c>
    </row>
    <row r="117" spans="2:7" x14ac:dyDescent="0.2">
      <c r="B117" s="91" t="s">
        <v>95</v>
      </c>
      <c r="C117" s="343">
        <f>'4. Recovered Capital'!$E$37*C22</f>
        <v>0</v>
      </c>
      <c r="D117" s="131" t="str">
        <f t="shared" ref="D117:D125" si="12">E93</f>
        <v xml:space="preserve"> - </v>
      </c>
      <c r="E117" s="343" t="str">
        <f t="shared" si="11"/>
        <v xml:space="preserve"> - </v>
      </c>
      <c r="F117" s="134">
        <f>INDEX('5. Historical demand'!$C$26:$C$35,MATCH(B117,'5. Historical demand'!$B$26:$B$35,0),1)*(Yearending-Yearstart)</f>
        <v>0</v>
      </c>
      <c r="G117" s="166" t="str">
        <f t="shared" ref="G117:G125" si="13">IFERROR(E117/(E105*1000), " - ")</f>
        <v xml:space="preserve"> - </v>
      </c>
    </row>
    <row r="118" spans="2:7" x14ac:dyDescent="0.2">
      <c r="B118" s="91" t="s">
        <v>96</v>
      </c>
      <c r="C118" s="343">
        <f>'4. Recovered Capital'!$E$37*C23</f>
        <v>1330940.7782590871</v>
      </c>
      <c r="D118" s="131">
        <f t="shared" si="12"/>
        <v>24.148242405654923</v>
      </c>
      <c r="E118" s="343">
        <f t="shared" si="11"/>
        <v>55115.430593301215</v>
      </c>
      <c r="F118" s="134">
        <f>INDEX('5. Historical demand'!$C$26:$C$35,MATCH(B118,'5. Historical demand'!$B$26:$B$35,0),1)*(Yearending-Yearstart)</f>
        <v>0</v>
      </c>
      <c r="G118" s="166" t="str">
        <f t="shared" si="13"/>
        <v xml:space="preserve"> - </v>
      </c>
    </row>
    <row r="119" spans="2:7" x14ac:dyDescent="0.2">
      <c r="B119" s="91" t="s">
        <v>97</v>
      </c>
      <c r="C119" s="343">
        <f>'4. Recovered Capital'!$E$37*C24</f>
        <v>0</v>
      </c>
      <c r="D119" s="131" t="str">
        <f t="shared" si="12"/>
        <v xml:space="preserve"> - </v>
      </c>
      <c r="E119" s="343" t="str">
        <f t="shared" si="11"/>
        <v xml:space="preserve"> - </v>
      </c>
      <c r="F119" s="134">
        <f>INDEX('5. Historical demand'!$C$26:$C$35,MATCH(B119,'5. Historical demand'!$B$26:$B$35,0),1)*(Yearending-Yearstart)</f>
        <v>0</v>
      </c>
      <c r="G119" s="166" t="str">
        <f t="shared" si="13"/>
        <v xml:space="preserve"> - </v>
      </c>
    </row>
    <row r="120" spans="2:7" x14ac:dyDescent="0.2">
      <c r="B120" s="159" t="s">
        <v>98</v>
      </c>
      <c r="C120" s="343">
        <f>'4. Recovered Capital'!$E$37*C25</f>
        <v>0</v>
      </c>
      <c r="D120" s="131" t="str">
        <f t="shared" si="12"/>
        <v xml:space="preserve"> - </v>
      </c>
      <c r="E120" s="343" t="str">
        <f t="shared" si="11"/>
        <v xml:space="preserve"> - </v>
      </c>
      <c r="F120" s="134">
        <f>INDEX('5. Historical demand'!$C$26:$C$35,MATCH(B120,'5. Historical demand'!$B$26:$B$35,0),1)*(Yearending-Yearstart)</f>
        <v>0</v>
      </c>
      <c r="G120" s="166" t="str">
        <f t="shared" si="13"/>
        <v xml:space="preserve"> - </v>
      </c>
    </row>
    <row r="121" spans="2:7" x14ac:dyDescent="0.2">
      <c r="B121" s="91" t="s">
        <v>99</v>
      </c>
      <c r="C121" s="343">
        <f>'4. Recovered Capital'!$E$37*C26</f>
        <v>0</v>
      </c>
      <c r="D121" s="131" t="str">
        <f t="shared" si="12"/>
        <v xml:space="preserve"> - </v>
      </c>
      <c r="E121" s="343" t="str">
        <f t="shared" si="11"/>
        <v xml:space="preserve"> - </v>
      </c>
      <c r="F121" s="134">
        <f>INDEX('5. Historical demand'!$C$26:$C$35,MATCH(B121,'5. Historical demand'!$B$26:$B$35,0),1)*(Yearending-Yearstart)</f>
        <v>0</v>
      </c>
      <c r="G121" s="166" t="str">
        <f t="shared" si="13"/>
        <v xml:space="preserve"> - </v>
      </c>
    </row>
    <row r="122" spans="2:7" x14ac:dyDescent="0.2">
      <c r="B122" s="91" t="s">
        <v>100</v>
      </c>
      <c r="C122" s="343">
        <f>'4. Recovered Capital'!$E$37*C27</f>
        <v>0</v>
      </c>
      <c r="D122" s="131" t="str">
        <f t="shared" si="12"/>
        <v xml:space="preserve"> - </v>
      </c>
      <c r="E122" s="343" t="str">
        <f t="shared" si="11"/>
        <v xml:space="preserve"> - </v>
      </c>
      <c r="F122" s="134">
        <f>INDEX('5. Historical demand'!$C$26:$C$35,MATCH(B122,'5. Historical demand'!$B$26:$B$35,0),1)*(Yearending-Yearstart)</f>
        <v>0</v>
      </c>
      <c r="G122" s="166" t="str">
        <f t="shared" si="13"/>
        <v xml:space="preserve"> - </v>
      </c>
    </row>
    <row r="123" spans="2:7" x14ac:dyDescent="0.2">
      <c r="B123" s="91" t="s">
        <v>101</v>
      </c>
      <c r="C123" s="343">
        <f>'4. Recovered Capital'!$E$37*C28</f>
        <v>6314.6286562737951</v>
      </c>
      <c r="D123" s="131">
        <f t="shared" si="12"/>
        <v>24.148242405654926</v>
      </c>
      <c r="E123" s="343">
        <f t="shared" si="11"/>
        <v>261.49433777404289</v>
      </c>
      <c r="F123" s="134">
        <f>INDEX('5. Historical demand'!$C$26:$C$35,MATCH(B123,'5. Historical demand'!$B$26:$B$35,0),1)*(Yearending-Yearstart)</f>
        <v>0</v>
      </c>
      <c r="G123" s="166" t="str">
        <f t="shared" si="13"/>
        <v xml:space="preserve"> - </v>
      </c>
    </row>
    <row r="124" spans="2:7" x14ac:dyDescent="0.2">
      <c r="B124" s="91" t="s">
        <v>103</v>
      </c>
      <c r="C124" s="343">
        <f>'4. Recovered Capital'!$E$37*C29</f>
        <v>91007.942547948085</v>
      </c>
      <c r="D124" s="131">
        <f t="shared" si="12"/>
        <v>24.148242405654923</v>
      </c>
      <c r="E124" s="343">
        <f t="shared" si="11"/>
        <v>3768.7191067220806</v>
      </c>
      <c r="F124" s="134">
        <f>INDEX('5. Historical demand'!$C$26:$C$35,MATCH(B124,'5. Historical demand'!$B$26:$B$35,0),1)*(Yearending-Yearstart)</f>
        <v>0</v>
      </c>
      <c r="G124" s="166" t="str">
        <f t="shared" si="13"/>
        <v xml:space="preserve"> - </v>
      </c>
    </row>
    <row r="125" spans="2:7" x14ac:dyDescent="0.2">
      <c r="B125" s="91" t="s">
        <v>105</v>
      </c>
      <c r="C125" s="343">
        <f>'4. Recovered Capital'!$E$37*C30</f>
        <v>420289.94837794412</v>
      </c>
      <c r="D125" s="131">
        <f t="shared" si="12"/>
        <v>24.148242405654923</v>
      </c>
      <c r="E125" s="343">
        <f t="shared" si="11"/>
        <v>17404.57716622567</v>
      </c>
      <c r="F125" s="134">
        <f>INDEX('5. Historical demand'!$C$26:$C$35,MATCH(B125,'5. Historical demand'!$B$26:$B$35,0),1)*(Yearending-Yearstart)</f>
        <v>0</v>
      </c>
      <c r="G125" s="166" t="str">
        <f t="shared" si="13"/>
        <v xml:space="preserve"> - </v>
      </c>
    </row>
    <row r="127" spans="2:7" ht="15.75" x14ac:dyDescent="0.25">
      <c r="B127" s="148" t="s">
        <v>490</v>
      </c>
    </row>
    <row r="128" spans="2:7" x14ac:dyDescent="0.2">
      <c r="B128" s="132" t="s">
        <v>491</v>
      </c>
      <c r="C128" s="132"/>
    </row>
    <row r="129" spans="2:10" x14ac:dyDescent="0.2">
      <c r="B129" s="132" t="s">
        <v>492</v>
      </c>
      <c r="C129" s="344">
        <f>IF(IFERROR(INDEX('4. Recovered Capital'!F39:BH39,1,MATCH(VALUE(RIGHT(TEXT(Yearending,"dd/mm/yyyy"),4)),'4. Recovered Capital'!$F$12:$BH$12,0)),)=0," - ",IFERROR(INDEX('4. Recovered Capital'!F39:BH39,1,MATCH(VALUE(RIGHT(TEXT(Yearending,"dd/mm/yyyy"),4)),'4. Recovered Capital'!$F$12:$BH$12,0)),))</f>
        <v>7.2227701017222326E-2</v>
      </c>
    </row>
    <row r="130" spans="2:10" x14ac:dyDescent="0.2">
      <c r="B130" s="132" t="s">
        <v>493</v>
      </c>
      <c r="C130" s="344">
        <f>IFERROR((C129-E21*E22)/(1-E22), " - ")</f>
        <v>9.3119252543055822E-2</v>
      </c>
    </row>
    <row r="131" spans="2:10" x14ac:dyDescent="0.2">
      <c r="B131" s="132" t="s">
        <v>494</v>
      </c>
      <c r="C131" s="344">
        <f>IFERROR(C130/(1-E23*(1-E24))," - ")</f>
        <v>0.10691073770729716</v>
      </c>
    </row>
    <row r="132" spans="2:10" x14ac:dyDescent="0.2">
      <c r="B132" s="132" t="s">
        <v>495</v>
      </c>
      <c r="C132" s="344">
        <f>IFERROR(C131-C130," - ")</f>
        <v>1.3791485164241335E-2</v>
      </c>
    </row>
    <row r="133" spans="2:10" x14ac:dyDescent="0.2">
      <c r="B133" s="132" t="s">
        <v>496</v>
      </c>
      <c r="C133" s="344">
        <f>IFERROR(C132*(1-E22)," - ")</f>
        <v>5.5165940656965347E-3</v>
      </c>
    </row>
    <row r="134" spans="2:10" x14ac:dyDescent="0.2">
      <c r="B134" s="132" t="s">
        <v>497</v>
      </c>
      <c r="C134" s="344">
        <f>IFERROR(C129+C133," - ")</f>
        <v>7.7744295082918857E-2</v>
      </c>
    </row>
    <row r="136" spans="2:10" s="230" customFormat="1" ht="26.25" customHeight="1" x14ac:dyDescent="0.2">
      <c r="B136" s="228" t="s">
        <v>498</v>
      </c>
      <c r="C136" s="137" t="s">
        <v>499</v>
      </c>
      <c r="D136" s="167" t="s">
        <v>492</v>
      </c>
      <c r="E136" s="167" t="s">
        <v>496</v>
      </c>
      <c r="F136" s="167" t="s">
        <v>400</v>
      </c>
      <c r="G136" s="167" t="s">
        <v>500</v>
      </c>
      <c r="H136" s="137" t="s">
        <v>479</v>
      </c>
      <c r="I136" s="229" t="s">
        <v>472</v>
      </c>
      <c r="J136" s="229" t="s">
        <v>473</v>
      </c>
    </row>
    <row r="137" spans="2:10" x14ac:dyDescent="0.2">
      <c r="B137" s="91" t="s">
        <v>93</v>
      </c>
      <c r="C137" s="343">
        <f>IF(Cover!$C$23="Scheme pipeline",'3.2 Regulatory Asset Base'!$H$78*'6. Pricing template'!C21,C92+'3.1 Depreciated Book Value'!$D$80*'6. Pricing template'!C21)</f>
        <v>64626518.188691333</v>
      </c>
      <c r="D137" s="344">
        <f t="shared" ref="D137:D146" si="14">$C$129</f>
        <v>7.2227701017222326E-2</v>
      </c>
      <c r="E137" s="344">
        <f t="shared" ref="E137:E146" si="15">$C$133</f>
        <v>5.5165940656965347E-3</v>
      </c>
      <c r="F137" s="343">
        <f t="shared" ref="F137:F146" si="16">IFERROR(C137*D137, " -")</f>
        <v>4667824.8335168781</v>
      </c>
      <c r="G137" s="343">
        <f t="shared" ref="G137:G146" si="17">IFERROR(C137*E137, " -")</f>
        <v>356518.26672636374</v>
      </c>
      <c r="H137" s="134">
        <f>INDEX('5. Historical demand'!$C$26:$C$35,MATCH(B137,'5. Historical demand'!$B$26:$B$35,0),1)*(Yearending-Yearstart)</f>
        <v>222049.97260273976</v>
      </c>
      <c r="I137" s="166">
        <f>IFERROR(F137/(H137*1000)," - ")</f>
        <v>2.1021506009675971E-2</v>
      </c>
      <c r="J137" s="166">
        <f>IFERROR(G137/(H137*1000)," - ")</f>
        <v>1.6055767201745867E-3</v>
      </c>
    </row>
    <row r="138" spans="2:10" x14ac:dyDescent="0.2">
      <c r="B138" s="91" t="s">
        <v>95</v>
      </c>
      <c r="C138" s="343">
        <f>IF(Cover!$C$23="Scheme pipeline",'3.2 Regulatory Asset Base'!$H$78*'6. Pricing template'!C22,C93+'3.1 Depreciated Book Value'!$D$80*'6. Pricing template'!C22)</f>
        <v>0</v>
      </c>
      <c r="D138" s="344">
        <f t="shared" si="14"/>
        <v>7.2227701017222326E-2</v>
      </c>
      <c r="E138" s="344">
        <f t="shared" si="15"/>
        <v>5.5165940656965347E-3</v>
      </c>
      <c r="F138" s="343">
        <f t="shared" si="16"/>
        <v>0</v>
      </c>
      <c r="G138" s="343">
        <f t="shared" si="17"/>
        <v>0</v>
      </c>
      <c r="H138" s="134">
        <f>INDEX('5. Historical demand'!$C$26:$C$35,MATCH(B138,'5. Historical demand'!$B$26:$B$35,0),1)*(Yearending-Yearstart)</f>
        <v>0</v>
      </c>
      <c r="I138" s="166" t="str">
        <f t="shared" ref="I138:I146" si="18">IFERROR(F138/(H138*1000)," - ")</f>
        <v xml:space="preserve"> - </v>
      </c>
      <c r="J138" s="166" t="str">
        <f t="shared" ref="J138:J146" si="19">IFERROR(G138/(H138*1000)," - ")</f>
        <v xml:space="preserve"> - </v>
      </c>
    </row>
    <row r="139" spans="2:10" x14ac:dyDescent="0.2">
      <c r="B139" s="91" t="s">
        <v>96</v>
      </c>
      <c r="C139" s="343">
        <f>IF(Cover!$C$23="Scheme pipeline",'3.2 Regulatory Asset Base'!$H$78*'6. Pricing template'!C23,C94+'3.1 Depreciated Book Value'!$D$80*'6. Pricing template'!C23)</f>
        <v>1344196.9718973078</v>
      </c>
      <c r="D139" s="344">
        <f t="shared" si="14"/>
        <v>7.2227701017222326E-2</v>
      </c>
      <c r="E139" s="344">
        <f t="shared" si="15"/>
        <v>5.5165940656965347E-3</v>
      </c>
      <c r="F139" s="343">
        <f t="shared" si="16"/>
        <v>97088.25699445435</v>
      </c>
      <c r="G139" s="343">
        <f t="shared" si="17"/>
        <v>7415.3890382959398</v>
      </c>
      <c r="H139" s="134">
        <f>INDEX('5. Historical demand'!$C$26:$C$35,MATCH(B139,'5. Historical demand'!$B$26:$B$35,0),1)*(Yearending-Yearstart)</f>
        <v>0</v>
      </c>
      <c r="I139" s="166" t="str">
        <f t="shared" si="18"/>
        <v xml:space="preserve"> - </v>
      </c>
      <c r="J139" s="166" t="str">
        <f t="shared" si="19"/>
        <v xml:space="preserve"> - </v>
      </c>
    </row>
    <row r="140" spans="2:10" x14ac:dyDescent="0.2">
      <c r="B140" s="91" t="s">
        <v>97</v>
      </c>
      <c r="C140" s="343">
        <f>IF(Cover!$C$23="Scheme pipeline",'3.2 Regulatory Asset Base'!$H$78*'6. Pricing template'!C24,C95+'3.1 Depreciated Book Value'!$D$80*'6. Pricing template'!C24)</f>
        <v>0</v>
      </c>
      <c r="D140" s="344">
        <f t="shared" si="14"/>
        <v>7.2227701017222326E-2</v>
      </c>
      <c r="E140" s="344">
        <f t="shared" si="15"/>
        <v>5.5165940656965347E-3</v>
      </c>
      <c r="F140" s="343">
        <f t="shared" si="16"/>
        <v>0</v>
      </c>
      <c r="G140" s="343">
        <f t="shared" si="17"/>
        <v>0</v>
      </c>
      <c r="H140" s="134">
        <f>INDEX('5. Historical demand'!$C$26:$C$35,MATCH(B140,'5. Historical demand'!$B$26:$B$35,0),1)*(Yearending-Yearstart)</f>
        <v>0</v>
      </c>
      <c r="I140" s="166" t="str">
        <f t="shared" si="18"/>
        <v xml:space="preserve"> - </v>
      </c>
      <c r="J140" s="166" t="str">
        <f t="shared" si="19"/>
        <v xml:space="preserve"> - </v>
      </c>
    </row>
    <row r="141" spans="2:10" x14ac:dyDescent="0.2">
      <c r="B141" s="159" t="s">
        <v>98</v>
      </c>
      <c r="C141" s="343">
        <f>IF(Cover!$C$23="Scheme pipeline",'3.2 Regulatory Asset Base'!$H$78*'6. Pricing template'!C25,C96+'3.1 Depreciated Book Value'!$D$80*'6. Pricing template'!C25)</f>
        <v>0</v>
      </c>
      <c r="D141" s="344">
        <f t="shared" si="14"/>
        <v>7.2227701017222326E-2</v>
      </c>
      <c r="E141" s="344">
        <f t="shared" si="15"/>
        <v>5.5165940656965347E-3</v>
      </c>
      <c r="F141" s="343">
        <f t="shared" si="16"/>
        <v>0</v>
      </c>
      <c r="G141" s="343">
        <f t="shared" si="17"/>
        <v>0</v>
      </c>
      <c r="H141" s="134">
        <f>INDEX('5. Historical demand'!$C$26:$C$35,MATCH(B141,'5. Historical demand'!$B$26:$B$35,0),1)*(Yearending-Yearstart)</f>
        <v>0</v>
      </c>
      <c r="I141" s="166" t="str">
        <f t="shared" si="18"/>
        <v xml:space="preserve"> - </v>
      </c>
      <c r="J141" s="166" t="str">
        <f t="shared" si="19"/>
        <v xml:space="preserve"> - </v>
      </c>
    </row>
    <row r="142" spans="2:10" x14ac:dyDescent="0.2">
      <c r="B142" s="91" t="s">
        <v>99</v>
      </c>
      <c r="C142" s="343">
        <f>IF(Cover!$C$23="Scheme pipeline",'3.2 Regulatory Asset Base'!$H$78*'6. Pricing template'!C26,C97+'3.1 Depreciated Book Value'!$D$80*'6. Pricing template'!C26)</f>
        <v>0</v>
      </c>
      <c r="D142" s="344">
        <f t="shared" si="14"/>
        <v>7.2227701017222326E-2</v>
      </c>
      <c r="E142" s="344">
        <f t="shared" si="15"/>
        <v>5.5165940656965347E-3</v>
      </c>
      <c r="F142" s="343">
        <f t="shared" si="16"/>
        <v>0</v>
      </c>
      <c r="G142" s="343">
        <f t="shared" si="17"/>
        <v>0</v>
      </c>
      <c r="H142" s="134">
        <f>INDEX('5. Historical demand'!$C$26:$C$35,MATCH(B142,'5. Historical demand'!$B$26:$B$35,0),1)*(Yearending-Yearstart)</f>
        <v>0</v>
      </c>
      <c r="I142" s="166" t="str">
        <f t="shared" si="18"/>
        <v xml:space="preserve"> - </v>
      </c>
      <c r="J142" s="166" t="str">
        <f t="shared" si="19"/>
        <v xml:space="preserve"> - </v>
      </c>
    </row>
    <row r="143" spans="2:10" x14ac:dyDescent="0.2">
      <c r="B143" s="91" t="s">
        <v>100</v>
      </c>
      <c r="C143" s="343">
        <f>IF(Cover!$C$23="Scheme pipeline",'3.2 Regulatory Asset Base'!$H$78*'6. Pricing template'!C27,C98+'3.1 Depreciated Book Value'!$D$80*'6. Pricing template'!C27)</f>
        <v>0</v>
      </c>
      <c r="D143" s="344">
        <f t="shared" si="14"/>
        <v>7.2227701017222326E-2</v>
      </c>
      <c r="E143" s="344">
        <f t="shared" si="15"/>
        <v>5.5165940656965347E-3</v>
      </c>
      <c r="F143" s="343">
        <f t="shared" si="16"/>
        <v>0</v>
      </c>
      <c r="G143" s="343">
        <f t="shared" si="17"/>
        <v>0</v>
      </c>
      <c r="H143" s="134">
        <f>INDEX('5. Historical demand'!$C$26:$C$35,MATCH(B143,'5. Historical demand'!$B$26:$B$35,0),1)*(Yearending-Yearstart)</f>
        <v>0</v>
      </c>
      <c r="I143" s="166" t="str">
        <f t="shared" si="18"/>
        <v xml:space="preserve"> - </v>
      </c>
      <c r="J143" s="166" t="str">
        <f t="shared" si="19"/>
        <v xml:space="preserve"> - </v>
      </c>
    </row>
    <row r="144" spans="2:10" x14ac:dyDescent="0.2">
      <c r="B144" s="91" t="s">
        <v>101</v>
      </c>
      <c r="C144" s="343">
        <f>IF(Cover!$C$23="Scheme pipeline",'3.2 Regulatory Asset Base'!$H$78*'6. Pricing template'!C28,C99+'3.1 Depreciated Book Value'!$D$80*'6. Pricing template'!C28)</f>
        <v>6377.5224691228659</v>
      </c>
      <c r="D144" s="344">
        <f t="shared" si="14"/>
        <v>7.2227701017222326E-2</v>
      </c>
      <c r="E144" s="344">
        <f t="shared" si="15"/>
        <v>5.5165940656965347E-3</v>
      </c>
      <c r="F144" s="343">
        <f t="shared" si="16"/>
        <v>460.63378613042386</v>
      </c>
      <c r="G144" s="343">
        <f t="shared" si="17"/>
        <v>35.182202607009515</v>
      </c>
      <c r="H144" s="134">
        <f>INDEX('5. Historical demand'!$C$26:$C$35,MATCH(B144,'5. Historical demand'!$B$26:$B$35,0),1)*(Yearending-Yearstart)</f>
        <v>0</v>
      </c>
      <c r="I144" s="166" t="str">
        <f t="shared" si="18"/>
        <v xml:space="preserve"> - </v>
      </c>
      <c r="J144" s="166" t="str">
        <f t="shared" si="19"/>
        <v xml:space="preserve"> - </v>
      </c>
    </row>
    <row r="145" spans="2:10" x14ac:dyDescent="0.2">
      <c r="B145" s="91" t="s">
        <v>103</v>
      </c>
      <c r="C145" s="343">
        <f>IF(Cover!$C$23="Scheme pipeline",'3.2 Regulatory Asset Base'!$H$78*'6. Pricing template'!C29,C100+'3.1 Depreciated Book Value'!$D$80*'6. Pricing template'!C29)</f>
        <v>91914.383261718773</v>
      </c>
      <c r="D145" s="344">
        <f t="shared" si="14"/>
        <v>7.2227701017222326E-2</v>
      </c>
      <c r="E145" s="344">
        <f t="shared" si="15"/>
        <v>5.5165940656965347E-3</v>
      </c>
      <c r="F145" s="343">
        <f t="shared" si="16"/>
        <v>6638.7645934098082</v>
      </c>
      <c r="G145" s="343">
        <f t="shared" si="17"/>
        <v>507.05434125375467</v>
      </c>
      <c r="H145" s="134">
        <f>INDEX('5. Historical demand'!$C$26:$C$35,MATCH(B145,'5. Historical demand'!$B$26:$B$35,0),1)*(Yearending-Yearstart)</f>
        <v>0</v>
      </c>
      <c r="I145" s="166" t="str">
        <f t="shared" si="18"/>
        <v xml:space="preserve"> - </v>
      </c>
      <c r="J145" s="166" t="str">
        <f t="shared" si="19"/>
        <v xml:space="preserve"> - </v>
      </c>
    </row>
    <row r="146" spans="2:10" x14ac:dyDescent="0.2">
      <c r="B146" s="91" t="s">
        <v>105</v>
      </c>
      <c r="C146" s="343">
        <f>IF(Cover!$C$23="Scheme pipeline",'3.2 Regulatory Asset Base'!$H$78*'6. Pricing template'!C30,C101+'3.1 Depreciated Book Value'!$D$80*'6. Pricing template'!C30)</f>
        <v>424476.04368053412</v>
      </c>
      <c r="D146" s="344">
        <f t="shared" si="14"/>
        <v>7.2227701017222326E-2</v>
      </c>
      <c r="E146" s="344">
        <f t="shared" si="15"/>
        <v>5.5165940656965347E-3</v>
      </c>
      <c r="F146" s="343">
        <f t="shared" si="16"/>
        <v>30658.928771931023</v>
      </c>
      <c r="G146" s="343">
        <f t="shared" si="17"/>
        <v>2341.6620235983773</v>
      </c>
      <c r="H146" s="134">
        <f>INDEX('5. Historical demand'!$C$26:$C$35,MATCH(B146,'5. Historical demand'!$B$26:$B$35,0),1)*(Yearending-Yearstart)</f>
        <v>0</v>
      </c>
      <c r="I146" s="166" t="str">
        <f t="shared" si="18"/>
        <v xml:space="preserve"> - </v>
      </c>
      <c r="J146" s="166" t="str">
        <f t="shared" si="19"/>
        <v xml:space="preserve"> - </v>
      </c>
    </row>
    <row r="148" spans="2:10" s="230" customFormat="1" ht="25.5" customHeight="1" x14ac:dyDescent="0.2">
      <c r="B148" s="228" t="s">
        <v>501</v>
      </c>
      <c r="C148" s="137" t="s">
        <v>499</v>
      </c>
      <c r="D148" s="167" t="s">
        <v>455</v>
      </c>
      <c r="E148" s="167" t="s">
        <v>496</v>
      </c>
      <c r="F148" s="167" t="s">
        <v>400</v>
      </c>
      <c r="G148" s="167" t="s">
        <v>500</v>
      </c>
      <c r="H148" s="137" t="s">
        <v>479</v>
      </c>
      <c r="I148" s="229" t="s">
        <v>472</v>
      </c>
      <c r="J148" s="229" t="s">
        <v>473</v>
      </c>
    </row>
    <row r="149" spans="2:10" x14ac:dyDescent="0.2">
      <c r="B149" s="91" t="s">
        <v>93</v>
      </c>
      <c r="C149" s="343">
        <f>IF(Cover!$C$23="Scheme pipeline",'3.2 Regulatory Asset Base'!$H$78*'6. Pricing template'!C21,C92+'3.1 Depreciated Book Value'!$D$80*'6. Pricing template'!C21)</f>
        <v>64626518.188691333</v>
      </c>
      <c r="D149" s="344">
        <f t="shared" ref="D149:D158" si="20">IF($E$25=0," - ",$E$25)</f>
        <v>6.6600000000000006E-2</v>
      </c>
      <c r="E149" s="344">
        <f t="shared" ref="E149:E158" si="21">IFERROR((($E$25-$E$21*$E$22)/(1-$E$22)/(1-$E$23*(1-$E$24))-($E$25-$E$21*$E$22)/(1-$E$22))*(1-$E$22)," - ")</f>
        <v>4.6830998851894404E-3</v>
      </c>
      <c r="F149" s="343">
        <f t="shared" ref="F149:F158" si="22">IFERROR(C149*D149, " -")</f>
        <v>4304126.1113668429</v>
      </c>
      <c r="G149" s="343">
        <f t="shared" ref="G149:G158" si="23">IFERROR(C149*E149, " -")</f>
        <v>302652.43990965368</v>
      </c>
      <c r="H149" s="134">
        <f>INDEX('5. Historical demand'!$C$26:$C$35,MATCH(B149,'5. Historical demand'!$B$26:$B$35,0),1)*(Yearending-Yearstart)</f>
        <v>222049.97260273976</v>
      </c>
      <c r="I149" s="166">
        <f>IFERROR(F149/(H149*1000)," - ")</f>
        <v>1.9383592174844234E-2</v>
      </c>
      <c r="J149" s="166">
        <f>IFERROR(G149/(H149*1000)," - ")</f>
        <v>1.3629924667953749E-3</v>
      </c>
    </row>
    <row r="150" spans="2:10" x14ac:dyDescent="0.2">
      <c r="B150" s="91" t="s">
        <v>95</v>
      </c>
      <c r="C150" s="343">
        <f>IF(Cover!$C$23="Scheme pipeline",'3.2 Regulatory Asset Base'!$H$78*'6. Pricing template'!C22,C93+'3.1 Depreciated Book Value'!$D$80*'6. Pricing template'!C22)</f>
        <v>0</v>
      </c>
      <c r="D150" s="344">
        <f t="shared" si="20"/>
        <v>6.6600000000000006E-2</v>
      </c>
      <c r="E150" s="344">
        <f t="shared" si="21"/>
        <v>4.6830998851894404E-3</v>
      </c>
      <c r="F150" s="343">
        <f t="shared" si="22"/>
        <v>0</v>
      </c>
      <c r="G150" s="343">
        <f t="shared" si="23"/>
        <v>0</v>
      </c>
      <c r="H150" s="134">
        <f>INDEX('5. Historical demand'!$C$26:$C$35,MATCH(B150,'5. Historical demand'!$B$26:$B$35,0),1)*(Yearending-Yearstart)</f>
        <v>0</v>
      </c>
      <c r="I150" s="166" t="str">
        <f t="shared" ref="I150:I158" si="24">IFERROR(F150/(H150*1000)," - ")</f>
        <v xml:space="preserve"> - </v>
      </c>
      <c r="J150" s="166" t="str">
        <f t="shared" ref="J150:J158" si="25">IFERROR(G150/(H150*1000)," - ")</f>
        <v xml:space="preserve"> - </v>
      </c>
    </row>
    <row r="151" spans="2:10" x14ac:dyDescent="0.2">
      <c r="B151" s="91" t="s">
        <v>96</v>
      </c>
      <c r="C151" s="343">
        <f>IF(Cover!$C$23="Scheme pipeline",'3.2 Regulatory Asset Base'!$H$78*'6. Pricing template'!C23,C94+'3.1 Depreciated Book Value'!$D$80*'6. Pricing template'!C23)</f>
        <v>1344196.9718973078</v>
      </c>
      <c r="D151" s="344">
        <f t="shared" si="20"/>
        <v>6.6600000000000006E-2</v>
      </c>
      <c r="E151" s="344">
        <f t="shared" si="21"/>
        <v>4.6830998851894404E-3</v>
      </c>
      <c r="F151" s="343">
        <f t="shared" si="22"/>
        <v>89523.518328360704</v>
      </c>
      <c r="G151" s="343">
        <f t="shared" si="23"/>
        <v>6295.0086847642751</v>
      </c>
      <c r="H151" s="134">
        <f>INDEX('5. Historical demand'!$C$26:$C$35,MATCH(B151,'5. Historical demand'!$B$26:$B$35,0),1)*(Yearending-Yearstart)</f>
        <v>0</v>
      </c>
      <c r="I151" s="166" t="str">
        <f t="shared" si="24"/>
        <v xml:space="preserve"> - </v>
      </c>
      <c r="J151" s="166" t="str">
        <f t="shared" si="25"/>
        <v xml:space="preserve"> - </v>
      </c>
    </row>
    <row r="152" spans="2:10" x14ac:dyDescent="0.2">
      <c r="B152" s="91" t="s">
        <v>97</v>
      </c>
      <c r="C152" s="343">
        <f>IF(Cover!$C$23="Scheme pipeline",'3.2 Regulatory Asset Base'!$H$78*'6. Pricing template'!C24,C95+'3.1 Depreciated Book Value'!$D$80*'6. Pricing template'!C24)</f>
        <v>0</v>
      </c>
      <c r="D152" s="344">
        <f t="shared" si="20"/>
        <v>6.6600000000000006E-2</v>
      </c>
      <c r="E152" s="344">
        <f t="shared" si="21"/>
        <v>4.6830998851894404E-3</v>
      </c>
      <c r="F152" s="343">
        <f t="shared" si="22"/>
        <v>0</v>
      </c>
      <c r="G152" s="343">
        <f t="shared" si="23"/>
        <v>0</v>
      </c>
      <c r="H152" s="134">
        <f>INDEX('5. Historical demand'!$C$26:$C$35,MATCH(B152,'5. Historical demand'!$B$26:$B$35,0),1)*(Yearending-Yearstart)</f>
        <v>0</v>
      </c>
      <c r="I152" s="166" t="str">
        <f t="shared" si="24"/>
        <v xml:space="preserve"> - </v>
      </c>
      <c r="J152" s="166" t="str">
        <f t="shared" si="25"/>
        <v xml:space="preserve"> - </v>
      </c>
    </row>
    <row r="153" spans="2:10" x14ac:dyDescent="0.2">
      <c r="B153" s="159" t="s">
        <v>98</v>
      </c>
      <c r="C153" s="343">
        <f>IF(Cover!$C$23="Scheme pipeline",'3.2 Regulatory Asset Base'!$H$78*'6. Pricing template'!C25,C96+'3.1 Depreciated Book Value'!$D$80*'6. Pricing template'!C25)</f>
        <v>0</v>
      </c>
      <c r="D153" s="344">
        <f t="shared" si="20"/>
        <v>6.6600000000000006E-2</v>
      </c>
      <c r="E153" s="344">
        <f t="shared" si="21"/>
        <v>4.6830998851894404E-3</v>
      </c>
      <c r="F153" s="343">
        <f t="shared" si="22"/>
        <v>0</v>
      </c>
      <c r="G153" s="343">
        <f t="shared" si="23"/>
        <v>0</v>
      </c>
      <c r="H153" s="134">
        <f>INDEX('5. Historical demand'!$C$26:$C$35,MATCH(B153,'5. Historical demand'!$B$26:$B$35,0),1)*(Yearending-Yearstart)</f>
        <v>0</v>
      </c>
      <c r="I153" s="166" t="str">
        <f t="shared" si="24"/>
        <v xml:space="preserve"> - </v>
      </c>
      <c r="J153" s="166" t="str">
        <f t="shared" si="25"/>
        <v xml:space="preserve"> - </v>
      </c>
    </row>
    <row r="154" spans="2:10" x14ac:dyDescent="0.2">
      <c r="B154" s="91" t="s">
        <v>99</v>
      </c>
      <c r="C154" s="343">
        <f>IF(Cover!$C$23="Scheme pipeline",'3.2 Regulatory Asset Base'!$H$78*'6. Pricing template'!C26,C97+'3.1 Depreciated Book Value'!$D$80*'6. Pricing template'!C26)</f>
        <v>0</v>
      </c>
      <c r="D154" s="344">
        <f t="shared" si="20"/>
        <v>6.6600000000000006E-2</v>
      </c>
      <c r="E154" s="344">
        <f t="shared" si="21"/>
        <v>4.6830998851894404E-3</v>
      </c>
      <c r="F154" s="343">
        <f t="shared" si="22"/>
        <v>0</v>
      </c>
      <c r="G154" s="343">
        <f t="shared" si="23"/>
        <v>0</v>
      </c>
      <c r="H154" s="134">
        <f>INDEX('5. Historical demand'!$C$26:$C$35,MATCH(B154,'5. Historical demand'!$B$26:$B$35,0),1)*(Yearending-Yearstart)</f>
        <v>0</v>
      </c>
      <c r="I154" s="166" t="str">
        <f t="shared" si="24"/>
        <v xml:space="preserve"> - </v>
      </c>
      <c r="J154" s="166" t="str">
        <f t="shared" si="25"/>
        <v xml:space="preserve"> - </v>
      </c>
    </row>
    <row r="155" spans="2:10" x14ac:dyDescent="0.2">
      <c r="B155" s="91" t="s">
        <v>100</v>
      </c>
      <c r="C155" s="343">
        <f>IF(Cover!$C$23="Scheme pipeline",'3.2 Regulatory Asset Base'!$H$78*'6. Pricing template'!C27,C98+'3.1 Depreciated Book Value'!$D$80*'6. Pricing template'!C27)</f>
        <v>0</v>
      </c>
      <c r="D155" s="344">
        <f t="shared" si="20"/>
        <v>6.6600000000000006E-2</v>
      </c>
      <c r="E155" s="344">
        <f t="shared" si="21"/>
        <v>4.6830998851894404E-3</v>
      </c>
      <c r="F155" s="343">
        <f t="shared" si="22"/>
        <v>0</v>
      </c>
      <c r="G155" s="343">
        <f t="shared" si="23"/>
        <v>0</v>
      </c>
      <c r="H155" s="134">
        <f>INDEX('5. Historical demand'!$C$26:$C$35,MATCH(B155,'5. Historical demand'!$B$26:$B$35,0),1)*(Yearending-Yearstart)</f>
        <v>0</v>
      </c>
      <c r="I155" s="166" t="str">
        <f t="shared" si="24"/>
        <v xml:space="preserve"> - </v>
      </c>
      <c r="J155" s="166" t="str">
        <f t="shared" si="25"/>
        <v xml:space="preserve"> - </v>
      </c>
    </row>
    <row r="156" spans="2:10" x14ac:dyDescent="0.2">
      <c r="B156" s="91" t="s">
        <v>101</v>
      </c>
      <c r="C156" s="343">
        <f>IF(Cover!$C$23="Scheme pipeline",'3.2 Regulatory Asset Base'!$H$78*'6. Pricing template'!C28,C99+'3.1 Depreciated Book Value'!$D$80*'6. Pricing template'!C28)</f>
        <v>6377.5224691228659</v>
      </c>
      <c r="D156" s="344">
        <f t="shared" si="20"/>
        <v>6.6600000000000006E-2</v>
      </c>
      <c r="E156" s="344">
        <f t="shared" si="21"/>
        <v>4.6830998851894404E-3</v>
      </c>
      <c r="F156" s="343">
        <f t="shared" si="22"/>
        <v>424.74299644358291</v>
      </c>
      <c r="G156" s="343">
        <f t="shared" si="23"/>
        <v>29.866574742942369</v>
      </c>
      <c r="H156" s="134">
        <f>INDEX('5. Historical demand'!$C$26:$C$35,MATCH(B156,'5. Historical demand'!$B$26:$B$35,0),1)*(Yearending-Yearstart)</f>
        <v>0</v>
      </c>
      <c r="I156" s="166" t="str">
        <f t="shared" si="24"/>
        <v xml:space="preserve"> - </v>
      </c>
      <c r="J156" s="166" t="str">
        <f t="shared" si="25"/>
        <v xml:space="preserve"> - </v>
      </c>
    </row>
    <row r="157" spans="2:10" x14ac:dyDescent="0.2">
      <c r="B157" s="91" t="s">
        <v>103</v>
      </c>
      <c r="C157" s="343">
        <f>IF(Cover!$C$23="Scheme pipeline",'3.2 Regulatory Asset Base'!$H$78*'6. Pricing template'!C29,C100+'3.1 Depreciated Book Value'!$D$80*'6. Pricing template'!C29)</f>
        <v>91914.383261718773</v>
      </c>
      <c r="D157" s="344">
        <f t="shared" si="20"/>
        <v>6.6600000000000006E-2</v>
      </c>
      <c r="E157" s="344">
        <f t="shared" si="21"/>
        <v>4.6830998851894404E-3</v>
      </c>
      <c r="F157" s="343">
        <f t="shared" si="22"/>
        <v>6121.4979252304711</v>
      </c>
      <c r="G157" s="343">
        <f t="shared" si="23"/>
        <v>430.44423770021342</v>
      </c>
      <c r="H157" s="134">
        <f>INDEX('5. Historical demand'!$C$26:$C$35,MATCH(B157,'5. Historical demand'!$B$26:$B$35,0),1)*(Yearending-Yearstart)</f>
        <v>0</v>
      </c>
      <c r="I157" s="166" t="str">
        <f t="shared" si="24"/>
        <v xml:space="preserve"> - </v>
      </c>
      <c r="J157" s="166" t="str">
        <f t="shared" si="25"/>
        <v xml:space="preserve"> - </v>
      </c>
    </row>
    <row r="158" spans="2:10" x14ac:dyDescent="0.2">
      <c r="B158" s="91" t="s">
        <v>105</v>
      </c>
      <c r="C158" s="343">
        <f>IF(Cover!$C$23="Scheme pipeline",'3.2 Regulatory Asset Base'!$H$78*'6. Pricing template'!C30,C101+'3.1 Depreciated Book Value'!$D$80*'6. Pricing template'!C30)</f>
        <v>424476.04368053412</v>
      </c>
      <c r="D158" s="344">
        <f t="shared" si="20"/>
        <v>6.6600000000000006E-2</v>
      </c>
      <c r="E158" s="344">
        <f t="shared" si="21"/>
        <v>4.6830998851894404E-3</v>
      </c>
      <c r="F158" s="343">
        <f t="shared" si="22"/>
        <v>28270.104509123576</v>
      </c>
      <c r="G158" s="343">
        <f t="shared" si="23"/>
        <v>1987.8637114259773</v>
      </c>
      <c r="H158" s="134">
        <f>INDEX('5. Historical demand'!$C$26:$C$35,MATCH(B158,'5. Historical demand'!$B$26:$B$35,0),1)*(Yearending-Yearstart)</f>
        <v>0</v>
      </c>
      <c r="I158" s="166" t="str">
        <f t="shared" si="24"/>
        <v xml:space="preserve"> - </v>
      </c>
      <c r="J158" s="166" t="str">
        <f t="shared" si="25"/>
        <v xml:space="preserve"> - </v>
      </c>
    </row>
    <row r="188" ht="27" customHeight="1" x14ac:dyDescent="0.2"/>
    <row r="195" ht="32.1" customHeight="1" x14ac:dyDescent="0.2"/>
  </sheetData>
  <sheetProtection sheet="1"/>
  <mergeCells count="36">
    <mergeCell ref="H49:H50"/>
    <mergeCell ref="H51:H52"/>
    <mergeCell ref="B47:B48"/>
    <mergeCell ref="H41:H42"/>
    <mergeCell ref="H43:H44"/>
    <mergeCell ref="H45:H46"/>
    <mergeCell ref="H47:H48"/>
    <mergeCell ref="H39:H40"/>
    <mergeCell ref="H55:H56"/>
    <mergeCell ref="H53:H54"/>
    <mergeCell ref="H37:H38"/>
    <mergeCell ref="B7:D13"/>
    <mergeCell ref="B19:B20"/>
    <mergeCell ref="E19:E20"/>
    <mergeCell ref="B45:B46"/>
    <mergeCell ref="B55:B56"/>
    <mergeCell ref="B18:C18"/>
    <mergeCell ref="D18:E18"/>
    <mergeCell ref="B37:B38"/>
    <mergeCell ref="B39:B40"/>
    <mergeCell ref="B41:B42"/>
    <mergeCell ref="B43:B44"/>
    <mergeCell ref="D19:D20"/>
    <mergeCell ref="J62:K62"/>
    <mergeCell ref="H61:K61"/>
    <mergeCell ref="E61:G61"/>
    <mergeCell ref="E62:E63"/>
    <mergeCell ref="F62:F63"/>
    <mergeCell ref="G62:G63"/>
    <mergeCell ref="H62:I62"/>
    <mergeCell ref="C62:C63"/>
    <mergeCell ref="D62:D63"/>
    <mergeCell ref="B53:B54"/>
    <mergeCell ref="C61:D61"/>
    <mergeCell ref="B49:B50"/>
    <mergeCell ref="B51:B52"/>
  </mergeCells>
  <conditionalFormatting sqref="C31">
    <cfRule type="cellIs" dxfId="1" priority="1" stopIfTrue="1" operator="lessThan">
      <formula>1</formula>
    </cfRule>
    <cfRule type="cellIs" dxfId="0" priority="2" stopIfTrue="1" operator="greaterThan">
      <formula>1</formula>
    </cfRule>
  </conditionalFormatting>
  <pageMargins left="0.7" right="0.7" top="0.75" bottom="0.75" header="0.3" footer="0.3"/>
  <pageSetup paperSize="9" orientation="portrait" r:id="rId1"/>
  <headerFooter>
    <oddFooter>&amp;C_x000D_&amp;1#&amp;"Aptos"&amp;10&amp;K008000 APA-INTERNAL</oddFooter>
  </headerFooter>
  <drawing r:id="rId2"/>
  <legacy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B4110-1612-4A6B-841A-7AFDAF0D2044}">
  <sheetPr>
    <tabColor rgb="FF17415D"/>
  </sheetPr>
  <dimension ref="A1:G4"/>
  <sheetViews>
    <sheetView zoomScaleNormal="100" workbookViewId="0"/>
  </sheetViews>
  <sheetFormatPr defaultColWidth="0" defaultRowHeight="12.75" x14ac:dyDescent="0.2"/>
  <cols>
    <col min="1" max="1" width="10.42578125" bestFit="1" customWidth="1"/>
    <col min="2" max="2" width="22" bestFit="1" customWidth="1"/>
    <col min="3" max="3" width="22.5703125" bestFit="1" customWidth="1"/>
    <col min="4" max="4" width="56.5703125" bestFit="1" customWidth="1"/>
    <col min="5" max="5" width="22.5703125" bestFit="1" customWidth="1"/>
    <col min="6" max="6" width="45.5703125" bestFit="1" customWidth="1"/>
    <col min="7" max="7" width="70.5703125" bestFit="1" customWidth="1"/>
  </cols>
  <sheetData>
    <row r="1" spans="1:7" x14ac:dyDescent="0.2">
      <c r="A1" s="239" t="s">
        <v>0</v>
      </c>
      <c r="B1" s="240" t="s">
        <v>502</v>
      </c>
      <c r="C1" s="241" t="s">
        <v>503</v>
      </c>
      <c r="D1" s="240" t="s">
        <v>504</v>
      </c>
      <c r="E1" s="241" t="s">
        <v>505</v>
      </c>
      <c r="F1" s="241" t="s">
        <v>506</v>
      </c>
      <c r="G1" s="242" t="s">
        <v>507</v>
      </c>
    </row>
    <row r="2" spans="1:7" x14ac:dyDescent="0.2">
      <c r="A2" s="243">
        <v>45775</v>
      </c>
      <c r="B2">
        <v>1</v>
      </c>
      <c r="C2" s="273" t="s">
        <v>1</v>
      </c>
      <c r="E2" s="273" t="s">
        <v>508</v>
      </c>
      <c r="F2" s="273" t="s">
        <v>509</v>
      </c>
      <c r="G2" s="273" t="s">
        <v>510</v>
      </c>
    </row>
    <row r="3" spans="1:7" x14ac:dyDescent="0.2">
      <c r="A3" s="243">
        <v>45775</v>
      </c>
      <c r="B3">
        <v>2</v>
      </c>
      <c r="C3" s="273" t="s">
        <v>511</v>
      </c>
      <c r="D3" t="s">
        <v>107</v>
      </c>
      <c r="E3" s="273" t="s">
        <v>512</v>
      </c>
      <c r="F3" t="s">
        <v>513</v>
      </c>
      <c r="G3" t="s">
        <v>514</v>
      </c>
    </row>
    <row r="4" spans="1:7" x14ac:dyDescent="0.2">
      <c r="A4" s="243">
        <v>45775</v>
      </c>
      <c r="B4">
        <v>3</v>
      </c>
      <c r="C4" s="273" t="s">
        <v>515</v>
      </c>
      <c r="D4" t="s">
        <v>516</v>
      </c>
      <c r="E4" s="273" t="s">
        <v>517</v>
      </c>
      <c r="F4" t="s">
        <v>518</v>
      </c>
      <c r="G4" s="273" t="s">
        <v>519</v>
      </c>
    </row>
  </sheetData>
  <sheetProtection sheet="1"/>
  <pageMargins left="0.7" right="0.7" top="0.75" bottom="0.75" header="0.3" footer="0.3"/>
  <headerFooter>
    <oddFooter>&amp;C_x000D_&amp;1#&amp;"Aptos"&amp;10&amp;K008000 APA-INTERNAL</oddFooter>
  </headerFooter>
  <tableParts count="1">
    <tablePart r:id="rId1"/>
  </tablePart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9EA76-E1B6-4C56-81C0-BF8CB0C1009A}">
  <sheetPr>
    <tabColor rgb="FF92D050"/>
  </sheetPr>
  <dimension ref="A1:M94"/>
  <sheetViews>
    <sheetView showGridLines="0" topLeftCell="A26" workbookViewId="0">
      <selection activeCell="F99" sqref="F99"/>
    </sheetView>
  </sheetViews>
  <sheetFormatPr defaultColWidth="8.5703125" defaultRowHeight="12" x14ac:dyDescent="0.2"/>
  <cols>
    <col min="1" max="2" width="14.5703125" style="247" customWidth="1"/>
    <col min="3" max="10" width="23" style="247" customWidth="1"/>
    <col min="11" max="11" width="5.5703125" style="247" customWidth="1"/>
    <col min="12" max="12" width="13.5703125" style="247" customWidth="1"/>
    <col min="13" max="13" width="12.5703125" style="247" customWidth="1"/>
    <col min="14" max="16384" width="8.5703125" style="247"/>
  </cols>
  <sheetData>
    <row r="1" spans="3:10" x14ac:dyDescent="0.2">
      <c r="C1" s="246" t="s">
        <v>634</v>
      </c>
      <c r="D1" s="246"/>
      <c r="E1" s="246"/>
      <c r="F1" s="246"/>
      <c r="G1" s="246"/>
      <c r="H1" s="246"/>
      <c r="I1" s="246"/>
      <c r="J1" s="246"/>
    </row>
    <row r="2" spans="3:10" x14ac:dyDescent="0.2">
      <c r="C2" s="248" t="s">
        <v>525</v>
      </c>
      <c r="D2" s="249" t="s">
        <v>533</v>
      </c>
    </row>
    <row r="3" spans="3:10" x14ac:dyDescent="0.2">
      <c r="C3" s="248" t="s">
        <v>526</v>
      </c>
      <c r="D3" s="249" t="s">
        <v>635</v>
      </c>
    </row>
    <row r="4" spans="3:10" x14ac:dyDescent="0.2">
      <c r="C4" s="248" t="s">
        <v>527</v>
      </c>
      <c r="D4" s="249" t="s">
        <v>636</v>
      </c>
    </row>
    <row r="5" spans="3:10" x14ac:dyDescent="0.2">
      <c r="C5" s="248" t="s">
        <v>528</v>
      </c>
      <c r="D5" s="249" t="s">
        <v>543</v>
      </c>
    </row>
    <row r="6" spans="3:10" x14ac:dyDescent="0.2">
      <c r="C6" s="248" t="s">
        <v>637</v>
      </c>
      <c r="D6" s="249" t="s">
        <v>638</v>
      </c>
    </row>
    <row r="7" spans="3:10" x14ac:dyDescent="0.2">
      <c r="C7" s="248" t="s">
        <v>529</v>
      </c>
      <c r="D7" s="249" t="s">
        <v>639</v>
      </c>
    </row>
    <row r="8" spans="3:10" x14ac:dyDescent="0.2">
      <c r="C8" s="248" t="s">
        <v>640</v>
      </c>
      <c r="D8" s="249" t="s">
        <v>641</v>
      </c>
    </row>
    <row r="9" spans="3:10" x14ac:dyDescent="0.2">
      <c r="C9" s="248" t="s">
        <v>642</v>
      </c>
      <c r="D9" s="249" t="s">
        <v>643</v>
      </c>
    </row>
    <row r="10" spans="3:10" x14ac:dyDescent="0.2">
      <c r="C10" s="248" t="s">
        <v>644</v>
      </c>
      <c r="D10" s="249" t="s">
        <v>25</v>
      </c>
    </row>
    <row r="11" spans="3:10" x14ac:dyDescent="0.2">
      <c r="C11" s="248" t="s">
        <v>645</v>
      </c>
      <c r="D11" s="249" t="s">
        <v>25</v>
      </c>
    </row>
    <row r="12" spans="3:10" x14ac:dyDescent="0.2">
      <c r="C12" s="248" t="s">
        <v>530</v>
      </c>
      <c r="D12" s="249"/>
    </row>
    <row r="13" spans="3:10" x14ac:dyDescent="0.2">
      <c r="C13" s="248" t="s">
        <v>646</v>
      </c>
      <c r="D13" s="249"/>
    </row>
    <row r="14" spans="3:10" x14ac:dyDescent="0.2">
      <c r="C14" s="248" t="s">
        <v>647</v>
      </c>
      <c r="D14" s="249" t="s">
        <v>25</v>
      </c>
    </row>
    <row r="15" spans="3:10" x14ac:dyDescent="0.2">
      <c r="C15" s="248" t="s">
        <v>648</v>
      </c>
      <c r="D15" s="249"/>
    </row>
    <row r="16" spans="3:10" x14ac:dyDescent="0.2">
      <c r="C16" s="248" t="s">
        <v>649</v>
      </c>
      <c r="D16" s="249"/>
    </row>
    <row r="17" spans="1:13" x14ac:dyDescent="0.2">
      <c r="C17" s="248" t="s">
        <v>650</v>
      </c>
      <c r="D17" s="249"/>
    </row>
    <row r="18" spans="1:13" x14ac:dyDescent="0.2">
      <c r="C18" s="248" t="s">
        <v>651</v>
      </c>
      <c r="D18" s="249"/>
    </row>
    <row r="19" spans="1:13" x14ac:dyDescent="0.2">
      <c r="C19" s="248" t="s">
        <v>652</v>
      </c>
      <c r="D19" s="249"/>
    </row>
    <row r="20" spans="1:13" x14ac:dyDescent="0.2">
      <c r="C20" s="248" t="s">
        <v>653</v>
      </c>
      <c r="D20" s="249"/>
    </row>
    <row r="21" spans="1:13" x14ac:dyDescent="0.2">
      <c r="C21" s="248" t="s">
        <v>654</v>
      </c>
      <c r="D21" s="249"/>
    </row>
    <row r="22" spans="1:13" x14ac:dyDescent="0.2">
      <c r="C22" s="248" t="s">
        <v>655</v>
      </c>
      <c r="D22" s="249"/>
    </row>
    <row r="23" spans="1:13" x14ac:dyDescent="0.2">
      <c r="C23" s="248" t="s">
        <v>656</v>
      </c>
      <c r="D23" s="249"/>
    </row>
    <row r="24" spans="1:13" x14ac:dyDescent="0.2">
      <c r="C24" s="248" t="s">
        <v>657</v>
      </c>
      <c r="D24" s="249"/>
    </row>
    <row r="25" spans="1:13" ht="24" x14ac:dyDescent="0.2">
      <c r="C25" s="250" t="s">
        <v>658</v>
      </c>
      <c r="D25" s="250" t="s">
        <v>658</v>
      </c>
      <c r="E25" s="250" t="s">
        <v>658</v>
      </c>
      <c r="F25" s="251" t="s">
        <v>533</v>
      </c>
      <c r="G25" s="251" t="s">
        <v>533</v>
      </c>
      <c r="H25" s="251" t="s">
        <v>533</v>
      </c>
      <c r="I25" s="251" t="s">
        <v>533</v>
      </c>
      <c r="J25" s="250" t="s">
        <v>658</v>
      </c>
    </row>
    <row r="26" spans="1:13" ht="24" x14ac:dyDescent="0.2">
      <c r="A26" s="251" t="s">
        <v>531</v>
      </c>
      <c r="B26" s="251" t="s">
        <v>532</v>
      </c>
      <c r="C26" s="250" t="s">
        <v>536</v>
      </c>
      <c r="D26" s="250" t="s">
        <v>537</v>
      </c>
      <c r="E26" s="250" t="s">
        <v>538</v>
      </c>
      <c r="F26" s="251" t="s">
        <v>539</v>
      </c>
      <c r="G26" s="251" t="s">
        <v>540</v>
      </c>
      <c r="H26" s="251" t="s">
        <v>541</v>
      </c>
      <c r="I26" s="250" t="s">
        <v>542</v>
      </c>
      <c r="J26" s="250" t="s">
        <v>543</v>
      </c>
      <c r="L26" s="252" t="s">
        <v>534</v>
      </c>
      <c r="M26" s="245" t="s">
        <v>535</v>
      </c>
    </row>
    <row r="27" spans="1:13" x14ac:dyDescent="0.2">
      <c r="A27" s="249" t="e">
        <f>VLOOKUP(C27,#REF!,2,FALSE)</f>
        <v>#REF!</v>
      </c>
      <c r="B27" s="249" t="e">
        <f>VLOOKUP(C27,#REF!,3,FALSE)</f>
        <v>#REF!</v>
      </c>
      <c r="C27" s="249" t="s">
        <v>544</v>
      </c>
      <c r="D27" s="249">
        <v>1106</v>
      </c>
      <c r="E27" s="249" t="s">
        <v>545</v>
      </c>
      <c r="F27" s="253">
        <v>0</v>
      </c>
      <c r="G27" s="253">
        <v>790587</v>
      </c>
      <c r="H27" s="253">
        <v>0</v>
      </c>
      <c r="I27" s="253">
        <v>0</v>
      </c>
      <c r="J27" s="253">
        <v>790587</v>
      </c>
      <c r="L27" s="254">
        <f>G27+I27</f>
        <v>790587</v>
      </c>
      <c r="M27" s="254">
        <f>J27-L27</f>
        <v>0</v>
      </c>
    </row>
    <row r="28" spans="1:13" x14ac:dyDescent="0.2">
      <c r="A28" s="249" t="e">
        <f>VLOOKUP(C28,#REF!,2,FALSE)</f>
        <v>#REF!</v>
      </c>
      <c r="B28" s="249" t="e">
        <f>VLOOKUP(C28,#REF!,3,FALSE)</f>
        <v>#REF!</v>
      </c>
      <c r="C28" s="249" t="s">
        <v>546</v>
      </c>
      <c r="D28" s="249">
        <v>1280</v>
      </c>
      <c r="E28" s="249" t="s">
        <v>547</v>
      </c>
      <c r="F28" s="253">
        <v>0</v>
      </c>
      <c r="G28" s="253">
        <v>15244.1</v>
      </c>
      <c r="H28" s="253">
        <v>0</v>
      </c>
      <c r="I28" s="253">
        <v>0</v>
      </c>
      <c r="J28" s="253">
        <v>15244.1</v>
      </c>
      <c r="L28" s="254">
        <f t="shared" ref="L28:L70" si="0">G28+I28</f>
        <v>15244.1</v>
      </c>
      <c r="M28" s="254">
        <f t="shared" ref="M28:M70" si="1">J28-L28</f>
        <v>0</v>
      </c>
    </row>
    <row r="29" spans="1:13" x14ac:dyDescent="0.2">
      <c r="A29" s="249" t="e">
        <f>VLOOKUP(C29,#REF!,2,FALSE)</f>
        <v>#REF!</v>
      </c>
      <c r="B29" s="249" t="e">
        <f>VLOOKUP(C29,#REF!,3,FALSE)</f>
        <v>#REF!</v>
      </c>
      <c r="C29" s="249" t="s">
        <v>548</v>
      </c>
      <c r="D29" s="249">
        <v>1700</v>
      </c>
      <c r="E29" s="249" t="s">
        <v>549</v>
      </c>
      <c r="F29" s="253">
        <v>0</v>
      </c>
      <c r="G29" s="253">
        <v>62819702.829999998</v>
      </c>
      <c r="H29" s="253">
        <v>0</v>
      </c>
      <c r="I29" s="253">
        <v>0</v>
      </c>
      <c r="J29" s="253">
        <v>62819702.829999998</v>
      </c>
      <c r="L29" s="254">
        <f t="shared" si="0"/>
        <v>62819702.829999998</v>
      </c>
      <c r="M29" s="254">
        <f t="shared" si="1"/>
        <v>0</v>
      </c>
    </row>
    <row r="30" spans="1:13" x14ac:dyDescent="0.2">
      <c r="A30" s="249" t="e">
        <f>VLOOKUP(C30,#REF!,2,FALSE)</f>
        <v>#REF!</v>
      </c>
      <c r="B30" s="249" t="e">
        <f>VLOOKUP(C30,#REF!,3,FALSE)</f>
        <v>#REF!</v>
      </c>
      <c r="C30" s="249" t="s">
        <v>550</v>
      </c>
      <c r="D30" s="249">
        <v>1701</v>
      </c>
      <c r="E30" s="249" t="s">
        <v>551</v>
      </c>
      <c r="F30" s="253">
        <v>0</v>
      </c>
      <c r="G30" s="253">
        <v>777331</v>
      </c>
      <c r="H30" s="253">
        <v>0</v>
      </c>
      <c r="I30" s="253">
        <v>0</v>
      </c>
      <c r="J30" s="253">
        <v>777331</v>
      </c>
      <c r="L30" s="254">
        <f t="shared" si="0"/>
        <v>777331</v>
      </c>
      <c r="M30" s="254">
        <f t="shared" si="1"/>
        <v>0</v>
      </c>
    </row>
    <row r="31" spans="1:13" x14ac:dyDescent="0.2">
      <c r="A31" s="249" t="e">
        <f>VLOOKUP(C31,#REF!,2,FALSE)</f>
        <v>#REF!</v>
      </c>
      <c r="B31" s="249" t="e">
        <f>VLOOKUP(C31,#REF!,3,FALSE)</f>
        <v>#REF!</v>
      </c>
      <c r="C31" s="249" t="s">
        <v>552</v>
      </c>
      <c r="D31" s="249">
        <v>1702</v>
      </c>
      <c r="E31" s="249" t="s">
        <v>553</v>
      </c>
      <c r="F31" s="253">
        <v>0</v>
      </c>
      <c r="G31" s="253">
        <v>-12926625.859999999</v>
      </c>
      <c r="H31" s="253">
        <v>0</v>
      </c>
      <c r="I31" s="253">
        <v>0</v>
      </c>
      <c r="J31" s="253">
        <v>-12926625.859999999</v>
      </c>
      <c r="L31" s="254">
        <f t="shared" si="0"/>
        <v>-12926625.859999999</v>
      </c>
      <c r="M31" s="254">
        <f t="shared" si="1"/>
        <v>0</v>
      </c>
    </row>
    <row r="32" spans="1:13" x14ac:dyDescent="0.2">
      <c r="A32" s="249" t="e">
        <f>VLOOKUP(C32,#REF!,2,FALSE)</f>
        <v>#REF!</v>
      </c>
      <c r="B32" s="249" t="e">
        <f>VLOOKUP(C32,#REF!,3,FALSE)</f>
        <v>#REF!</v>
      </c>
      <c r="C32" s="249" t="s">
        <v>554</v>
      </c>
      <c r="D32" s="249">
        <v>1707</v>
      </c>
      <c r="E32" s="249" t="s">
        <v>555</v>
      </c>
      <c r="F32" s="253">
        <v>0</v>
      </c>
      <c r="G32" s="253">
        <v>0</v>
      </c>
      <c r="H32" s="253">
        <v>0</v>
      </c>
      <c r="I32" s="253">
        <v>0</v>
      </c>
      <c r="J32" s="253">
        <v>0</v>
      </c>
      <c r="L32" s="254">
        <f t="shared" si="0"/>
        <v>0</v>
      </c>
      <c r="M32" s="254">
        <f t="shared" si="1"/>
        <v>0</v>
      </c>
    </row>
    <row r="33" spans="1:13" x14ac:dyDescent="0.2">
      <c r="A33" s="249" t="e">
        <f>VLOOKUP(C33,#REF!,2,FALSE)</f>
        <v>#REF!</v>
      </c>
      <c r="B33" s="249" t="e">
        <f>VLOOKUP(C33,#REF!,3,FALSE)</f>
        <v>#REF!</v>
      </c>
      <c r="C33" s="249" t="s">
        <v>556</v>
      </c>
      <c r="D33" s="249">
        <v>1730</v>
      </c>
      <c r="E33" s="249" t="s">
        <v>557</v>
      </c>
      <c r="F33" s="253">
        <v>0</v>
      </c>
      <c r="G33" s="253">
        <v>163771.9</v>
      </c>
      <c r="H33" s="253">
        <v>0</v>
      </c>
      <c r="I33" s="253">
        <v>0</v>
      </c>
      <c r="J33" s="253">
        <v>163771.9</v>
      </c>
      <c r="L33" s="254">
        <f t="shared" si="0"/>
        <v>163771.9</v>
      </c>
      <c r="M33" s="254">
        <f t="shared" si="1"/>
        <v>0</v>
      </c>
    </row>
    <row r="34" spans="1:13" x14ac:dyDescent="0.2">
      <c r="A34" s="249" t="e">
        <f>VLOOKUP(C34,#REF!,2,FALSE)</f>
        <v>#REF!</v>
      </c>
      <c r="B34" s="249" t="e">
        <f>VLOOKUP(C34,#REF!,3,FALSE)</f>
        <v>#REF!</v>
      </c>
      <c r="C34" s="249" t="s">
        <v>558</v>
      </c>
      <c r="D34" s="249">
        <v>1731</v>
      </c>
      <c r="E34" s="249" t="s">
        <v>559</v>
      </c>
      <c r="F34" s="253">
        <v>0</v>
      </c>
      <c r="G34" s="253">
        <v>26394.7</v>
      </c>
      <c r="H34" s="253">
        <v>0</v>
      </c>
      <c r="I34" s="253">
        <v>0</v>
      </c>
      <c r="J34" s="253">
        <v>26394.7</v>
      </c>
      <c r="L34" s="254">
        <f t="shared" si="0"/>
        <v>26394.7</v>
      </c>
      <c r="M34" s="254">
        <f t="shared" si="1"/>
        <v>0</v>
      </c>
    </row>
    <row r="35" spans="1:13" x14ac:dyDescent="0.2">
      <c r="A35" s="249" t="e">
        <f>VLOOKUP(C35,#REF!,2,FALSE)</f>
        <v>#REF!</v>
      </c>
      <c r="B35" s="249" t="e">
        <f>VLOOKUP(C35,#REF!,3,FALSE)</f>
        <v>#REF!</v>
      </c>
      <c r="C35" s="249" t="s">
        <v>560</v>
      </c>
      <c r="D35" s="249">
        <v>1800</v>
      </c>
      <c r="E35" s="249" t="s">
        <v>561</v>
      </c>
      <c r="F35" s="253">
        <v>0</v>
      </c>
      <c r="G35" s="253">
        <v>0</v>
      </c>
      <c r="H35" s="253">
        <v>0</v>
      </c>
      <c r="I35" s="253">
        <v>0</v>
      </c>
      <c r="J35" s="253">
        <v>0</v>
      </c>
      <c r="L35" s="254">
        <f t="shared" si="0"/>
        <v>0</v>
      </c>
      <c r="M35" s="254">
        <f t="shared" si="1"/>
        <v>0</v>
      </c>
    </row>
    <row r="36" spans="1:13" x14ac:dyDescent="0.2">
      <c r="A36" s="249" t="e">
        <f>VLOOKUP(C36,#REF!,2,FALSE)</f>
        <v>#REF!</v>
      </c>
      <c r="B36" s="249" t="e">
        <f>VLOOKUP(C36,#REF!,3,FALSE)</f>
        <v>#REF!</v>
      </c>
      <c r="C36" s="249" t="s">
        <v>562</v>
      </c>
      <c r="D36" s="249">
        <v>1802</v>
      </c>
      <c r="E36" s="249" t="s">
        <v>563</v>
      </c>
      <c r="F36" s="253">
        <v>0</v>
      </c>
      <c r="G36" s="253">
        <v>-977</v>
      </c>
      <c r="H36" s="253">
        <v>0</v>
      </c>
      <c r="I36" s="253">
        <v>0</v>
      </c>
      <c r="J36" s="253">
        <v>-977</v>
      </c>
      <c r="L36" s="254">
        <f t="shared" si="0"/>
        <v>-977</v>
      </c>
      <c r="M36" s="254">
        <f t="shared" si="1"/>
        <v>0</v>
      </c>
    </row>
    <row r="37" spans="1:13" x14ac:dyDescent="0.2">
      <c r="A37" s="249" t="e">
        <f>VLOOKUP(C37,#REF!,2,FALSE)</f>
        <v>#REF!</v>
      </c>
      <c r="B37" s="249" t="e">
        <f>VLOOKUP(C37,#REF!,3,FALSE)</f>
        <v>#REF!</v>
      </c>
      <c r="C37" s="249" t="s">
        <v>564</v>
      </c>
      <c r="D37" s="249">
        <v>1860</v>
      </c>
      <c r="E37" s="249" t="s">
        <v>565</v>
      </c>
      <c r="F37" s="253">
        <v>0</v>
      </c>
      <c r="G37" s="253">
        <v>235015.31</v>
      </c>
      <c r="H37" s="253">
        <v>0</v>
      </c>
      <c r="I37" s="253">
        <v>0</v>
      </c>
      <c r="J37" s="253">
        <v>235015.31</v>
      </c>
      <c r="L37" s="254">
        <f t="shared" si="0"/>
        <v>235015.31</v>
      </c>
      <c r="M37" s="254">
        <f t="shared" si="1"/>
        <v>0</v>
      </c>
    </row>
    <row r="38" spans="1:13" x14ac:dyDescent="0.2">
      <c r="A38" s="249" t="e">
        <f>VLOOKUP(C38,#REF!,2,FALSE)</f>
        <v>#REF!</v>
      </c>
      <c r="B38" s="249" t="e">
        <f>VLOOKUP(C38,#REF!,3,FALSE)</f>
        <v>#REF!</v>
      </c>
      <c r="C38" s="249" t="s">
        <v>566</v>
      </c>
      <c r="D38" s="249">
        <v>1861</v>
      </c>
      <c r="E38" s="249" t="s">
        <v>567</v>
      </c>
      <c r="F38" s="253">
        <v>0</v>
      </c>
      <c r="G38" s="253">
        <v>9374.7999999999993</v>
      </c>
      <c r="H38" s="253">
        <v>0</v>
      </c>
      <c r="I38" s="253">
        <v>0</v>
      </c>
      <c r="J38" s="253">
        <v>9374.7999999999993</v>
      </c>
      <c r="L38" s="254">
        <f t="shared" si="0"/>
        <v>9374.7999999999993</v>
      </c>
      <c r="M38" s="254">
        <f t="shared" si="1"/>
        <v>0</v>
      </c>
    </row>
    <row r="39" spans="1:13" x14ac:dyDescent="0.2">
      <c r="A39" s="249" t="e">
        <f>VLOOKUP(C39,#REF!,2,FALSE)</f>
        <v>#REF!</v>
      </c>
      <c r="B39" s="249" t="e">
        <f>VLOOKUP(C39,#REF!,3,FALSE)</f>
        <v>#REF!</v>
      </c>
      <c r="C39" s="249" t="s">
        <v>568</v>
      </c>
      <c r="D39" s="249">
        <v>2031</v>
      </c>
      <c r="E39" s="249" t="s">
        <v>569</v>
      </c>
      <c r="F39" s="253">
        <v>0</v>
      </c>
      <c r="G39" s="253">
        <v>-16916</v>
      </c>
      <c r="H39" s="253">
        <v>0</v>
      </c>
      <c r="I39" s="253">
        <v>0</v>
      </c>
      <c r="J39" s="253">
        <v>-16916</v>
      </c>
      <c r="L39" s="254">
        <f t="shared" si="0"/>
        <v>-16916</v>
      </c>
      <c r="M39" s="254">
        <f t="shared" si="1"/>
        <v>0</v>
      </c>
    </row>
    <row r="40" spans="1:13" x14ac:dyDescent="0.2">
      <c r="A40" s="249" t="e">
        <f>VLOOKUP(C40,#REF!,2,FALSE)</f>
        <v>#REF!</v>
      </c>
      <c r="B40" s="249" t="e">
        <f>VLOOKUP(C40,#REF!,3,FALSE)</f>
        <v>#REF!</v>
      </c>
      <c r="C40" s="249" t="s">
        <v>570</v>
      </c>
      <c r="D40" s="249">
        <v>2032</v>
      </c>
      <c r="E40" s="249" t="s">
        <v>571</v>
      </c>
      <c r="F40" s="253">
        <v>0</v>
      </c>
      <c r="G40" s="253">
        <v>16916</v>
      </c>
      <c r="H40" s="253">
        <v>0</v>
      </c>
      <c r="I40" s="253">
        <v>0</v>
      </c>
      <c r="J40" s="253">
        <v>16916</v>
      </c>
      <c r="L40" s="254">
        <f t="shared" si="0"/>
        <v>16916</v>
      </c>
      <c r="M40" s="254">
        <f t="shared" si="1"/>
        <v>0</v>
      </c>
    </row>
    <row r="41" spans="1:13" x14ac:dyDescent="0.2">
      <c r="A41" s="249" t="e">
        <f>VLOOKUP(C41,#REF!,2,FALSE)</f>
        <v>#REF!</v>
      </c>
      <c r="B41" s="249" t="e">
        <f>VLOOKUP(C41,#REF!,3,FALSE)</f>
        <v>#REF!</v>
      </c>
      <c r="C41" s="249" t="s">
        <v>659</v>
      </c>
      <c r="D41" s="249">
        <v>2035</v>
      </c>
      <c r="E41" s="249" t="s">
        <v>660</v>
      </c>
      <c r="F41" s="253">
        <v>0</v>
      </c>
      <c r="G41" s="253">
        <v>0</v>
      </c>
      <c r="H41" s="253">
        <v>0</v>
      </c>
      <c r="I41" s="253">
        <v>0</v>
      </c>
      <c r="J41" s="253">
        <v>0</v>
      </c>
      <c r="L41" s="254">
        <f t="shared" si="0"/>
        <v>0</v>
      </c>
      <c r="M41" s="254">
        <f t="shared" si="1"/>
        <v>0</v>
      </c>
    </row>
    <row r="42" spans="1:13" x14ac:dyDescent="0.2">
      <c r="A42" s="249" t="e">
        <f>VLOOKUP(C42,#REF!,2,FALSE)</f>
        <v>#REF!</v>
      </c>
      <c r="B42" s="249" t="e">
        <f>VLOOKUP(C42,#REF!,3,FALSE)</f>
        <v>#REF!</v>
      </c>
      <c r="C42" s="249" t="s">
        <v>572</v>
      </c>
      <c r="D42" s="249">
        <v>2066</v>
      </c>
      <c r="E42" s="249" t="s">
        <v>573</v>
      </c>
      <c r="F42" s="253">
        <v>0</v>
      </c>
      <c r="G42" s="253">
        <v>-16916</v>
      </c>
      <c r="H42" s="253">
        <v>0</v>
      </c>
      <c r="I42" s="253">
        <v>0</v>
      </c>
      <c r="J42" s="253">
        <v>-16916</v>
      </c>
      <c r="L42" s="254">
        <f t="shared" si="0"/>
        <v>-16916</v>
      </c>
      <c r="M42" s="254">
        <f t="shared" si="1"/>
        <v>0</v>
      </c>
    </row>
    <row r="43" spans="1:13" x14ac:dyDescent="0.2">
      <c r="A43" s="249" t="e">
        <f>VLOOKUP(C43,#REF!,2,FALSE)</f>
        <v>#REF!</v>
      </c>
      <c r="B43" s="249" t="e">
        <f>VLOOKUP(C43,#REF!,3,FALSE)</f>
        <v>#REF!</v>
      </c>
      <c r="C43" s="249" t="s">
        <v>574</v>
      </c>
      <c r="D43" s="249">
        <v>2100</v>
      </c>
      <c r="E43" s="249" t="s">
        <v>575</v>
      </c>
      <c r="F43" s="253">
        <v>0</v>
      </c>
      <c r="G43" s="253">
        <v>0</v>
      </c>
      <c r="H43" s="253">
        <v>0</v>
      </c>
      <c r="I43" s="253">
        <v>0</v>
      </c>
      <c r="J43" s="253">
        <v>0</v>
      </c>
      <c r="L43" s="254">
        <f t="shared" si="0"/>
        <v>0</v>
      </c>
      <c r="M43" s="254">
        <f t="shared" si="1"/>
        <v>0</v>
      </c>
    </row>
    <row r="44" spans="1:13" x14ac:dyDescent="0.2">
      <c r="A44" s="249" t="e">
        <f>VLOOKUP(C44,#REF!,2,FALSE)</f>
        <v>#REF!</v>
      </c>
      <c r="B44" s="249" t="e">
        <f>VLOOKUP(C44,#REF!,3,FALSE)</f>
        <v>#REF!</v>
      </c>
      <c r="C44" s="249" t="s">
        <v>576</v>
      </c>
      <c r="D44" s="249">
        <v>2510</v>
      </c>
      <c r="E44" s="249" t="s">
        <v>577</v>
      </c>
      <c r="F44" s="253">
        <v>-57330.3</v>
      </c>
      <c r="G44" s="253">
        <v>-22515557.710000001</v>
      </c>
      <c r="H44" s="253">
        <v>5943.91</v>
      </c>
      <c r="I44" s="253">
        <v>583260.81999999995</v>
      </c>
      <c r="J44" s="253">
        <v>-21983683.280000001</v>
      </c>
      <c r="L44" s="254">
        <f t="shared" si="0"/>
        <v>-21932296.890000001</v>
      </c>
      <c r="M44" s="254">
        <f t="shared" si="1"/>
        <v>-51386.390000000596</v>
      </c>
    </row>
    <row r="45" spans="1:13" x14ac:dyDescent="0.2">
      <c r="A45" s="249" t="e">
        <f>VLOOKUP(C45,#REF!,2,FALSE)</f>
        <v>#REF!</v>
      </c>
      <c r="B45" s="249" t="e">
        <f>VLOOKUP(C45,#REF!,3,FALSE)</f>
        <v>#REF!</v>
      </c>
      <c r="C45" s="249" t="s">
        <v>578</v>
      </c>
      <c r="D45" s="249">
        <v>2513</v>
      </c>
      <c r="E45" s="249" t="s">
        <v>579</v>
      </c>
      <c r="F45" s="253">
        <v>57330.3</v>
      </c>
      <c r="G45" s="253">
        <v>525930.52</v>
      </c>
      <c r="H45" s="253">
        <v>0</v>
      </c>
      <c r="I45" s="253">
        <v>-583260.81999999995</v>
      </c>
      <c r="J45" s="253">
        <v>0</v>
      </c>
      <c r="L45" s="254">
        <f t="shared" si="0"/>
        <v>-57330.29999999993</v>
      </c>
      <c r="M45" s="254">
        <f t="shared" si="1"/>
        <v>57330.29999999993</v>
      </c>
    </row>
    <row r="46" spans="1:13" x14ac:dyDescent="0.2">
      <c r="A46" s="249" t="e">
        <f>VLOOKUP(C46,#REF!,2,FALSE)</f>
        <v>#REF!</v>
      </c>
      <c r="B46" s="249" t="e">
        <f>VLOOKUP(C46,#REF!,3,FALSE)</f>
        <v>#REF!</v>
      </c>
      <c r="C46" s="249" t="s">
        <v>580</v>
      </c>
      <c r="D46" s="249">
        <v>2531</v>
      </c>
      <c r="E46" s="249" t="s">
        <v>581</v>
      </c>
      <c r="F46" s="253">
        <v>0</v>
      </c>
      <c r="G46" s="253">
        <v>-809779.82</v>
      </c>
      <c r="H46" s="253">
        <v>0</v>
      </c>
      <c r="I46" s="253">
        <v>0</v>
      </c>
      <c r="J46" s="253">
        <v>-809779.82</v>
      </c>
      <c r="L46" s="254">
        <f t="shared" si="0"/>
        <v>-809779.82</v>
      </c>
      <c r="M46" s="254">
        <f t="shared" si="1"/>
        <v>0</v>
      </c>
    </row>
    <row r="47" spans="1:13" x14ac:dyDescent="0.2">
      <c r="A47" s="249" t="e">
        <f>VLOOKUP(C47,#REF!,2,FALSE)</f>
        <v>#REF!</v>
      </c>
      <c r="B47" s="249" t="e">
        <f>VLOOKUP(C47,#REF!,3,FALSE)</f>
        <v>#REF!</v>
      </c>
      <c r="C47" s="249" t="s">
        <v>582</v>
      </c>
      <c r="D47" s="249">
        <v>2580</v>
      </c>
      <c r="E47" s="249" t="s">
        <v>583</v>
      </c>
      <c r="F47" s="253">
        <v>0</v>
      </c>
      <c r="G47" s="253">
        <v>-4287051.96</v>
      </c>
      <c r="H47" s="253">
        <v>0</v>
      </c>
      <c r="I47" s="253">
        <v>0</v>
      </c>
      <c r="J47" s="253">
        <v>-4287051.96</v>
      </c>
      <c r="L47" s="254">
        <f t="shared" si="0"/>
        <v>-4287051.96</v>
      </c>
      <c r="M47" s="254">
        <f t="shared" si="1"/>
        <v>0</v>
      </c>
    </row>
    <row r="48" spans="1:13" x14ac:dyDescent="0.2">
      <c r="A48" s="249" t="e">
        <f>VLOOKUP(C48,#REF!,2,FALSE)</f>
        <v>#REF!</v>
      </c>
      <c r="B48" s="249" t="e">
        <f>VLOOKUP(C48,#REF!,3,FALSE)</f>
        <v>#REF!</v>
      </c>
      <c r="C48" s="249" t="s">
        <v>584</v>
      </c>
      <c r="D48" s="249">
        <v>3000</v>
      </c>
      <c r="E48" s="249" t="s">
        <v>585</v>
      </c>
      <c r="F48" s="253">
        <v>0</v>
      </c>
      <c r="G48" s="253">
        <v>-1</v>
      </c>
      <c r="H48" s="253">
        <v>0</v>
      </c>
      <c r="I48" s="253">
        <v>0</v>
      </c>
      <c r="J48" s="253">
        <v>-1</v>
      </c>
      <c r="L48" s="254">
        <f t="shared" si="0"/>
        <v>-1</v>
      </c>
      <c r="M48" s="254">
        <f t="shared" si="1"/>
        <v>0</v>
      </c>
    </row>
    <row r="49" spans="1:13" x14ac:dyDescent="0.2">
      <c r="A49" s="249" t="e">
        <f>VLOOKUP(C49,#REF!,2,FALSE)</f>
        <v>#REF!</v>
      </c>
      <c r="B49" s="249" t="e">
        <f>VLOOKUP(C49,#REF!,3,FALSE)</f>
        <v>#REF!</v>
      </c>
      <c r="C49" s="249" t="s">
        <v>586</v>
      </c>
      <c r="D49" s="249">
        <v>3200</v>
      </c>
      <c r="E49" s="249" t="s">
        <v>587</v>
      </c>
      <c r="F49" s="253">
        <v>0</v>
      </c>
      <c r="G49" s="253">
        <v>-23766245.629999999</v>
      </c>
      <c r="H49" s="253">
        <v>-5943.91</v>
      </c>
      <c r="I49" s="253">
        <v>0</v>
      </c>
      <c r="J49" s="253">
        <v>-23772189.539999999</v>
      </c>
      <c r="L49" s="254">
        <f t="shared" si="0"/>
        <v>-23766245.629999999</v>
      </c>
      <c r="M49" s="254">
        <f t="shared" si="1"/>
        <v>-5943.910000000149</v>
      </c>
    </row>
    <row r="50" spans="1:13" x14ac:dyDescent="0.2">
      <c r="A50" s="249" t="e">
        <f>VLOOKUP(C50,#REF!,2,FALSE)</f>
        <v>#REF!</v>
      </c>
      <c r="B50" s="249" t="e">
        <f>VLOOKUP(C50,#REF!,3,FALSE)</f>
        <v>#REF!</v>
      </c>
      <c r="C50" s="249" t="s">
        <v>588</v>
      </c>
      <c r="D50" s="249">
        <v>4000</v>
      </c>
      <c r="E50" s="249" t="s">
        <v>589</v>
      </c>
      <c r="F50" s="253">
        <v>0</v>
      </c>
      <c r="G50" s="253">
        <v>-9561265.5700000003</v>
      </c>
      <c r="H50" s="253">
        <v>0</v>
      </c>
      <c r="I50" s="253">
        <v>0</v>
      </c>
      <c r="J50" s="253">
        <v>-9561265.5700000003</v>
      </c>
      <c r="L50" s="254">
        <f t="shared" si="0"/>
        <v>-9561265.5700000003</v>
      </c>
      <c r="M50" s="254">
        <f t="shared" si="1"/>
        <v>0</v>
      </c>
    </row>
    <row r="51" spans="1:13" x14ac:dyDescent="0.2">
      <c r="A51" s="249" t="e">
        <f>VLOOKUP(C51,#REF!,2,FALSE)</f>
        <v>#REF!</v>
      </c>
      <c r="B51" s="249" t="e">
        <f>VLOOKUP(C51,#REF!,3,FALSE)</f>
        <v>#REF!</v>
      </c>
      <c r="C51" s="249" t="s">
        <v>661</v>
      </c>
      <c r="D51" s="249">
        <v>5000</v>
      </c>
      <c r="E51" s="249" t="s">
        <v>662</v>
      </c>
      <c r="F51" s="253">
        <v>0</v>
      </c>
      <c r="G51" s="253">
        <v>-20245.45</v>
      </c>
      <c r="H51" s="253">
        <v>0</v>
      </c>
      <c r="I51" s="253">
        <v>0</v>
      </c>
      <c r="J51" s="253">
        <v>-20245.45</v>
      </c>
      <c r="L51" s="254">
        <f t="shared" si="0"/>
        <v>-20245.45</v>
      </c>
      <c r="M51" s="254">
        <f t="shared" si="1"/>
        <v>0</v>
      </c>
    </row>
    <row r="52" spans="1:13" x14ac:dyDescent="0.2">
      <c r="A52" s="249" t="e">
        <f>VLOOKUP(C52,#REF!,2,FALSE)</f>
        <v>#REF!</v>
      </c>
      <c r="B52" s="249" t="e">
        <f>VLOOKUP(C52,#REF!,3,FALSE)</f>
        <v>#REF!</v>
      </c>
      <c r="C52" s="249" t="s">
        <v>663</v>
      </c>
      <c r="D52" s="249">
        <v>5001</v>
      </c>
      <c r="E52" s="249" t="s">
        <v>664</v>
      </c>
      <c r="F52" s="253">
        <v>0</v>
      </c>
      <c r="G52" s="253">
        <v>-3064.13</v>
      </c>
      <c r="H52" s="253">
        <v>0</v>
      </c>
      <c r="I52" s="253">
        <v>0</v>
      </c>
      <c r="J52" s="253">
        <v>-3064.13</v>
      </c>
      <c r="L52" s="254">
        <f t="shared" si="0"/>
        <v>-3064.13</v>
      </c>
      <c r="M52" s="254">
        <f t="shared" si="1"/>
        <v>0</v>
      </c>
    </row>
    <row r="53" spans="1:13" x14ac:dyDescent="0.2">
      <c r="A53" s="249" t="e">
        <f>VLOOKUP(C53,#REF!,2,FALSE)</f>
        <v>#REF!</v>
      </c>
      <c r="B53" s="249" t="e">
        <f>VLOOKUP(C53,#REF!,3,FALSE)</f>
        <v>#REF!</v>
      </c>
      <c r="C53" s="249" t="s">
        <v>590</v>
      </c>
      <c r="D53" s="249">
        <v>5099</v>
      </c>
      <c r="E53" s="249" t="s">
        <v>591</v>
      </c>
      <c r="F53" s="253">
        <v>0</v>
      </c>
      <c r="G53" s="253">
        <v>370735.26</v>
      </c>
      <c r="H53" s="253">
        <v>0</v>
      </c>
      <c r="I53" s="253">
        <v>0</v>
      </c>
      <c r="J53" s="253">
        <v>370735.26</v>
      </c>
      <c r="L53" s="254">
        <f t="shared" si="0"/>
        <v>370735.26</v>
      </c>
      <c r="M53" s="254">
        <f t="shared" si="1"/>
        <v>0</v>
      </c>
    </row>
    <row r="54" spans="1:13" x14ac:dyDescent="0.2">
      <c r="A54" s="249" t="e">
        <f>VLOOKUP(C54,#REF!,2,FALSE)</f>
        <v>#REF!</v>
      </c>
      <c r="B54" s="249" t="e">
        <f>VLOOKUP(C54,#REF!,3,FALSE)</f>
        <v>#REF!</v>
      </c>
      <c r="C54" s="249" t="s">
        <v>592</v>
      </c>
      <c r="D54" s="249">
        <v>5100</v>
      </c>
      <c r="E54" s="249" t="s">
        <v>593</v>
      </c>
      <c r="F54" s="253">
        <v>0</v>
      </c>
      <c r="G54" s="253">
        <v>83752.89</v>
      </c>
      <c r="H54" s="253">
        <v>0</v>
      </c>
      <c r="I54" s="253">
        <v>0</v>
      </c>
      <c r="J54" s="253">
        <v>83752.89</v>
      </c>
      <c r="L54" s="254">
        <f t="shared" si="0"/>
        <v>83752.89</v>
      </c>
      <c r="M54" s="254">
        <f t="shared" si="1"/>
        <v>0</v>
      </c>
    </row>
    <row r="55" spans="1:13" x14ac:dyDescent="0.2">
      <c r="A55" s="249" t="e">
        <f>VLOOKUP(C55,#REF!,2,FALSE)</f>
        <v>#REF!</v>
      </c>
      <c r="B55" s="249" t="e">
        <f>VLOOKUP(C55,#REF!,3,FALSE)</f>
        <v>#REF!</v>
      </c>
      <c r="C55" s="249" t="s">
        <v>594</v>
      </c>
      <c r="D55" s="249">
        <v>5103</v>
      </c>
      <c r="E55" s="249" t="s">
        <v>595</v>
      </c>
      <c r="F55" s="253">
        <v>0</v>
      </c>
      <c r="G55" s="253">
        <v>0</v>
      </c>
      <c r="H55" s="253">
        <v>0</v>
      </c>
      <c r="I55" s="253">
        <v>0</v>
      </c>
      <c r="J55" s="253">
        <v>0</v>
      </c>
      <c r="L55" s="254">
        <f t="shared" si="0"/>
        <v>0</v>
      </c>
      <c r="M55" s="254">
        <f t="shared" si="1"/>
        <v>0</v>
      </c>
    </row>
    <row r="56" spans="1:13" x14ac:dyDescent="0.2">
      <c r="A56" s="249" t="e">
        <f>VLOOKUP(C56,#REF!,2,FALSE)</f>
        <v>#REF!</v>
      </c>
      <c r="B56" s="249" t="e">
        <f>VLOOKUP(C56,#REF!,3,FALSE)</f>
        <v>#REF!</v>
      </c>
      <c r="C56" s="249" t="s">
        <v>596</v>
      </c>
      <c r="D56" s="249">
        <v>5105</v>
      </c>
      <c r="E56" s="249" t="s">
        <v>597</v>
      </c>
      <c r="F56" s="253">
        <v>0</v>
      </c>
      <c r="G56" s="253">
        <v>52394.2</v>
      </c>
      <c r="H56" s="253">
        <v>0</v>
      </c>
      <c r="I56" s="253">
        <v>0</v>
      </c>
      <c r="J56" s="253">
        <v>52394.2</v>
      </c>
      <c r="L56" s="254">
        <f t="shared" si="0"/>
        <v>52394.2</v>
      </c>
      <c r="M56" s="254">
        <f t="shared" si="1"/>
        <v>0</v>
      </c>
    </row>
    <row r="57" spans="1:13" x14ac:dyDescent="0.2">
      <c r="A57" s="249" t="e">
        <f>VLOOKUP(C57,#REF!,2,FALSE)</f>
        <v>#REF!</v>
      </c>
      <c r="B57" s="249" t="e">
        <f>VLOOKUP(C57,#REF!,3,FALSE)</f>
        <v>#REF!</v>
      </c>
      <c r="C57" s="249" t="s">
        <v>598</v>
      </c>
      <c r="D57" s="249">
        <v>5110</v>
      </c>
      <c r="E57" s="249" t="s">
        <v>599</v>
      </c>
      <c r="F57" s="253">
        <v>0</v>
      </c>
      <c r="G57" s="253">
        <v>1046.8</v>
      </c>
      <c r="H57" s="253">
        <v>0</v>
      </c>
      <c r="I57" s="253">
        <v>0</v>
      </c>
      <c r="J57" s="253">
        <v>1046.8</v>
      </c>
      <c r="L57" s="254">
        <f t="shared" si="0"/>
        <v>1046.8</v>
      </c>
      <c r="M57" s="254">
        <f t="shared" si="1"/>
        <v>0</v>
      </c>
    </row>
    <row r="58" spans="1:13" x14ac:dyDescent="0.2">
      <c r="A58" s="249" t="e">
        <f>VLOOKUP(C58,#REF!,2,FALSE)</f>
        <v>#REF!</v>
      </c>
      <c r="B58" s="249" t="e">
        <f>VLOOKUP(C58,#REF!,3,FALSE)</f>
        <v>#REF!</v>
      </c>
      <c r="C58" s="249" t="s">
        <v>600</v>
      </c>
      <c r="D58" s="249">
        <v>5113</v>
      </c>
      <c r="E58" s="249" t="s">
        <v>601</v>
      </c>
      <c r="F58" s="253">
        <v>0</v>
      </c>
      <c r="G58" s="253">
        <v>11592.3</v>
      </c>
      <c r="H58" s="253">
        <v>0</v>
      </c>
      <c r="I58" s="253">
        <v>0</v>
      </c>
      <c r="J58" s="253">
        <v>11592.3</v>
      </c>
      <c r="L58" s="254">
        <f t="shared" si="0"/>
        <v>11592.3</v>
      </c>
      <c r="M58" s="254">
        <f t="shared" si="1"/>
        <v>0</v>
      </c>
    </row>
    <row r="59" spans="1:13" x14ac:dyDescent="0.2">
      <c r="A59" s="249" t="e">
        <f>VLOOKUP(C59,#REF!,2,FALSE)</f>
        <v>#REF!</v>
      </c>
      <c r="B59" s="249" t="e">
        <f>VLOOKUP(C59,#REF!,3,FALSE)</f>
        <v>#REF!</v>
      </c>
      <c r="C59" s="249" t="s">
        <v>602</v>
      </c>
      <c r="D59" s="249">
        <v>5117</v>
      </c>
      <c r="E59" s="249" t="s">
        <v>603</v>
      </c>
      <c r="F59" s="253">
        <v>0</v>
      </c>
      <c r="G59" s="253">
        <v>6646.27</v>
      </c>
      <c r="H59" s="253">
        <v>0</v>
      </c>
      <c r="I59" s="253">
        <v>0</v>
      </c>
      <c r="J59" s="253">
        <v>6646.27</v>
      </c>
      <c r="L59" s="254">
        <f t="shared" si="0"/>
        <v>6646.27</v>
      </c>
      <c r="M59" s="254">
        <f t="shared" si="1"/>
        <v>0</v>
      </c>
    </row>
    <row r="60" spans="1:13" x14ac:dyDescent="0.2">
      <c r="A60" s="249" t="e">
        <f>VLOOKUP(C60,#REF!,2,FALSE)</f>
        <v>#REF!</v>
      </c>
      <c r="B60" s="249" t="e">
        <f>VLOOKUP(C60,#REF!,3,FALSE)</f>
        <v>#REF!</v>
      </c>
      <c r="C60" s="249" t="s">
        <v>604</v>
      </c>
      <c r="D60" s="249">
        <v>5118</v>
      </c>
      <c r="E60" s="249" t="s">
        <v>605</v>
      </c>
      <c r="F60" s="253">
        <v>0</v>
      </c>
      <c r="G60" s="253">
        <v>6192.05</v>
      </c>
      <c r="H60" s="253">
        <v>0</v>
      </c>
      <c r="I60" s="253">
        <v>0</v>
      </c>
      <c r="J60" s="253">
        <v>6192.05</v>
      </c>
      <c r="L60" s="254">
        <f t="shared" si="0"/>
        <v>6192.05</v>
      </c>
      <c r="M60" s="254">
        <f t="shared" si="1"/>
        <v>0</v>
      </c>
    </row>
    <row r="61" spans="1:13" x14ac:dyDescent="0.2">
      <c r="A61" s="249" t="e">
        <f>VLOOKUP(C61,#REF!,2,FALSE)</f>
        <v>#REF!</v>
      </c>
      <c r="B61" s="249" t="e">
        <f>VLOOKUP(C61,#REF!,3,FALSE)</f>
        <v>#REF!</v>
      </c>
      <c r="C61" s="249" t="s">
        <v>606</v>
      </c>
      <c r="D61" s="249">
        <v>5127</v>
      </c>
      <c r="E61" s="249" t="s">
        <v>607</v>
      </c>
      <c r="F61" s="253">
        <v>0</v>
      </c>
      <c r="G61" s="253">
        <v>41248</v>
      </c>
      <c r="H61" s="253">
        <v>0</v>
      </c>
      <c r="I61" s="253">
        <v>0</v>
      </c>
      <c r="J61" s="253">
        <v>41248</v>
      </c>
      <c r="L61" s="254">
        <f t="shared" si="0"/>
        <v>41248</v>
      </c>
      <c r="M61" s="254">
        <f t="shared" si="1"/>
        <v>0</v>
      </c>
    </row>
    <row r="62" spans="1:13" x14ac:dyDescent="0.2">
      <c r="A62" s="249" t="e">
        <f>VLOOKUP(C62,#REF!,2,FALSE)</f>
        <v>#REF!</v>
      </c>
      <c r="B62" s="249" t="e">
        <f>VLOOKUP(C62,#REF!,3,FALSE)</f>
        <v>#REF!</v>
      </c>
      <c r="C62" s="249" t="s">
        <v>608</v>
      </c>
      <c r="D62" s="249">
        <v>5210</v>
      </c>
      <c r="E62" s="249" t="s">
        <v>609</v>
      </c>
      <c r="F62" s="253">
        <v>0</v>
      </c>
      <c r="G62" s="253">
        <v>79260</v>
      </c>
      <c r="H62" s="253">
        <v>0</v>
      </c>
      <c r="I62" s="253">
        <v>0</v>
      </c>
      <c r="J62" s="253">
        <v>79260</v>
      </c>
      <c r="L62" s="254">
        <f t="shared" si="0"/>
        <v>79260</v>
      </c>
      <c r="M62" s="254">
        <f t="shared" si="1"/>
        <v>0</v>
      </c>
    </row>
    <row r="63" spans="1:13" x14ac:dyDescent="0.2">
      <c r="A63" s="249" t="e">
        <f>VLOOKUP(C63,#REF!,2,FALSE)</f>
        <v>#REF!</v>
      </c>
      <c r="B63" s="249" t="e">
        <f>VLOOKUP(C63,#REF!,3,FALSE)</f>
        <v>#REF!</v>
      </c>
      <c r="C63" s="249" t="s">
        <v>665</v>
      </c>
      <c r="D63" s="249">
        <v>5211</v>
      </c>
      <c r="E63" s="249" t="s">
        <v>666</v>
      </c>
      <c r="F63" s="253">
        <v>0</v>
      </c>
      <c r="G63" s="253">
        <v>98986.75</v>
      </c>
      <c r="H63" s="253">
        <v>0</v>
      </c>
      <c r="I63" s="253">
        <v>0</v>
      </c>
      <c r="J63" s="253">
        <v>98986.75</v>
      </c>
      <c r="L63" s="254">
        <f t="shared" si="0"/>
        <v>98986.75</v>
      </c>
      <c r="M63" s="254">
        <f t="shared" si="1"/>
        <v>0</v>
      </c>
    </row>
    <row r="64" spans="1:13" x14ac:dyDescent="0.2">
      <c r="A64" s="249" t="e">
        <f>VLOOKUP(C64,#REF!,2,FALSE)</f>
        <v>#REF!</v>
      </c>
      <c r="B64" s="249" t="e">
        <f>VLOOKUP(C64,#REF!,3,FALSE)</f>
        <v>#REF!</v>
      </c>
      <c r="C64" s="249" t="s">
        <v>610</v>
      </c>
      <c r="D64" s="249">
        <v>5214</v>
      </c>
      <c r="E64" s="249" t="s">
        <v>611</v>
      </c>
      <c r="F64" s="253">
        <v>0</v>
      </c>
      <c r="G64" s="253">
        <v>34133.660000000003</v>
      </c>
      <c r="H64" s="253">
        <v>0</v>
      </c>
      <c r="I64" s="253">
        <v>0</v>
      </c>
      <c r="J64" s="253">
        <v>34133.660000000003</v>
      </c>
      <c r="L64" s="254">
        <f t="shared" si="0"/>
        <v>34133.660000000003</v>
      </c>
      <c r="M64" s="254">
        <f t="shared" si="1"/>
        <v>0</v>
      </c>
    </row>
    <row r="65" spans="1:13" x14ac:dyDescent="0.2">
      <c r="A65" s="249" t="e">
        <f>VLOOKUP(C65,#REF!,2,FALSE)</f>
        <v>#REF!</v>
      </c>
      <c r="B65" s="249" t="e">
        <f>VLOOKUP(C65,#REF!,3,FALSE)</f>
        <v>#REF!</v>
      </c>
      <c r="C65" s="249" t="s">
        <v>612</v>
      </c>
      <c r="D65" s="249">
        <v>5220</v>
      </c>
      <c r="E65" s="249" t="s">
        <v>613</v>
      </c>
      <c r="F65" s="253">
        <v>0</v>
      </c>
      <c r="G65" s="253">
        <v>12501.45</v>
      </c>
      <c r="H65" s="253">
        <v>0</v>
      </c>
      <c r="I65" s="253">
        <v>0</v>
      </c>
      <c r="J65" s="253">
        <v>12501.45</v>
      </c>
      <c r="L65" s="254">
        <f t="shared" si="0"/>
        <v>12501.45</v>
      </c>
      <c r="M65" s="254">
        <f t="shared" si="1"/>
        <v>0</v>
      </c>
    </row>
    <row r="66" spans="1:13" x14ac:dyDescent="0.2">
      <c r="A66" s="249" t="e">
        <f>VLOOKUP(C66,#REF!,2,FALSE)</f>
        <v>#REF!</v>
      </c>
      <c r="B66" s="249" t="s">
        <v>630</v>
      </c>
      <c r="C66" s="249" t="s">
        <v>667</v>
      </c>
      <c r="D66" s="249">
        <v>6001</v>
      </c>
      <c r="E66" s="249" t="s">
        <v>668</v>
      </c>
      <c r="F66" s="253">
        <v>0</v>
      </c>
      <c r="G66" s="253">
        <v>2160.36</v>
      </c>
      <c r="H66" s="253">
        <v>0</v>
      </c>
      <c r="I66" s="253">
        <v>0</v>
      </c>
      <c r="J66" s="253">
        <v>2160.36</v>
      </c>
      <c r="L66" s="254">
        <f t="shared" si="0"/>
        <v>2160.36</v>
      </c>
      <c r="M66" s="254">
        <f t="shared" si="1"/>
        <v>0</v>
      </c>
    </row>
    <row r="67" spans="1:13" x14ac:dyDescent="0.2">
      <c r="A67" s="249" t="e">
        <f>VLOOKUP(C67,#REF!,2,FALSE)</f>
        <v>#REF!</v>
      </c>
      <c r="B67" s="249" t="e">
        <f>VLOOKUP(C67,#REF!,3,FALSE)</f>
        <v>#REF!</v>
      </c>
      <c r="C67" s="249" t="s">
        <v>614</v>
      </c>
      <c r="D67" s="249">
        <v>6100</v>
      </c>
      <c r="E67" s="249" t="s">
        <v>615</v>
      </c>
      <c r="F67" s="253">
        <v>0</v>
      </c>
      <c r="G67" s="253">
        <v>7299032.6200000001</v>
      </c>
      <c r="H67" s="253">
        <v>0</v>
      </c>
      <c r="I67" s="253">
        <v>0</v>
      </c>
      <c r="J67" s="253">
        <v>7299032.6200000001</v>
      </c>
      <c r="L67" s="254">
        <f t="shared" si="0"/>
        <v>7299032.6200000001</v>
      </c>
      <c r="M67" s="254">
        <f t="shared" si="1"/>
        <v>0</v>
      </c>
    </row>
    <row r="68" spans="1:13" x14ac:dyDescent="0.2">
      <c r="A68" s="249" t="e">
        <f>VLOOKUP(C68,#REF!,2,FALSE)</f>
        <v>#REF!</v>
      </c>
      <c r="B68" s="249" t="e">
        <f>VLOOKUP(C68,#REF!,3,FALSE)</f>
        <v>#REF!</v>
      </c>
      <c r="C68" s="249" t="s">
        <v>669</v>
      </c>
      <c r="D68" s="249">
        <v>6101</v>
      </c>
      <c r="E68" s="249" t="s">
        <v>670</v>
      </c>
      <c r="F68" s="253">
        <v>0</v>
      </c>
      <c r="G68" s="253">
        <v>977</v>
      </c>
      <c r="H68" s="253">
        <v>0</v>
      </c>
      <c r="I68" s="253">
        <v>0</v>
      </c>
      <c r="J68" s="253">
        <v>977</v>
      </c>
      <c r="L68" s="254">
        <f t="shared" si="0"/>
        <v>977</v>
      </c>
      <c r="M68" s="254">
        <f t="shared" si="1"/>
        <v>0</v>
      </c>
    </row>
    <row r="69" spans="1:13" x14ac:dyDescent="0.2">
      <c r="A69" s="249" t="e">
        <f>VLOOKUP(C69,#REF!,2,FALSE)</f>
        <v>#REF!</v>
      </c>
      <c r="B69" s="249" t="e">
        <f>VLOOKUP(C69,#REF!,3,FALSE)</f>
        <v>#REF!</v>
      </c>
      <c r="C69" s="249" t="s">
        <v>616</v>
      </c>
      <c r="D69" s="249">
        <v>6130</v>
      </c>
      <c r="E69" s="249" t="s">
        <v>617</v>
      </c>
      <c r="F69" s="253">
        <v>0</v>
      </c>
      <c r="G69" s="253">
        <v>445174.65</v>
      </c>
      <c r="H69" s="253">
        <v>0</v>
      </c>
      <c r="I69" s="253">
        <v>0</v>
      </c>
      <c r="J69" s="253">
        <v>445174.65</v>
      </c>
      <c r="L69" s="254">
        <f t="shared" si="0"/>
        <v>445174.65</v>
      </c>
      <c r="M69" s="254">
        <f t="shared" si="1"/>
        <v>0</v>
      </c>
    </row>
    <row r="70" spans="1:13" x14ac:dyDescent="0.2">
      <c r="A70" s="249" t="e">
        <f>VLOOKUP(C70,#REF!,2,FALSE)</f>
        <v>#REF!</v>
      </c>
      <c r="B70" s="249" t="e">
        <f>VLOOKUP(C70,#REF!,3,FALSE)</f>
        <v>#REF!</v>
      </c>
      <c r="C70" s="249" t="s">
        <v>618</v>
      </c>
      <c r="D70" s="249">
        <v>6131</v>
      </c>
      <c r="E70" s="249" t="s">
        <v>619</v>
      </c>
      <c r="F70" s="253">
        <v>0</v>
      </c>
      <c r="G70" s="253">
        <v>-1456.29</v>
      </c>
      <c r="H70" s="253">
        <v>0</v>
      </c>
      <c r="I70" s="253">
        <v>0</v>
      </c>
      <c r="J70" s="253">
        <v>-1456.29</v>
      </c>
      <c r="L70" s="254">
        <f t="shared" si="0"/>
        <v>-1456.29</v>
      </c>
      <c r="M70" s="254">
        <f t="shared" si="1"/>
        <v>0</v>
      </c>
    </row>
    <row r="71" spans="1:13" x14ac:dyDescent="0.2">
      <c r="C71" s="249" t="s">
        <v>71</v>
      </c>
      <c r="D71" s="249"/>
      <c r="E71" s="249"/>
      <c r="F71" s="253">
        <v>0</v>
      </c>
      <c r="G71" s="253">
        <v>0</v>
      </c>
      <c r="H71" s="253">
        <v>0</v>
      </c>
      <c r="I71" s="253">
        <v>0</v>
      </c>
      <c r="J71" s="253">
        <v>0</v>
      </c>
      <c r="L71" s="254">
        <f>SUM(L27:L70)</f>
        <v>-1.2432792573235929E-9</v>
      </c>
      <c r="M71" s="254">
        <f>SUM(M27:M70)</f>
        <v>-8.149072527885437E-10</v>
      </c>
    </row>
    <row r="73" spans="1:13" x14ac:dyDescent="0.2">
      <c r="E73" s="255" t="s">
        <v>620</v>
      </c>
      <c r="F73" s="256">
        <f t="shared" ref="F73:M76" si="2">SUMIF($B$12:$B$65,$E73,F$12:F$65)</f>
        <v>0</v>
      </c>
      <c r="G73" s="256">
        <f>SUMIF($B$12:$B$70,$E73,G$12:G$70)</f>
        <v>0</v>
      </c>
      <c r="H73" s="256">
        <f t="shared" si="2"/>
        <v>0</v>
      </c>
      <c r="I73" s="256">
        <f t="shared" si="2"/>
        <v>0</v>
      </c>
      <c r="J73" s="256">
        <f>SUMIF($B$12:$B$70,$E73,J$12:J$70)</f>
        <v>0</v>
      </c>
      <c r="K73" s="256"/>
      <c r="L73" s="256">
        <f>SUMIF($B$12:$B$70,$E73,L$12:L$70)</f>
        <v>0</v>
      </c>
      <c r="M73" s="256">
        <f t="shared" si="2"/>
        <v>0</v>
      </c>
    </row>
    <row r="74" spans="1:13" x14ac:dyDescent="0.2">
      <c r="E74" s="255" t="s">
        <v>621</v>
      </c>
      <c r="F74" s="256">
        <f t="shared" si="2"/>
        <v>0</v>
      </c>
      <c r="G74" s="256">
        <f>SUMIF($B$12:$B$70,$E74,G$12:G$70)</f>
        <v>0</v>
      </c>
      <c r="H74" s="256">
        <f t="shared" si="2"/>
        <v>0</v>
      </c>
      <c r="I74" s="256">
        <f t="shared" si="2"/>
        <v>0</v>
      </c>
      <c r="J74" s="256">
        <f>SUMIF($B$12:$B$70,$E74,J$12:J$70)</f>
        <v>0</v>
      </c>
      <c r="K74" s="256"/>
      <c r="L74" s="256">
        <f>SUMIF($B$12:$B$70,$E74,L$12:L$70)</f>
        <v>0</v>
      </c>
      <c r="M74" s="256">
        <f t="shared" si="2"/>
        <v>0</v>
      </c>
    </row>
    <row r="75" spans="1:13" x14ac:dyDescent="0.2">
      <c r="E75" s="255" t="s">
        <v>622</v>
      </c>
      <c r="F75" s="256">
        <f t="shared" si="2"/>
        <v>0</v>
      </c>
      <c r="G75" s="256">
        <f>SUMIF($B$12:$B$70,$E75,G$12:G$70)</f>
        <v>0</v>
      </c>
      <c r="H75" s="256">
        <f t="shared" si="2"/>
        <v>0</v>
      </c>
      <c r="I75" s="256">
        <f t="shared" si="2"/>
        <v>0</v>
      </c>
      <c r="J75" s="256">
        <f>SUMIF($B$12:$B$70,$E75,J$12:J$70)</f>
        <v>0</v>
      </c>
      <c r="K75" s="256"/>
      <c r="L75" s="256">
        <f>SUMIF($B$12:$B$70,$E75,L$12:L$70)</f>
        <v>0</v>
      </c>
      <c r="M75" s="256">
        <f t="shared" si="2"/>
        <v>0</v>
      </c>
    </row>
    <row r="76" spans="1:13" x14ac:dyDescent="0.2">
      <c r="E76" s="255" t="s">
        <v>623</v>
      </c>
      <c r="F76" s="256">
        <f t="shared" si="2"/>
        <v>0</v>
      </c>
      <c r="G76" s="256">
        <f>SUMIF($B$12:$B$70,$E76,G$12:G$70)</f>
        <v>0</v>
      </c>
      <c r="H76" s="256">
        <f t="shared" si="2"/>
        <v>0</v>
      </c>
      <c r="I76" s="256">
        <f t="shared" si="2"/>
        <v>0</v>
      </c>
      <c r="J76" s="256">
        <f>SUMIF($B$12:$B$70,$E76,J$12:J$70)</f>
        <v>0</v>
      </c>
      <c r="K76" s="256"/>
      <c r="L76" s="256">
        <f>SUMIF($B$12:$B$70,$E76,L$12:L$70)</f>
        <v>0</v>
      </c>
      <c r="M76" s="256">
        <f t="shared" si="2"/>
        <v>0</v>
      </c>
    </row>
    <row r="77" spans="1:13" x14ac:dyDescent="0.2">
      <c r="E77" s="257" t="s">
        <v>624</v>
      </c>
      <c r="F77" s="258">
        <f t="shared" ref="F77:M77" si="3">SUM(F73:F76)</f>
        <v>0</v>
      </c>
      <c r="G77" s="258">
        <f t="shared" si="3"/>
        <v>0</v>
      </c>
      <c r="H77" s="258">
        <f t="shared" si="3"/>
        <v>0</v>
      </c>
      <c r="I77" s="258">
        <f t="shared" si="3"/>
        <v>0</v>
      </c>
      <c r="J77" s="258">
        <f>SUM(J73:J76)</f>
        <v>0</v>
      </c>
      <c r="K77" s="258"/>
      <c r="L77" s="258">
        <f>SUM(L73:L76)</f>
        <v>0</v>
      </c>
      <c r="M77" s="258">
        <f t="shared" si="3"/>
        <v>0</v>
      </c>
    </row>
    <row r="78" spans="1:13" x14ac:dyDescent="0.2">
      <c r="E78" s="255" t="s">
        <v>625</v>
      </c>
      <c r="F78" s="256">
        <f t="shared" ref="F78:M78" si="4">F93</f>
        <v>0</v>
      </c>
      <c r="G78" s="256">
        <f t="shared" si="4"/>
        <v>2160.36</v>
      </c>
      <c r="H78" s="256">
        <f t="shared" si="4"/>
        <v>0</v>
      </c>
      <c r="I78" s="256">
        <f t="shared" si="4"/>
        <v>0</v>
      </c>
      <c r="J78" s="256">
        <f>J93</f>
        <v>2160.36</v>
      </c>
      <c r="K78" s="256"/>
      <c r="L78" s="256">
        <f>L93</f>
        <v>2160.36</v>
      </c>
      <c r="M78" s="256">
        <f t="shared" si="4"/>
        <v>0</v>
      </c>
    </row>
    <row r="79" spans="1:13" ht="12.75" thickBot="1" x14ac:dyDescent="0.25">
      <c r="E79" s="259" t="s">
        <v>71</v>
      </c>
      <c r="F79" s="260">
        <f t="shared" ref="F79:M79" si="5">SUM(F77:F78)</f>
        <v>0</v>
      </c>
      <c r="G79" s="260">
        <f t="shared" si="5"/>
        <v>2160.36</v>
      </c>
      <c r="H79" s="260">
        <f t="shared" si="5"/>
        <v>0</v>
      </c>
      <c r="I79" s="260">
        <f t="shared" si="5"/>
        <v>0</v>
      </c>
      <c r="J79" s="260">
        <f>SUM(J77:J78)</f>
        <v>2160.36</v>
      </c>
      <c r="K79" s="260"/>
      <c r="L79" s="260">
        <f>SUM(L77:L78)</f>
        <v>2160.36</v>
      </c>
      <c r="M79" s="260">
        <f t="shared" si="5"/>
        <v>0</v>
      </c>
    </row>
    <row r="80" spans="1:13" ht="12.75" thickTop="1" x14ac:dyDescent="0.2">
      <c r="E80" s="255"/>
      <c r="F80" s="256"/>
      <c r="G80" s="256"/>
      <c r="H80" s="256"/>
      <c r="I80" s="256"/>
      <c r="J80" s="256"/>
      <c r="K80" s="256"/>
      <c r="L80" s="256"/>
      <c r="M80" s="256"/>
    </row>
    <row r="81" spans="5:13" x14ac:dyDescent="0.2">
      <c r="E81" s="255" t="s">
        <v>626</v>
      </c>
      <c r="F81" s="256">
        <f t="shared" ref="F81:M81" si="6">SUMIF($B$12:$B$66,$E81,F$12:F$66)</f>
        <v>0</v>
      </c>
      <c r="G81" s="256">
        <f>SUMIF($B$12:$B$70,$E81,G$12:G$70)</f>
        <v>0</v>
      </c>
      <c r="H81" s="256">
        <f t="shared" si="6"/>
        <v>0</v>
      </c>
      <c r="I81" s="256">
        <f t="shared" si="6"/>
        <v>0</v>
      </c>
      <c r="J81" s="256">
        <f>SUMIF($B$12:$B$70,$E81,J$12:J$70)</f>
        <v>0</v>
      </c>
      <c r="K81" s="256"/>
      <c r="L81" s="256">
        <f>SUMIF($B$12:$B$70,$E81,L$12:L$70)</f>
        <v>0</v>
      </c>
      <c r="M81" s="256">
        <f t="shared" si="6"/>
        <v>0</v>
      </c>
    </row>
    <row r="82" spans="5:13" x14ac:dyDescent="0.2">
      <c r="E82" s="261" t="s">
        <v>524</v>
      </c>
      <c r="F82" s="262">
        <f t="shared" ref="F82:M82" si="7">F79+F81</f>
        <v>0</v>
      </c>
      <c r="G82" s="262">
        <f t="shared" si="7"/>
        <v>2160.36</v>
      </c>
      <c r="H82" s="262">
        <f t="shared" si="7"/>
        <v>0</v>
      </c>
      <c r="I82" s="262">
        <f t="shared" si="7"/>
        <v>0</v>
      </c>
      <c r="J82" s="262">
        <f t="shared" si="7"/>
        <v>2160.36</v>
      </c>
      <c r="K82" s="262"/>
      <c r="L82" s="262">
        <f t="shared" si="7"/>
        <v>2160.36</v>
      </c>
      <c r="M82" s="262">
        <f t="shared" si="7"/>
        <v>0</v>
      </c>
    </row>
    <row r="83" spans="5:13" x14ac:dyDescent="0.2">
      <c r="E83" s="255"/>
      <c r="F83" s="255"/>
      <c r="G83" s="255"/>
      <c r="H83" s="255"/>
      <c r="I83" s="255"/>
      <c r="J83" s="255"/>
      <c r="K83" s="255"/>
      <c r="L83" s="255"/>
      <c r="M83" s="255"/>
    </row>
    <row r="84" spans="5:13" x14ac:dyDescent="0.2">
      <c r="E84" s="255"/>
      <c r="F84" s="255"/>
      <c r="G84" s="255"/>
      <c r="H84" s="255"/>
      <c r="I84" s="255"/>
      <c r="J84" s="255"/>
      <c r="K84" s="255"/>
      <c r="L84" s="255"/>
      <c r="M84" s="255"/>
    </row>
    <row r="85" spans="5:13" x14ac:dyDescent="0.2">
      <c r="E85" s="255"/>
      <c r="F85" s="255"/>
      <c r="G85" s="255"/>
      <c r="H85" s="255"/>
      <c r="I85" s="255"/>
      <c r="J85" s="255"/>
      <c r="K85" s="255"/>
      <c r="L85" s="255"/>
      <c r="M85" s="255"/>
    </row>
    <row r="86" spans="5:13" x14ac:dyDescent="0.2">
      <c r="E86" s="255" t="s">
        <v>136</v>
      </c>
      <c r="F86" s="256">
        <f t="shared" ref="F86:I88" si="8">SUMIF($B$12:$B$65,$E86,F$12:F$65)</f>
        <v>0</v>
      </c>
      <c r="G86" s="256">
        <f t="shared" ref="G86:G92" si="9">SUMIF($B$12:$B$70,$E86,G$12:G$70)</f>
        <v>0</v>
      </c>
      <c r="H86" s="256">
        <f t="shared" si="8"/>
        <v>0</v>
      </c>
      <c r="I86" s="256">
        <f t="shared" si="8"/>
        <v>0</v>
      </c>
      <c r="J86" s="256">
        <f t="shared" ref="J86:J92" si="10">SUMIF($B$12:$B$70,$E86,J$12:J$70)</f>
        <v>0</v>
      </c>
      <c r="K86" s="256"/>
      <c r="L86" s="256">
        <f t="shared" ref="L86:M92" si="11">SUMIF($B$12:$B$70,$E86,L$12:L$70)</f>
        <v>0</v>
      </c>
      <c r="M86" s="256">
        <f t="shared" si="11"/>
        <v>0</v>
      </c>
    </row>
    <row r="87" spans="5:13" x14ac:dyDescent="0.2">
      <c r="E87" s="255" t="s">
        <v>627</v>
      </c>
      <c r="F87" s="256">
        <f t="shared" si="8"/>
        <v>0</v>
      </c>
      <c r="G87" s="256">
        <f t="shared" si="9"/>
        <v>0</v>
      </c>
      <c r="H87" s="256">
        <f t="shared" si="8"/>
        <v>0</v>
      </c>
      <c r="I87" s="256">
        <f t="shared" si="8"/>
        <v>0</v>
      </c>
      <c r="J87" s="256">
        <f t="shared" si="10"/>
        <v>0</v>
      </c>
      <c r="K87" s="256"/>
      <c r="L87" s="256">
        <f t="shared" si="11"/>
        <v>0</v>
      </c>
      <c r="M87" s="256">
        <f t="shared" si="11"/>
        <v>0</v>
      </c>
    </row>
    <row r="88" spans="5:13" x14ac:dyDescent="0.2">
      <c r="E88" s="255" t="s">
        <v>628</v>
      </c>
      <c r="F88" s="256">
        <f t="shared" si="8"/>
        <v>0</v>
      </c>
      <c r="G88" s="256">
        <f t="shared" si="9"/>
        <v>0</v>
      </c>
      <c r="H88" s="256">
        <f t="shared" si="8"/>
        <v>0</v>
      </c>
      <c r="I88" s="256">
        <f t="shared" si="8"/>
        <v>0</v>
      </c>
      <c r="J88" s="256">
        <f t="shared" si="10"/>
        <v>0</v>
      </c>
      <c r="K88" s="256"/>
      <c r="L88" s="256">
        <f t="shared" si="11"/>
        <v>0</v>
      </c>
      <c r="M88" s="256">
        <f t="shared" si="11"/>
        <v>0</v>
      </c>
    </row>
    <row r="89" spans="5:13" x14ac:dyDescent="0.2">
      <c r="E89" s="263" t="s">
        <v>629</v>
      </c>
      <c r="F89" s="264">
        <f>SUM(F86:F88)</f>
        <v>0</v>
      </c>
      <c r="G89" s="264">
        <f>SUM(G86:G88)</f>
        <v>0</v>
      </c>
      <c r="H89" s="264">
        <f>SUM(H86:H88)</f>
        <v>0</v>
      </c>
      <c r="I89" s="264">
        <f>SUM(I86:I88)</f>
        <v>0</v>
      </c>
      <c r="J89" s="264">
        <f>SUM(J86:J88)</f>
        <v>0</v>
      </c>
      <c r="K89" s="264"/>
      <c r="L89" s="264">
        <f>SUM(L86:L88)</f>
        <v>0</v>
      </c>
      <c r="M89" s="264">
        <f>SUM(M86:M88)</f>
        <v>0</v>
      </c>
    </row>
    <row r="90" spans="5:13" x14ac:dyDescent="0.2">
      <c r="E90" s="255" t="s">
        <v>630</v>
      </c>
      <c r="F90" s="256">
        <f>SUMIF($B$12:$B$65,$E90,F$12:F$65)</f>
        <v>0</v>
      </c>
      <c r="G90" s="256">
        <f t="shared" si="9"/>
        <v>2160.36</v>
      </c>
      <c r="H90" s="256">
        <f>SUMIF($B$12:$B$65,$E90,H$12:H$65)</f>
        <v>0</v>
      </c>
      <c r="I90" s="256">
        <f>SUMIF($B$12:$B$65,$E90,I$12:I$65)</f>
        <v>0</v>
      </c>
      <c r="J90" s="256">
        <f t="shared" si="10"/>
        <v>2160.36</v>
      </c>
      <c r="K90" s="256"/>
      <c r="L90" s="256">
        <f t="shared" si="11"/>
        <v>2160.36</v>
      </c>
      <c r="M90" s="256">
        <f t="shared" si="11"/>
        <v>0</v>
      </c>
    </row>
    <row r="91" spans="5:13" x14ac:dyDescent="0.2">
      <c r="E91" s="263" t="s">
        <v>631</v>
      </c>
      <c r="F91" s="264">
        <f>SUM(F89:F90)</f>
        <v>0</v>
      </c>
      <c r="G91" s="264">
        <f>SUM(G89:G90)</f>
        <v>2160.36</v>
      </c>
      <c r="H91" s="264">
        <f>SUM(H89:H90)</f>
        <v>0</v>
      </c>
      <c r="I91" s="264">
        <f>SUM(I89:I90)</f>
        <v>0</v>
      </c>
      <c r="J91" s="264">
        <f>SUM(J89:J90)</f>
        <v>2160.36</v>
      </c>
      <c r="K91" s="264"/>
      <c r="L91" s="264">
        <f>SUM(L89:L90)</f>
        <v>2160.36</v>
      </c>
      <c r="M91" s="264">
        <f>SUM(M89:M90)</f>
        <v>0</v>
      </c>
    </row>
    <row r="92" spans="5:13" x14ac:dyDescent="0.2">
      <c r="E92" s="255" t="s">
        <v>632</v>
      </c>
      <c r="F92" s="256">
        <f>SUMIF($B$12:$B$65,$E92,F$12:F$65)</f>
        <v>0</v>
      </c>
      <c r="G92" s="256">
        <f t="shared" si="9"/>
        <v>0</v>
      </c>
      <c r="H92" s="256">
        <f>SUMIF($B$12:$B$65,$E92,H$12:H$65)</f>
        <v>0</v>
      </c>
      <c r="I92" s="256">
        <f>SUMIF($B$12:$B$65,$E92,I$12:I$65)</f>
        <v>0</v>
      </c>
      <c r="J92" s="256">
        <f t="shared" si="10"/>
        <v>0</v>
      </c>
      <c r="K92" s="256"/>
      <c r="L92" s="256">
        <f t="shared" si="11"/>
        <v>0</v>
      </c>
      <c r="M92" s="256">
        <f t="shared" si="11"/>
        <v>0</v>
      </c>
    </row>
    <row r="93" spans="5:13" ht="12.75" thickBot="1" x14ac:dyDescent="0.25">
      <c r="E93" s="259" t="s">
        <v>633</v>
      </c>
      <c r="F93" s="260">
        <f>SUM(F91:F92)</f>
        <v>0</v>
      </c>
      <c r="G93" s="260">
        <f>SUM(G91:G92)</f>
        <v>2160.36</v>
      </c>
      <c r="H93" s="260">
        <f>SUM(H91:H92)</f>
        <v>0</v>
      </c>
      <c r="I93" s="260">
        <f>SUM(I91:I92)</f>
        <v>0</v>
      </c>
      <c r="J93" s="260">
        <f>SUM(J91:J92)</f>
        <v>2160.36</v>
      </c>
      <c r="K93" s="260"/>
      <c r="L93" s="260">
        <f>SUM(L91:L92)</f>
        <v>2160.36</v>
      </c>
      <c r="M93" s="260">
        <f>SUM(M91:M92)</f>
        <v>0</v>
      </c>
    </row>
    <row r="94" spans="5:13" ht="12.75" thickTop="1" x14ac:dyDescent="0.2">
      <c r="E94" s="261" t="s">
        <v>523</v>
      </c>
      <c r="F94" s="262">
        <f>SUM(F49:F70)-F93</f>
        <v>0</v>
      </c>
      <c r="G94" s="262">
        <f>SUM(G50:G70)-G93</f>
        <v>-1042357.54</v>
      </c>
      <c r="H94" s="262">
        <f t="shared" ref="H94:M94" si="12">SUM(H50:H70)-H93</f>
        <v>0</v>
      </c>
      <c r="I94" s="262">
        <f t="shared" si="12"/>
        <v>0</v>
      </c>
      <c r="J94" s="262">
        <f t="shared" si="12"/>
        <v>-1042357.54</v>
      </c>
      <c r="K94" s="262">
        <f t="shared" si="12"/>
        <v>0</v>
      </c>
      <c r="L94" s="262">
        <f t="shared" si="12"/>
        <v>-1042357.54</v>
      </c>
      <c r="M94" s="262">
        <f t="shared" si="12"/>
        <v>0</v>
      </c>
    </row>
  </sheetData>
  <pageMargins left="0.7" right="0.7" top="0.75" bottom="0.75" header="0.3" footer="0.3"/>
  <headerFooter>
    <oddFooter>&amp;C_x000D_&amp;1#&amp;"Aptos"&amp;10&amp;K008000 APA-INTERNAL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B2497-92FD-4A52-88C0-2198A93B0746}">
  <sheetPr codeName="Sheet6">
    <pageSetUpPr fitToPage="1"/>
  </sheetPr>
  <dimension ref="A1:H17"/>
  <sheetViews>
    <sheetView workbookViewId="0"/>
  </sheetViews>
  <sheetFormatPr defaultColWidth="9.42578125" defaultRowHeight="15" customHeight="1" x14ac:dyDescent="0.2"/>
  <cols>
    <col min="1" max="6" width="9.42578125" style="125"/>
    <col min="7" max="7" width="28" style="125" bestFit="1" customWidth="1"/>
    <col min="8" max="8" width="18.42578125" style="125" bestFit="1" customWidth="1"/>
    <col min="9" max="16384" width="9.42578125" style="125"/>
  </cols>
  <sheetData>
    <row r="1" spans="1:8" ht="15" customHeight="1" x14ac:dyDescent="0.2">
      <c r="A1" s="125" t="s">
        <v>673</v>
      </c>
      <c r="G1" s="125" t="s">
        <v>674</v>
      </c>
      <c r="H1" s="125" t="s">
        <v>674</v>
      </c>
    </row>
    <row r="3" spans="1:8" ht="15" customHeight="1" x14ac:dyDescent="0.2">
      <c r="A3" s="126" t="s">
        <v>229</v>
      </c>
      <c r="G3" s="125" t="s">
        <v>675</v>
      </c>
      <c r="H3" s="125" t="s">
        <v>676</v>
      </c>
    </row>
    <row r="4" spans="1:8" ht="15" customHeight="1" x14ac:dyDescent="0.2">
      <c r="A4" s="126" t="s">
        <v>239</v>
      </c>
      <c r="G4" s="125" t="s">
        <v>273</v>
      </c>
      <c r="H4" s="125" t="s">
        <v>677</v>
      </c>
    </row>
    <row r="5" spans="1:8" ht="15" customHeight="1" x14ac:dyDescent="0.2">
      <c r="A5" s="126" t="s">
        <v>241</v>
      </c>
      <c r="G5" s="125" t="s">
        <v>678</v>
      </c>
      <c r="H5" s="125" t="s">
        <v>679</v>
      </c>
    </row>
    <row r="6" spans="1:8" ht="15" customHeight="1" x14ac:dyDescent="0.2">
      <c r="A6" s="126" t="s">
        <v>243</v>
      </c>
    </row>
    <row r="7" spans="1:8" ht="15" customHeight="1" x14ac:dyDescent="0.2">
      <c r="A7" s="126" t="s">
        <v>246</v>
      </c>
    </row>
    <row r="8" spans="1:8" ht="15" customHeight="1" x14ac:dyDescent="0.2">
      <c r="A8" s="126" t="s">
        <v>248</v>
      </c>
    </row>
    <row r="9" spans="1:8" ht="15" customHeight="1" x14ac:dyDescent="0.2">
      <c r="A9" s="126" t="s">
        <v>250</v>
      </c>
    </row>
    <row r="10" spans="1:8" ht="15" customHeight="1" x14ac:dyDescent="0.2">
      <c r="A10" s="126" t="s">
        <v>252</v>
      </c>
    </row>
    <row r="11" spans="1:8" ht="15" customHeight="1" x14ac:dyDescent="0.2">
      <c r="A11" s="126" t="s">
        <v>254</v>
      </c>
    </row>
    <row r="12" spans="1:8" ht="15" customHeight="1" x14ac:dyDescent="0.2">
      <c r="A12" s="125" t="s">
        <v>256</v>
      </c>
    </row>
    <row r="13" spans="1:8" ht="15" customHeight="1" x14ac:dyDescent="0.2">
      <c r="A13" s="125" t="s">
        <v>263</v>
      </c>
    </row>
    <row r="14" spans="1:8" ht="15" customHeight="1" x14ac:dyDescent="0.2">
      <c r="A14" s="125" t="s">
        <v>265</v>
      </c>
    </row>
    <row r="15" spans="1:8" ht="15" customHeight="1" x14ac:dyDescent="0.2">
      <c r="A15" s="125" t="s">
        <v>520</v>
      </c>
    </row>
    <row r="16" spans="1:8" ht="15" customHeight="1" x14ac:dyDescent="0.2">
      <c r="A16" s="125" t="s">
        <v>268</v>
      </c>
    </row>
    <row r="17" spans="1:1" ht="15" customHeight="1" x14ac:dyDescent="0.2">
      <c r="A17" s="125" t="s">
        <v>521</v>
      </c>
    </row>
  </sheetData>
  <pageMargins left="0.7" right="0.7" top="0.75" bottom="0.75" header="0.3" footer="0.3"/>
  <pageSetup paperSize="9" orientation="landscape" r:id="rId1"/>
  <headerFooter>
    <oddFooter>&amp;L&amp;8&amp;F&amp;D&amp;T&amp;C&amp;8&amp;A_x000D_&amp;1#&amp;"Aptos"&amp;10&amp;K008000 APA-INTERNAL&amp;R&amp;8Page &amp;P of &amp;N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77E4F-A5CC-4140-B252-2D38029D6B2F}">
  <sheetPr codeName="Sheet21"/>
  <dimension ref="A1:I123"/>
  <sheetViews>
    <sheetView workbookViewId="0"/>
  </sheetViews>
  <sheetFormatPr defaultRowHeight="12.75" x14ac:dyDescent="0.2"/>
  <cols>
    <col min="1" max="1" width="10.5703125" customWidth="1"/>
    <col min="2" max="2" width="20" style="5" customWidth="1"/>
    <col min="3" max="3" width="27.42578125" customWidth="1"/>
    <col min="4" max="4" width="16.5703125" style="5" bestFit="1" customWidth="1"/>
    <col min="5" max="5" width="19.5703125" customWidth="1"/>
    <col min="6" max="6" width="21.42578125" customWidth="1"/>
    <col min="7" max="7" width="59" customWidth="1"/>
    <col min="8" max="8" width="2.5703125" customWidth="1"/>
  </cols>
  <sheetData>
    <row r="1" spans="1:9" x14ac:dyDescent="0.2">
      <c r="A1" s="6" t="s">
        <v>0</v>
      </c>
      <c r="B1" s="7" t="s">
        <v>502</v>
      </c>
      <c r="C1" s="6" t="s">
        <v>503</v>
      </c>
      <c r="D1" s="7" t="s">
        <v>504</v>
      </c>
      <c r="E1" s="6" t="s">
        <v>505</v>
      </c>
      <c r="F1" s="6" t="s">
        <v>506</v>
      </c>
      <c r="G1" s="6" t="s">
        <v>507</v>
      </c>
    </row>
    <row r="2" spans="1:9" s="10" customFormat="1" ht="25.5" x14ac:dyDescent="0.2">
      <c r="A2" s="8">
        <v>43314</v>
      </c>
      <c r="B2" s="9">
        <v>1</v>
      </c>
      <c r="C2" s="10" t="s">
        <v>680</v>
      </c>
      <c r="D2" s="9"/>
      <c r="F2" s="11" t="s">
        <v>681</v>
      </c>
      <c r="G2" s="11" t="s">
        <v>682</v>
      </c>
    </row>
    <row r="3" spans="1:9" s="10" customFormat="1" ht="25.5" x14ac:dyDescent="0.2">
      <c r="A3" s="8">
        <v>43318</v>
      </c>
      <c r="B3" s="9">
        <v>2</v>
      </c>
      <c r="C3" s="10" t="s">
        <v>515</v>
      </c>
      <c r="D3" s="9">
        <v>2.1</v>
      </c>
      <c r="E3" s="10" t="s">
        <v>683</v>
      </c>
      <c r="F3" s="10" t="s">
        <v>684</v>
      </c>
      <c r="G3" s="11" t="s">
        <v>685</v>
      </c>
      <c r="I3" s="345"/>
    </row>
    <row r="4" spans="1:9" s="10" customFormat="1" ht="25.5" x14ac:dyDescent="0.2">
      <c r="A4" s="8">
        <v>43314</v>
      </c>
      <c r="B4" s="9">
        <v>3</v>
      </c>
      <c r="C4" s="10" t="s">
        <v>686</v>
      </c>
      <c r="D4" s="9">
        <v>3.1</v>
      </c>
      <c r="E4" s="10" t="s">
        <v>687</v>
      </c>
      <c r="F4" s="10" t="s">
        <v>688</v>
      </c>
      <c r="G4" s="11" t="s">
        <v>689</v>
      </c>
      <c r="I4" s="345"/>
    </row>
    <row r="5" spans="1:9" s="10" customFormat="1" ht="26.25" customHeight="1" x14ac:dyDescent="0.2">
      <c r="A5" s="8">
        <v>43314</v>
      </c>
      <c r="B5" s="9">
        <v>4</v>
      </c>
      <c r="C5" s="10" t="s">
        <v>690</v>
      </c>
      <c r="D5" s="9" t="s">
        <v>691</v>
      </c>
      <c r="E5" s="10" t="s">
        <v>692</v>
      </c>
      <c r="F5" s="10" t="s">
        <v>693</v>
      </c>
      <c r="G5" s="11" t="s">
        <v>694</v>
      </c>
      <c r="I5" s="345"/>
    </row>
    <row r="6" spans="1:9" s="10" customFormat="1" ht="38.25" x14ac:dyDescent="0.2">
      <c r="A6" s="8">
        <v>43318</v>
      </c>
      <c r="B6" s="9">
        <v>5</v>
      </c>
      <c r="C6" s="10" t="s">
        <v>690</v>
      </c>
      <c r="D6" s="9" t="s">
        <v>691</v>
      </c>
      <c r="E6" s="10" t="s">
        <v>695</v>
      </c>
      <c r="F6" s="10" t="s">
        <v>696</v>
      </c>
      <c r="G6" s="11" t="s">
        <v>697</v>
      </c>
      <c r="I6" s="345"/>
    </row>
    <row r="7" spans="1:9" s="10" customFormat="1" ht="89.25" x14ac:dyDescent="0.2">
      <c r="A7" s="8">
        <v>43318</v>
      </c>
      <c r="B7" s="9">
        <v>6</v>
      </c>
      <c r="C7" s="10" t="s">
        <v>690</v>
      </c>
      <c r="D7" s="346" t="s">
        <v>691</v>
      </c>
      <c r="E7" s="345" t="s">
        <v>698</v>
      </c>
      <c r="F7" s="345" t="s">
        <v>699</v>
      </c>
      <c r="G7" s="347" t="s">
        <v>700</v>
      </c>
      <c r="I7" s="345"/>
    </row>
    <row r="8" spans="1:9" x14ac:dyDescent="0.2">
      <c r="A8" s="8">
        <v>43318</v>
      </c>
      <c r="B8" s="9">
        <v>7</v>
      </c>
      <c r="C8" s="10" t="s">
        <v>690</v>
      </c>
      <c r="D8" s="346" t="s">
        <v>691</v>
      </c>
      <c r="E8" s="10" t="s">
        <v>701</v>
      </c>
      <c r="F8" s="10" t="s">
        <v>702</v>
      </c>
      <c r="G8" s="10" t="s">
        <v>703</v>
      </c>
      <c r="I8" s="345"/>
    </row>
    <row r="9" spans="1:9" x14ac:dyDescent="0.2">
      <c r="A9" s="8">
        <v>43991</v>
      </c>
      <c r="B9" s="9">
        <v>8</v>
      </c>
      <c r="C9" s="10" t="s">
        <v>686</v>
      </c>
      <c r="D9" s="9">
        <v>3.1</v>
      </c>
      <c r="E9" s="10" t="s">
        <v>704</v>
      </c>
      <c r="F9" s="10" t="s">
        <v>705</v>
      </c>
      <c r="G9" s="10" t="s">
        <v>706</v>
      </c>
      <c r="I9" s="345"/>
    </row>
    <row r="10" spans="1:9" x14ac:dyDescent="0.2">
      <c r="A10" s="8">
        <v>43991</v>
      </c>
      <c r="B10" s="9">
        <v>9</v>
      </c>
      <c r="C10" s="10" t="s">
        <v>686</v>
      </c>
      <c r="D10" s="9">
        <v>3.1</v>
      </c>
      <c r="E10" s="10" t="s">
        <v>707</v>
      </c>
      <c r="F10" s="10" t="s">
        <v>702</v>
      </c>
      <c r="G10" s="345" t="s">
        <v>708</v>
      </c>
      <c r="I10" s="345"/>
    </row>
    <row r="11" spans="1:9" ht="38.25" x14ac:dyDescent="0.2">
      <c r="A11" s="8">
        <v>43991</v>
      </c>
      <c r="B11" s="9">
        <v>10</v>
      </c>
      <c r="C11" s="10" t="s">
        <v>686</v>
      </c>
      <c r="D11" s="9">
        <v>3.1</v>
      </c>
      <c r="E11" s="11" t="s">
        <v>709</v>
      </c>
      <c r="F11" s="10" t="s">
        <v>710</v>
      </c>
      <c r="G11" s="11" t="s">
        <v>711</v>
      </c>
      <c r="I11" s="345"/>
    </row>
    <row r="12" spans="1:9" x14ac:dyDescent="0.2">
      <c r="A12" s="8">
        <v>43991</v>
      </c>
      <c r="B12" s="9">
        <v>11</v>
      </c>
      <c r="C12" s="10" t="s">
        <v>712</v>
      </c>
      <c r="D12" s="346" t="s">
        <v>713</v>
      </c>
      <c r="E12" s="345" t="s">
        <v>714</v>
      </c>
      <c r="F12" s="345" t="s">
        <v>705</v>
      </c>
      <c r="G12" s="345" t="s">
        <v>715</v>
      </c>
      <c r="I12" s="345"/>
    </row>
    <row r="13" spans="1:9" ht="38.25" x14ac:dyDescent="0.2">
      <c r="A13" s="8">
        <v>44028</v>
      </c>
      <c r="B13" s="9">
        <v>12</v>
      </c>
      <c r="C13" s="345" t="s">
        <v>1</v>
      </c>
      <c r="D13" s="9" t="s">
        <v>716</v>
      </c>
      <c r="E13" s="345" t="s">
        <v>717</v>
      </c>
      <c r="F13" s="347" t="s">
        <v>718</v>
      </c>
      <c r="G13" s="347" t="s">
        <v>719</v>
      </c>
      <c r="I13" s="345"/>
    </row>
    <row r="14" spans="1:9" ht="51" x14ac:dyDescent="0.2">
      <c r="A14" s="8">
        <v>43999</v>
      </c>
      <c r="B14" s="9">
        <v>13</v>
      </c>
      <c r="C14" s="345" t="s">
        <v>720</v>
      </c>
      <c r="D14" s="346" t="s">
        <v>721</v>
      </c>
      <c r="E14" s="345" t="s">
        <v>722</v>
      </c>
      <c r="F14" s="347" t="s">
        <v>723</v>
      </c>
      <c r="G14" s="347" t="s">
        <v>724</v>
      </c>
      <c r="I14" s="345"/>
    </row>
    <row r="15" spans="1:9" x14ac:dyDescent="0.2">
      <c r="A15" s="8">
        <v>43991</v>
      </c>
      <c r="B15" s="9">
        <v>14</v>
      </c>
      <c r="C15" s="10" t="s">
        <v>690</v>
      </c>
      <c r="D15" s="9"/>
      <c r="E15" s="10"/>
      <c r="F15" s="10"/>
      <c r="G15" s="10" t="s">
        <v>725</v>
      </c>
      <c r="I15" s="345"/>
    </row>
    <row r="16" spans="1:9" x14ac:dyDescent="0.2">
      <c r="A16" s="8">
        <v>44038</v>
      </c>
      <c r="B16" s="9">
        <v>15</v>
      </c>
      <c r="C16" s="10" t="s">
        <v>726</v>
      </c>
      <c r="D16" s="346" t="s">
        <v>727</v>
      </c>
      <c r="E16" s="345" t="s">
        <v>728</v>
      </c>
      <c r="F16" s="345" t="s">
        <v>729</v>
      </c>
      <c r="G16" s="347" t="s">
        <v>730</v>
      </c>
      <c r="I16" s="345"/>
    </row>
    <row r="17" spans="1:9" x14ac:dyDescent="0.2">
      <c r="A17" s="348">
        <v>44038</v>
      </c>
      <c r="B17" s="9">
        <v>16</v>
      </c>
      <c r="C17" s="10" t="s">
        <v>686</v>
      </c>
      <c r="D17" s="9">
        <v>3.1</v>
      </c>
      <c r="E17" s="345" t="s">
        <v>731</v>
      </c>
      <c r="F17" s="10" t="s">
        <v>705</v>
      </c>
      <c r="G17" s="345" t="s">
        <v>732</v>
      </c>
      <c r="I17" s="345"/>
    </row>
    <row r="18" spans="1:9" x14ac:dyDescent="0.2">
      <c r="A18" s="348">
        <v>44038</v>
      </c>
      <c r="B18" s="9">
        <v>17</v>
      </c>
      <c r="C18" s="10" t="s">
        <v>686</v>
      </c>
      <c r="D18" s="9">
        <v>3.1</v>
      </c>
      <c r="E18" s="345" t="s">
        <v>733</v>
      </c>
      <c r="F18" s="10" t="s">
        <v>702</v>
      </c>
      <c r="G18" s="345" t="s">
        <v>734</v>
      </c>
      <c r="I18" s="345"/>
    </row>
    <row r="19" spans="1:9" x14ac:dyDescent="0.2">
      <c r="A19" s="8">
        <v>44038</v>
      </c>
      <c r="B19" s="9">
        <v>18</v>
      </c>
      <c r="C19" s="10" t="s">
        <v>726</v>
      </c>
      <c r="D19" s="346" t="s">
        <v>691</v>
      </c>
      <c r="E19" s="345" t="s">
        <v>735</v>
      </c>
      <c r="F19" s="345" t="s">
        <v>736</v>
      </c>
      <c r="G19" s="347" t="s">
        <v>737</v>
      </c>
    </row>
    <row r="20" spans="1:9" x14ac:dyDescent="0.2">
      <c r="A20" s="8">
        <v>44038</v>
      </c>
      <c r="B20" s="9">
        <v>19</v>
      </c>
      <c r="C20" s="348" t="s">
        <v>726</v>
      </c>
      <c r="D20" s="346" t="s">
        <v>727</v>
      </c>
      <c r="E20" s="345" t="s">
        <v>738</v>
      </c>
      <c r="F20" s="345" t="s">
        <v>736</v>
      </c>
      <c r="G20" s="347" t="s">
        <v>739</v>
      </c>
    </row>
    <row r="21" spans="1:9" x14ac:dyDescent="0.2">
      <c r="A21" s="8">
        <v>44038</v>
      </c>
      <c r="B21" s="9">
        <v>20</v>
      </c>
      <c r="C21" s="345" t="s">
        <v>740</v>
      </c>
      <c r="D21" s="9">
        <v>4.0999999999999996</v>
      </c>
      <c r="E21" s="345" t="s">
        <v>741</v>
      </c>
      <c r="F21" s="345" t="s">
        <v>705</v>
      </c>
      <c r="G21" s="345" t="s">
        <v>742</v>
      </c>
      <c r="I21" s="345"/>
    </row>
    <row r="22" spans="1:9" x14ac:dyDescent="0.2">
      <c r="A22" s="8">
        <v>44038</v>
      </c>
      <c r="B22" s="9">
        <v>21</v>
      </c>
      <c r="C22" s="345" t="s">
        <v>740</v>
      </c>
      <c r="D22" s="9">
        <v>4.0999999999999996</v>
      </c>
      <c r="E22" s="345" t="s">
        <v>743</v>
      </c>
      <c r="F22" s="345" t="s">
        <v>744</v>
      </c>
      <c r="G22" s="345" t="s">
        <v>745</v>
      </c>
    </row>
    <row r="23" spans="1:9" ht="25.5" x14ac:dyDescent="0.2">
      <c r="A23" s="8">
        <v>44038</v>
      </c>
      <c r="B23" s="9">
        <v>22</v>
      </c>
      <c r="C23" s="345" t="s">
        <v>740</v>
      </c>
      <c r="D23" s="9">
        <v>4.0999999999999996</v>
      </c>
      <c r="E23" s="347" t="s">
        <v>746</v>
      </c>
      <c r="F23" s="345" t="s">
        <v>702</v>
      </c>
      <c r="G23" s="347" t="s">
        <v>747</v>
      </c>
    </row>
    <row r="24" spans="1:9" ht="25.5" x14ac:dyDescent="0.2">
      <c r="A24" s="8">
        <v>44038</v>
      </c>
      <c r="B24" s="9">
        <v>23</v>
      </c>
      <c r="C24" s="348" t="s">
        <v>726</v>
      </c>
      <c r="D24" s="346" t="s">
        <v>748</v>
      </c>
      <c r="E24" s="347" t="s">
        <v>749</v>
      </c>
      <c r="F24" s="10" t="s">
        <v>696</v>
      </c>
      <c r="G24" s="347" t="s">
        <v>750</v>
      </c>
    </row>
    <row r="25" spans="1:9" x14ac:dyDescent="0.2">
      <c r="A25" s="8">
        <v>44326</v>
      </c>
      <c r="B25" s="9">
        <v>24</v>
      </c>
      <c r="C25" s="348" t="s">
        <v>1</v>
      </c>
      <c r="D25" s="346"/>
      <c r="E25" s="347" t="s">
        <v>751</v>
      </c>
      <c r="F25" s="347" t="s">
        <v>752</v>
      </c>
      <c r="G25" s="11" t="s">
        <v>753</v>
      </c>
    </row>
    <row r="26" spans="1:9" x14ac:dyDescent="0.2">
      <c r="A26" s="8">
        <v>44326</v>
      </c>
      <c r="B26" s="9">
        <v>25</v>
      </c>
      <c r="C26" s="8" t="s">
        <v>754</v>
      </c>
      <c r="D26" s="9"/>
      <c r="E26" s="11" t="s">
        <v>755</v>
      </c>
      <c r="F26" s="10" t="s">
        <v>756</v>
      </c>
      <c r="G26" s="11" t="s">
        <v>757</v>
      </c>
    </row>
    <row r="27" spans="1:9" x14ac:dyDescent="0.2">
      <c r="A27" s="8">
        <v>44326</v>
      </c>
      <c r="B27" s="9">
        <v>26</v>
      </c>
      <c r="C27" s="8" t="s">
        <v>754</v>
      </c>
      <c r="D27" s="9"/>
      <c r="E27" s="11" t="s">
        <v>758</v>
      </c>
      <c r="F27" s="10" t="s">
        <v>756</v>
      </c>
      <c r="G27" s="11" t="s">
        <v>759</v>
      </c>
    </row>
    <row r="28" spans="1:9" ht="25.5" x14ac:dyDescent="0.2">
      <c r="A28" s="8">
        <v>44326</v>
      </c>
      <c r="B28" s="9">
        <v>27</v>
      </c>
      <c r="C28" s="8" t="s">
        <v>754</v>
      </c>
      <c r="D28" s="9"/>
      <c r="E28" s="11" t="s">
        <v>760</v>
      </c>
      <c r="F28" s="10" t="s">
        <v>756</v>
      </c>
      <c r="G28" s="11" t="s">
        <v>761</v>
      </c>
    </row>
    <row r="29" spans="1:9" x14ac:dyDescent="0.2">
      <c r="A29" s="8">
        <v>44326</v>
      </c>
      <c r="B29" s="9">
        <v>28</v>
      </c>
      <c r="C29" s="8" t="s">
        <v>762</v>
      </c>
      <c r="D29" s="9"/>
      <c r="E29" s="11" t="s">
        <v>722</v>
      </c>
      <c r="F29" s="10" t="s">
        <v>763</v>
      </c>
      <c r="G29" s="11" t="s">
        <v>764</v>
      </c>
    </row>
    <row r="30" spans="1:9" ht="38.25" x14ac:dyDescent="0.2">
      <c r="A30" s="8">
        <v>44326</v>
      </c>
      <c r="B30" s="9">
        <v>29</v>
      </c>
      <c r="C30" s="8" t="s">
        <v>461</v>
      </c>
      <c r="D30" s="346"/>
      <c r="E30" s="347"/>
      <c r="F30" s="10" t="s">
        <v>765</v>
      </c>
      <c r="G30" s="11" t="s">
        <v>766</v>
      </c>
    </row>
    <row r="31" spans="1:9" ht="25.5" x14ac:dyDescent="0.2">
      <c r="A31" s="8">
        <v>44326</v>
      </c>
      <c r="B31" s="9">
        <v>30</v>
      </c>
      <c r="C31" s="345" t="s">
        <v>511</v>
      </c>
      <c r="D31" s="9">
        <v>1.2</v>
      </c>
      <c r="E31" s="345" t="s">
        <v>767</v>
      </c>
      <c r="F31" s="345" t="s">
        <v>696</v>
      </c>
      <c r="G31" s="349" t="s">
        <v>768</v>
      </c>
    </row>
    <row r="32" spans="1:9" ht="102" x14ac:dyDescent="0.2">
      <c r="A32" s="8">
        <v>44326</v>
      </c>
      <c r="B32" s="9">
        <v>31</v>
      </c>
      <c r="C32" s="345" t="s">
        <v>769</v>
      </c>
      <c r="D32" s="9">
        <v>2.1</v>
      </c>
      <c r="E32" s="11" t="s">
        <v>770</v>
      </c>
      <c r="F32" s="345" t="s">
        <v>771</v>
      </c>
      <c r="G32" s="347" t="s">
        <v>772</v>
      </c>
    </row>
    <row r="33" spans="1:7" ht="25.5" x14ac:dyDescent="0.2">
      <c r="A33" s="8">
        <v>44326</v>
      </c>
      <c r="B33" s="9">
        <v>32</v>
      </c>
      <c r="C33" s="345" t="s">
        <v>769</v>
      </c>
      <c r="D33" s="9">
        <v>2.1</v>
      </c>
      <c r="E33" s="11" t="s">
        <v>773</v>
      </c>
      <c r="F33" s="345" t="s">
        <v>702</v>
      </c>
      <c r="G33" s="347" t="s">
        <v>774</v>
      </c>
    </row>
    <row r="34" spans="1:7" ht="25.5" x14ac:dyDescent="0.2">
      <c r="A34" s="8">
        <v>44326</v>
      </c>
      <c r="B34" s="9">
        <v>33</v>
      </c>
      <c r="C34" s="345" t="s">
        <v>769</v>
      </c>
      <c r="D34" s="9">
        <v>2.1</v>
      </c>
      <c r="E34" s="10" t="s">
        <v>775</v>
      </c>
      <c r="F34" s="10" t="s">
        <v>702</v>
      </c>
      <c r="G34" s="11" t="s">
        <v>776</v>
      </c>
    </row>
    <row r="35" spans="1:7" x14ac:dyDescent="0.2">
      <c r="A35" s="8">
        <v>44326</v>
      </c>
      <c r="B35" s="9">
        <v>34</v>
      </c>
      <c r="C35" s="345" t="s">
        <v>769</v>
      </c>
      <c r="D35" s="9">
        <v>2.1</v>
      </c>
      <c r="E35" s="10" t="s">
        <v>777</v>
      </c>
      <c r="F35" s="10" t="s">
        <v>778</v>
      </c>
      <c r="G35" s="11" t="s">
        <v>779</v>
      </c>
    </row>
    <row r="36" spans="1:7" x14ac:dyDescent="0.2">
      <c r="A36" s="8">
        <v>44326</v>
      </c>
      <c r="B36" s="9">
        <v>35</v>
      </c>
      <c r="C36" s="345" t="s">
        <v>769</v>
      </c>
      <c r="D36" s="9">
        <v>2.1</v>
      </c>
      <c r="E36" s="10" t="s">
        <v>780</v>
      </c>
      <c r="F36" s="10" t="s">
        <v>696</v>
      </c>
      <c r="G36" s="11" t="s">
        <v>781</v>
      </c>
    </row>
    <row r="37" spans="1:7" ht="25.5" x14ac:dyDescent="0.2">
      <c r="A37" s="8">
        <v>44326</v>
      </c>
      <c r="B37" s="9">
        <v>36</v>
      </c>
      <c r="C37" s="345" t="s">
        <v>769</v>
      </c>
      <c r="D37" s="9">
        <v>2.1</v>
      </c>
      <c r="E37" s="10" t="s">
        <v>782</v>
      </c>
      <c r="F37" s="10" t="s">
        <v>702</v>
      </c>
      <c r="G37" s="11" t="s">
        <v>783</v>
      </c>
    </row>
    <row r="38" spans="1:7" ht="25.5" x14ac:dyDescent="0.2">
      <c r="A38" s="8">
        <v>44326</v>
      </c>
      <c r="B38" s="9">
        <v>37</v>
      </c>
      <c r="C38" s="345" t="s">
        <v>784</v>
      </c>
      <c r="D38" s="9" t="s">
        <v>785</v>
      </c>
      <c r="E38" s="10" t="s">
        <v>786</v>
      </c>
      <c r="F38" s="345" t="s">
        <v>696</v>
      </c>
      <c r="G38" s="347" t="s">
        <v>787</v>
      </c>
    </row>
    <row r="39" spans="1:7" ht="25.5" x14ac:dyDescent="0.2">
      <c r="A39" s="8">
        <v>44326</v>
      </c>
      <c r="B39" s="9">
        <v>38</v>
      </c>
      <c r="C39" s="345" t="s">
        <v>784</v>
      </c>
      <c r="D39" s="9" t="s">
        <v>785</v>
      </c>
      <c r="E39" s="345"/>
      <c r="F39" s="347" t="s">
        <v>788</v>
      </c>
      <c r="G39" s="11" t="s">
        <v>789</v>
      </c>
    </row>
    <row r="40" spans="1:7" ht="38.25" x14ac:dyDescent="0.2">
      <c r="A40" s="8">
        <v>44326</v>
      </c>
      <c r="B40" s="9">
        <v>39</v>
      </c>
      <c r="C40" s="10" t="s">
        <v>784</v>
      </c>
      <c r="D40" s="9" t="s">
        <v>785</v>
      </c>
      <c r="E40" s="10" t="s">
        <v>790</v>
      </c>
      <c r="F40" s="347" t="s">
        <v>791</v>
      </c>
      <c r="G40" s="11" t="s">
        <v>792</v>
      </c>
    </row>
    <row r="41" spans="1:7" ht="38.25" x14ac:dyDescent="0.2">
      <c r="A41" s="8">
        <v>44326</v>
      </c>
      <c r="B41" s="9">
        <v>40</v>
      </c>
      <c r="C41" s="10" t="s">
        <v>784</v>
      </c>
      <c r="D41" s="9" t="s">
        <v>785</v>
      </c>
      <c r="E41" s="10" t="s">
        <v>793</v>
      </c>
      <c r="F41" s="347" t="s">
        <v>752</v>
      </c>
      <c r="G41" s="11" t="s">
        <v>794</v>
      </c>
    </row>
    <row r="42" spans="1:7" x14ac:dyDescent="0.2">
      <c r="A42" s="8">
        <v>44326</v>
      </c>
      <c r="B42" s="9">
        <v>41</v>
      </c>
      <c r="C42" s="10" t="s">
        <v>784</v>
      </c>
      <c r="D42" s="9" t="s">
        <v>785</v>
      </c>
      <c r="E42" s="10" t="s">
        <v>795</v>
      </c>
      <c r="F42" s="11" t="s">
        <v>702</v>
      </c>
      <c r="G42" s="11" t="s">
        <v>796</v>
      </c>
    </row>
    <row r="43" spans="1:7" ht="25.5" x14ac:dyDescent="0.2">
      <c r="A43" s="8">
        <v>44326</v>
      </c>
      <c r="B43" s="9">
        <v>42</v>
      </c>
      <c r="C43" s="10" t="s">
        <v>797</v>
      </c>
      <c r="D43" s="346" t="s">
        <v>798</v>
      </c>
      <c r="E43" s="10" t="s">
        <v>799</v>
      </c>
      <c r="F43" s="347" t="s">
        <v>800</v>
      </c>
      <c r="G43" s="347" t="s">
        <v>801</v>
      </c>
    </row>
    <row r="44" spans="1:7" ht="51" x14ac:dyDescent="0.2">
      <c r="A44" s="8">
        <v>44326</v>
      </c>
      <c r="B44" s="9">
        <v>43</v>
      </c>
      <c r="C44" s="10" t="s">
        <v>802</v>
      </c>
      <c r="D44" s="9" t="s">
        <v>803</v>
      </c>
      <c r="E44" s="10" t="s">
        <v>804</v>
      </c>
      <c r="F44" s="11" t="s">
        <v>699</v>
      </c>
      <c r="G44" s="11" t="s">
        <v>805</v>
      </c>
    </row>
    <row r="45" spans="1:7" x14ac:dyDescent="0.2">
      <c r="A45" s="8">
        <v>44326</v>
      </c>
      <c r="B45" s="9">
        <v>44</v>
      </c>
      <c r="C45" s="10" t="s">
        <v>806</v>
      </c>
      <c r="D45" s="9" t="s">
        <v>807</v>
      </c>
      <c r="E45" s="10" t="s">
        <v>804</v>
      </c>
      <c r="F45" s="11" t="s">
        <v>699</v>
      </c>
      <c r="G45" s="11" t="s">
        <v>808</v>
      </c>
    </row>
    <row r="46" spans="1:7" x14ac:dyDescent="0.2">
      <c r="A46" s="8">
        <v>44326</v>
      </c>
      <c r="B46" s="9">
        <v>45</v>
      </c>
      <c r="C46" s="10" t="s">
        <v>809</v>
      </c>
      <c r="D46" s="9" t="s">
        <v>807</v>
      </c>
      <c r="E46" s="10" t="s">
        <v>810</v>
      </c>
      <c r="F46" s="11" t="s">
        <v>702</v>
      </c>
      <c r="G46" s="11" t="s">
        <v>811</v>
      </c>
    </row>
    <row r="47" spans="1:7" x14ac:dyDescent="0.2">
      <c r="A47" s="8">
        <v>44326</v>
      </c>
      <c r="B47" s="9">
        <v>46</v>
      </c>
      <c r="C47" s="10" t="s">
        <v>809</v>
      </c>
      <c r="D47" s="9" t="s">
        <v>807</v>
      </c>
      <c r="E47" s="10" t="s">
        <v>812</v>
      </c>
      <c r="F47" s="11" t="s">
        <v>813</v>
      </c>
      <c r="G47" s="11" t="s">
        <v>814</v>
      </c>
    </row>
    <row r="48" spans="1:7" x14ac:dyDescent="0.2">
      <c r="A48" s="8">
        <v>44326</v>
      </c>
      <c r="B48" s="9">
        <v>47</v>
      </c>
      <c r="C48" s="10" t="s">
        <v>815</v>
      </c>
      <c r="D48" s="9"/>
      <c r="E48" s="10" t="s">
        <v>816</v>
      </c>
      <c r="F48" s="347" t="s">
        <v>752</v>
      </c>
      <c r="G48" s="11" t="s">
        <v>817</v>
      </c>
    </row>
    <row r="49" spans="1:7" x14ac:dyDescent="0.2">
      <c r="A49" s="8">
        <v>44326</v>
      </c>
      <c r="B49" s="9">
        <v>48</v>
      </c>
      <c r="C49" s="10" t="s">
        <v>815</v>
      </c>
      <c r="D49" s="9">
        <v>3.1</v>
      </c>
      <c r="E49" s="10" t="s">
        <v>818</v>
      </c>
      <c r="F49" s="11" t="s">
        <v>819</v>
      </c>
      <c r="G49" s="11" t="s">
        <v>820</v>
      </c>
    </row>
    <row r="50" spans="1:7" x14ac:dyDescent="0.2">
      <c r="A50" s="8">
        <v>44326</v>
      </c>
      <c r="B50" s="9">
        <v>49</v>
      </c>
      <c r="C50" s="10" t="s">
        <v>815</v>
      </c>
      <c r="D50" s="9">
        <v>3.1</v>
      </c>
      <c r="E50" s="10" t="s">
        <v>821</v>
      </c>
      <c r="F50" s="11" t="s">
        <v>696</v>
      </c>
      <c r="G50" s="11" t="s">
        <v>822</v>
      </c>
    </row>
    <row r="51" spans="1:7" ht="140.25" x14ac:dyDescent="0.2">
      <c r="A51" s="8">
        <v>44326</v>
      </c>
      <c r="B51" s="9">
        <v>50</v>
      </c>
      <c r="C51" s="10" t="s">
        <v>815</v>
      </c>
      <c r="D51" s="9">
        <v>3.1</v>
      </c>
      <c r="E51" s="10" t="s">
        <v>823</v>
      </c>
      <c r="F51" s="11" t="s">
        <v>824</v>
      </c>
      <c r="G51" s="11" t="s">
        <v>825</v>
      </c>
    </row>
    <row r="52" spans="1:7" ht="25.5" x14ac:dyDescent="0.2">
      <c r="A52" s="8">
        <v>44326</v>
      </c>
      <c r="B52" s="9">
        <v>51</v>
      </c>
      <c r="C52" s="10" t="s">
        <v>815</v>
      </c>
      <c r="D52" s="9">
        <v>3.1</v>
      </c>
      <c r="E52" s="10" t="s">
        <v>826</v>
      </c>
      <c r="F52" s="11" t="s">
        <v>702</v>
      </c>
      <c r="G52" s="11" t="s">
        <v>827</v>
      </c>
    </row>
    <row r="53" spans="1:7" ht="38.25" x14ac:dyDescent="0.2">
      <c r="A53" s="8">
        <v>44326</v>
      </c>
      <c r="B53" s="9">
        <v>52</v>
      </c>
      <c r="C53" s="10" t="s">
        <v>815</v>
      </c>
      <c r="D53" s="9">
        <v>3.1</v>
      </c>
      <c r="E53" s="10" t="s">
        <v>828</v>
      </c>
      <c r="F53" s="11" t="s">
        <v>702</v>
      </c>
      <c r="G53" s="11" t="s">
        <v>829</v>
      </c>
    </row>
    <row r="54" spans="1:7" ht="51" x14ac:dyDescent="0.2">
      <c r="A54" s="8">
        <v>44326</v>
      </c>
      <c r="B54" s="9">
        <v>53</v>
      </c>
      <c r="C54" s="10" t="s">
        <v>830</v>
      </c>
      <c r="D54" s="9"/>
      <c r="E54" s="10"/>
      <c r="F54" s="11" t="s">
        <v>831</v>
      </c>
      <c r="G54" s="11" t="s">
        <v>832</v>
      </c>
    </row>
    <row r="55" spans="1:7" x14ac:dyDescent="0.2">
      <c r="A55" s="8">
        <v>44326</v>
      </c>
      <c r="B55" s="9">
        <v>54</v>
      </c>
      <c r="C55" s="10" t="s">
        <v>830</v>
      </c>
      <c r="D55" s="9" t="s">
        <v>713</v>
      </c>
      <c r="E55" s="10" t="s">
        <v>833</v>
      </c>
      <c r="F55" s="11" t="s">
        <v>834</v>
      </c>
      <c r="G55" s="11" t="s">
        <v>835</v>
      </c>
    </row>
    <row r="56" spans="1:7" x14ac:dyDescent="0.2">
      <c r="A56" s="8">
        <v>44326</v>
      </c>
      <c r="B56" s="9">
        <v>55</v>
      </c>
      <c r="C56" s="10" t="s">
        <v>830</v>
      </c>
      <c r="D56" s="9"/>
      <c r="E56" s="10" t="s">
        <v>836</v>
      </c>
      <c r="F56" s="11" t="s">
        <v>696</v>
      </c>
      <c r="G56" s="11" t="s">
        <v>837</v>
      </c>
    </row>
    <row r="57" spans="1:7" ht="51" x14ac:dyDescent="0.2">
      <c r="A57" s="8">
        <v>44326</v>
      </c>
      <c r="B57" s="9">
        <v>56</v>
      </c>
      <c r="C57" s="10" t="s">
        <v>838</v>
      </c>
      <c r="D57" s="9"/>
      <c r="E57" s="10"/>
      <c r="F57" s="11" t="s">
        <v>831</v>
      </c>
      <c r="G57" s="11" t="s">
        <v>839</v>
      </c>
    </row>
    <row r="58" spans="1:7" ht="25.5" x14ac:dyDescent="0.2">
      <c r="A58" s="8">
        <v>44326</v>
      </c>
      <c r="B58" s="9">
        <v>57</v>
      </c>
      <c r="C58" s="10" t="s">
        <v>838</v>
      </c>
      <c r="D58" s="9" t="s">
        <v>840</v>
      </c>
      <c r="E58" s="11" t="s">
        <v>841</v>
      </c>
      <c r="F58" s="11" t="s">
        <v>834</v>
      </c>
      <c r="G58" s="11" t="s">
        <v>835</v>
      </c>
    </row>
    <row r="59" spans="1:7" x14ac:dyDescent="0.2">
      <c r="A59" s="8">
        <v>44326</v>
      </c>
      <c r="B59" s="9">
        <v>58</v>
      </c>
      <c r="C59" s="10" t="s">
        <v>726</v>
      </c>
      <c r="D59" s="9" t="s">
        <v>691</v>
      </c>
      <c r="E59" s="10" t="s">
        <v>842</v>
      </c>
      <c r="F59" s="11" t="s">
        <v>752</v>
      </c>
      <c r="G59" s="11" t="s">
        <v>822</v>
      </c>
    </row>
    <row r="60" spans="1:7" x14ac:dyDescent="0.2">
      <c r="A60" s="8">
        <v>44326</v>
      </c>
      <c r="B60" s="9">
        <v>59</v>
      </c>
      <c r="C60" s="10" t="s">
        <v>726</v>
      </c>
      <c r="D60" s="9" t="s">
        <v>691</v>
      </c>
      <c r="E60" s="10" t="s">
        <v>843</v>
      </c>
      <c r="F60" s="11" t="s">
        <v>752</v>
      </c>
      <c r="G60" s="11" t="s">
        <v>822</v>
      </c>
    </row>
    <row r="61" spans="1:7" x14ac:dyDescent="0.2">
      <c r="A61" s="8">
        <v>44326</v>
      </c>
      <c r="B61" s="9">
        <v>60</v>
      </c>
      <c r="C61" s="10" t="s">
        <v>726</v>
      </c>
      <c r="D61" s="9" t="s">
        <v>691</v>
      </c>
      <c r="E61" t="s">
        <v>844</v>
      </c>
      <c r="F61" s="11" t="s">
        <v>688</v>
      </c>
      <c r="G61" s="11" t="s">
        <v>845</v>
      </c>
    </row>
    <row r="62" spans="1:7" x14ac:dyDescent="0.2">
      <c r="A62" s="8">
        <v>44326</v>
      </c>
      <c r="B62" s="9">
        <v>61</v>
      </c>
      <c r="C62" s="10" t="s">
        <v>726</v>
      </c>
      <c r="D62" s="9" t="s">
        <v>748</v>
      </c>
      <c r="E62" s="10" t="s">
        <v>846</v>
      </c>
      <c r="F62" s="11" t="s">
        <v>834</v>
      </c>
      <c r="G62" s="11" t="s">
        <v>847</v>
      </c>
    </row>
    <row r="63" spans="1:7" ht="38.25" x14ac:dyDescent="0.2">
      <c r="A63" s="8">
        <v>44326</v>
      </c>
      <c r="B63" s="9">
        <v>62</v>
      </c>
      <c r="C63" s="10" t="s">
        <v>726</v>
      </c>
      <c r="D63" s="9" t="s">
        <v>748</v>
      </c>
      <c r="E63" s="10" t="s">
        <v>848</v>
      </c>
      <c r="F63" s="11" t="s">
        <v>813</v>
      </c>
      <c r="G63" s="11" t="s">
        <v>849</v>
      </c>
    </row>
    <row r="64" spans="1:7" ht="25.5" x14ac:dyDescent="0.2">
      <c r="A64" s="8">
        <v>44326</v>
      </c>
      <c r="B64" s="9">
        <v>63</v>
      </c>
      <c r="C64" s="10" t="s">
        <v>726</v>
      </c>
      <c r="D64" s="9" t="s">
        <v>691</v>
      </c>
      <c r="E64" s="10" t="s">
        <v>735</v>
      </c>
      <c r="F64" s="11" t="s">
        <v>736</v>
      </c>
      <c r="G64" s="11" t="s">
        <v>850</v>
      </c>
    </row>
    <row r="65" spans="1:7" ht="25.5" x14ac:dyDescent="0.2">
      <c r="A65" s="8">
        <v>44326</v>
      </c>
      <c r="B65" s="9">
        <v>64</v>
      </c>
      <c r="C65" s="10" t="s">
        <v>726</v>
      </c>
      <c r="D65" s="9" t="s">
        <v>727</v>
      </c>
      <c r="E65" s="10" t="s">
        <v>851</v>
      </c>
      <c r="F65" s="11" t="s">
        <v>736</v>
      </c>
      <c r="G65" s="11" t="s">
        <v>850</v>
      </c>
    </row>
    <row r="66" spans="1:7" ht="25.5" x14ac:dyDescent="0.2">
      <c r="A66" s="8">
        <v>44326</v>
      </c>
      <c r="B66" s="9">
        <v>65</v>
      </c>
      <c r="C66" s="10" t="s">
        <v>852</v>
      </c>
      <c r="D66" s="9" t="s">
        <v>853</v>
      </c>
      <c r="E66" s="10" t="s">
        <v>854</v>
      </c>
      <c r="F66" s="11" t="s">
        <v>736</v>
      </c>
      <c r="G66" s="11" t="s">
        <v>850</v>
      </c>
    </row>
    <row r="67" spans="1:7" ht="51" x14ac:dyDescent="0.2">
      <c r="A67" s="8">
        <v>44326</v>
      </c>
      <c r="B67" s="9">
        <v>66</v>
      </c>
      <c r="C67" s="10" t="s">
        <v>855</v>
      </c>
      <c r="D67" s="9" t="s">
        <v>853</v>
      </c>
      <c r="E67" s="10" t="s">
        <v>804</v>
      </c>
      <c r="F67" s="11" t="s">
        <v>699</v>
      </c>
      <c r="G67" s="11" t="s">
        <v>805</v>
      </c>
    </row>
    <row r="68" spans="1:7" x14ac:dyDescent="0.2">
      <c r="A68" s="8">
        <v>44326</v>
      </c>
      <c r="B68" s="9">
        <v>67</v>
      </c>
      <c r="C68" s="10" t="s">
        <v>856</v>
      </c>
      <c r="D68" s="9"/>
      <c r="E68" s="10"/>
      <c r="F68" s="11" t="s">
        <v>831</v>
      </c>
      <c r="G68" t="s">
        <v>857</v>
      </c>
    </row>
    <row r="69" spans="1:7" ht="25.5" x14ac:dyDescent="0.2">
      <c r="A69" s="8">
        <v>44326</v>
      </c>
      <c r="B69" s="9">
        <v>68</v>
      </c>
      <c r="C69" s="10" t="s">
        <v>856</v>
      </c>
      <c r="D69" s="9"/>
      <c r="E69" s="10"/>
      <c r="F69" s="11" t="s">
        <v>858</v>
      </c>
      <c r="G69" s="11" t="s">
        <v>859</v>
      </c>
    </row>
    <row r="70" spans="1:7" ht="25.5" x14ac:dyDescent="0.2">
      <c r="A70" s="8">
        <v>44326</v>
      </c>
      <c r="B70" s="9">
        <v>69</v>
      </c>
      <c r="C70" s="10" t="s">
        <v>856</v>
      </c>
      <c r="D70" s="9">
        <v>4.0999999999999996</v>
      </c>
      <c r="E70" s="10" t="s">
        <v>860</v>
      </c>
      <c r="F70" s="11" t="s">
        <v>702</v>
      </c>
      <c r="G70" s="11" t="s">
        <v>861</v>
      </c>
    </row>
    <row r="71" spans="1:7" ht="25.5" x14ac:dyDescent="0.2">
      <c r="A71" s="8">
        <v>44326</v>
      </c>
      <c r="B71" s="9">
        <v>70</v>
      </c>
      <c r="C71" s="10" t="s">
        <v>856</v>
      </c>
      <c r="D71" s="9">
        <v>4.0999999999999996</v>
      </c>
      <c r="E71" s="10" t="s">
        <v>862</v>
      </c>
      <c r="F71" s="11" t="s">
        <v>771</v>
      </c>
      <c r="G71" s="11" t="s">
        <v>863</v>
      </c>
    </row>
    <row r="72" spans="1:7" x14ac:dyDescent="0.2">
      <c r="A72" s="8">
        <v>44326</v>
      </c>
      <c r="B72" s="9">
        <v>71</v>
      </c>
      <c r="C72" s="10" t="s">
        <v>856</v>
      </c>
      <c r="D72" s="9">
        <v>4.0999999999999996</v>
      </c>
      <c r="E72" s="10" t="s">
        <v>864</v>
      </c>
      <c r="F72" s="11" t="s">
        <v>865</v>
      </c>
      <c r="G72" s="11" t="s">
        <v>866</v>
      </c>
    </row>
    <row r="73" spans="1:7" x14ac:dyDescent="0.2">
      <c r="A73" s="8">
        <v>44326</v>
      </c>
      <c r="B73" s="9">
        <v>72</v>
      </c>
      <c r="C73" s="10" t="s">
        <v>856</v>
      </c>
      <c r="D73" s="9">
        <v>4.0999999999999996</v>
      </c>
      <c r="E73" s="10" t="s">
        <v>867</v>
      </c>
      <c r="F73" s="11" t="s">
        <v>702</v>
      </c>
      <c r="G73" s="11" t="s">
        <v>868</v>
      </c>
    </row>
    <row r="74" spans="1:7" ht="25.5" x14ac:dyDescent="0.2">
      <c r="A74" s="8">
        <v>44326</v>
      </c>
      <c r="B74" s="9">
        <v>73</v>
      </c>
      <c r="C74" s="10" t="s">
        <v>856</v>
      </c>
      <c r="D74" s="9">
        <v>4.0999999999999996</v>
      </c>
      <c r="E74" s="10" t="s">
        <v>869</v>
      </c>
      <c r="F74" s="11" t="s">
        <v>702</v>
      </c>
      <c r="G74" s="11" t="s">
        <v>870</v>
      </c>
    </row>
    <row r="75" spans="1:7" x14ac:dyDescent="0.2">
      <c r="A75" s="8">
        <v>44326</v>
      </c>
      <c r="B75" s="9">
        <v>74</v>
      </c>
      <c r="C75" s="10" t="s">
        <v>856</v>
      </c>
      <c r="D75" s="9"/>
      <c r="E75" s="10" t="s">
        <v>871</v>
      </c>
      <c r="F75" s="11" t="s">
        <v>752</v>
      </c>
      <c r="G75" s="11" t="s">
        <v>872</v>
      </c>
    </row>
    <row r="76" spans="1:7" ht="38.25" x14ac:dyDescent="0.2">
      <c r="A76" s="8">
        <v>44326</v>
      </c>
      <c r="B76" s="9">
        <v>75</v>
      </c>
      <c r="C76" s="10" t="s">
        <v>873</v>
      </c>
      <c r="D76" s="9">
        <v>5.0999999999999996</v>
      </c>
      <c r="E76" s="10" t="s">
        <v>874</v>
      </c>
      <c r="F76" s="11" t="s">
        <v>875</v>
      </c>
      <c r="G76" s="11" t="s">
        <v>876</v>
      </c>
    </row>
    <row r="77" spans="1:7" ht="38.25" x14ac:dyDescent="0.2">
      <c r="A77" s="8">
        <v>44326</v>
      </c>
      <c r="B77" s="9">
        <v>76</v>
      </c>
      <c r="C77" s="10" t="s">
        <v>873</v>
      </c>
      <c r="D77" s="9">
        <v>5.0999999999999996</v>
      </c>
      <c r="E77" s="10" t="s">
        <v>877</v>
      </c>
      <c r="F77" s="11" t="s">
        <v>875</v>
      </c>
      <c r="G77" s="11" t="s">
        <v>878</v>
      </c>
    </row>
    <row r="78" spans="1:7" ht="25.5" x14ac:dyDescent="0.2">
      <c r="A78" s="8">
        <v>44326</v>
      </c>
      <c r="B78" s="9">
        <v>77</v>
      </c>
      <c r="C78" s="10" t="s">
        <v>873</v>
      </c>
      <c r="D78" s="9">
        <v>5.0999999999999996</v>
      </c>
      <c r="E78" s="10" t="s">
        <v>879</v>
      </c>
      <c r="F78" s="11" t="s">
        <v>819</v>
      </c>
      <c r="G78" s="11" t="s">
        <v>880</v>
      </c>
    </row>
    <row r="79" spans="1:7" ht="25.5" x14ac:dyDescent="0.2">
      <c r="A79" s="8">
        <v>44326</v>
      </c>
      <c r="B79" s="9">
        <v>78</v>
      </c>
      <c r="C79" s="10" t="s">
        <v>873</v>
      </c>
      <c r="D79" s="9">
        <v>5.0999999999999996</v>
      </c>
      <c r="E79" s="10" t="s">
        <v>881</v>
      </c>
      <c r="F79" s="11" t="s">
        <v>696</v>
      </c>
      <c r="G79" s="347" t="s">
        <v>882</v>
      </c>
    </row>
    <row r="80" spans="1:7" ht="38.25" x14ac:dyDescent="0.2">
      <c r="A80" s="8">
        <v>44326</v>
      </c>
      <c r="B80" s="9">
        <v>79</v>
      </c>
      <c r="C80" s="10" t="s">
        <v>873</v>
      </c>
      <c r="D80" s="9">
        <v>5.0999999999999996</v>
      </c>
      <c r="E80" s="347" t="s">
        <v>883</v>
      </c>
      <c r="F80" s="347" t="s">
        <v>884</v>
      </c>
      <c r="G80" s="347" t="s">
        <v>885</v>
      </c>
    </row>
    <row r="81" spans="1:7" ht="38.25" x14ac:dyDescent="0.2">
      <c r="A81" s="8">
        <v>44326</v>
      </c>
      <c r="B81" s="9">
        <v>80</v>
      </c>
      <c r="C81" s="10" t="s">
        <v>886</v>
      </c>
      <c r="D81" s="9"/>
      <c r="E81" s="10"/>
      <c r="F81" s="11" t="s">
        <v>834</v>
      </c>
      <c r="G81" s="11" t="s">
        <v>887</v>
      </c>
    </row>
    <row r="82" spans="1:7" x14ac:dyDescent="0.2">
      <c r="A82" s="10"/>
      <c r="B82" s="9"/>
      <c r="C82" s="10"/>
      <c r="D82" s="9"/>
      <c r="E82" s="10"/>
      <c r="F82" s="10"/>
      <c r="G82" s="10"/>
    </row>
    <row r="83" spans="1:7" x14ac:dyDescent="0.2">
      <c r="A83" s="10"/>
      <c r="B83" s="9"/>
      <c r="C83" s="10"/>
      <c r="D83" s="9"/>
      <c r="E83" s="10"/>
      <c r="F83" s="11"/>
      <c r="G83" s="11"/>
    </row>
    <row r="84" spans="1:7" x14ac:dyDescent="0.2">
      <c r="A84" s="10"/>
      <c r="B84" s="9"/>
      <c r="C84" s="10"/>
      <c r="D84" s="9"/>
      <c r="E84" s="10"/>
      <c r="F84" s="11"/>
      <c r="G84" s="11"/>
    </row>
    <row r="85" spans="1:7" x14ac:dyDescent="0.2">
      <c r="A85" s="10"/>
      <c r="B85" s="9"/>
      <c r="C85" s="10"/>
      <c r="D85" s="9"/>
      <c r="E85" s="10"/>
      <c r="F85" s="11"/>
      <c r="G85" s="11"/>
    </row>
    <row r="86" spans="1:7" x14ac:dyDescent="0.2">
      <c r="A86" s="10"/>
      <c r="B86" s="9"/>
      <c r="C86" s="10"/>
      <c r="D86" s="9"/>
      <c r="E86" s="10"/>
      <c r="F86" s="11"/>
      <c r="G86" s="11"/>
    </row>
    <row r="87" spans="1:7" x14ac:dyDescent="0.2">
      <c r="A87" s="10"/>
      <c r="B87" s="9"/>
      <c r="C87" s="10"/>
      <c r="D87" s="9"/>
      <c r="E87" s="10"/>
      <c r="F87" s="11"/>
      <c r="G87" s="11"/>
    </row>
    <row r="88" spans="1:7" x14ac:dyDescent="0.2">
      <c r="A88" s="10"/>
      <c r="B88" s="9"/>
      <c r="C88" s="10"/>
      <c r="D88" s="9"/>
      <c r="E88" s="10"/>
      <c r="F88" s="11"/>
      <c r="G88" s="11"/>
    </row>
    <row r="89" spans="1:7" x14ac:dyDescent="0.2">
      <c r="A89" s="10"/>
      <c r="B89" s="9"/>
      <c r="C89" s="10"/>
      <c r="D89" s="9"/>
      <c r="E89" s="10"/>
      <c r="F89" s="11"/>
      <c r="G89" s="11"/>
    </row>
    <row r="90" spans="1:7" x14ac:dyDescent="0.2">
      <c r="A90" s="10"/>
      <c r="B90" s="9"/>
      <c r="C90" s="10"/>
      <c r="D90" s="9"/>
      <c r="E90" s="10"/>
      <c r="F90" s="11"/>
      <c r="G90" s="11"/>
    </row>
    <row r="91" spans="1:7" x14ac:dyDescent="0.2">
      <c r="A91" s="10"/>
      <c r="B91" s="9"/>
      <c r="C91" s="10"/>
      <c r="D91" s="9"/>
      <c r="E91" s="10"/>
      <c r="F91" s="11"/>
      <c r="G91" s="11"/>
    </row>
    <row r="92" spans="1:7" x14ac:dyDescent="0.2">
      <c r="A92" s="10"/>
      <c r="B92" s="9"/>
      <c r="C92" s="10"/>
      <c r="D92" s="9"/>
      <c r="E92" s="10"/>
      <c r="F92" s="11"/>
      <c r="G92" s="11"/>
    </row>
    <row r="93" spans="1:7" x14ac:dyDescent="0.2">
      <c r="A93" s="10"/>
      <c r="B93" s="9"/>
      <c r="C93" s="10"/>
      <c r="D93" s="9"/>
      <c r="E93" s="10"/>
      <c r="F93" s="11"/>
      <c r="G93" s="11"/>
    </row>
    <row r="94" spans="1:7" x14ac:dyDescent="0.2">
      <c r="A94" s="10"/>
      <c r="B94" s="9"/>
      <c r="C94" s="10"/>
      <c r="D94" s="9"/>
      <c r="E94" s="10"/>
      <c r="F94" s="11"/>
      <c r="G94" s="11"/>
    </row>
    <row r="95" spans="1:7" x14ac:dyDescent="0.2">
      <c r="A95" s="10"/>
      <c r="B95" s="9"/>
      <c r="C95" s="10"/>
      <c r="D95" s="9"/>
      <c r="E95" s="10"/>
      <c r="F95" s="11"/>
      <c r="G95" s="11"/>
    </row>
    <row r="96" spans="1:7" x14ac:dyDescent="0.2">
      <c r="A96" s="10"/>
      <c r="B96" s="9"/>
      <c r="C96" s="10"/>
      <c r="D96" s="9"/>
      <c r="E96" s="10"/>
      <c r="F96" s="11"/>
      <c r="G96" s="11"/>
    </row>
    <row r="97" spans="1:7" x14ac:dyDescent="0.2">
      <c r="A97" s="10"/>
      <c r="B97" s="9"/>
      <c r="C97" s="10"/>
      <c r="D97" s="9"/>
      <c r="E97" s="10"/>
      <c r="F97" s="11"/>
      <c r="G97" s="11"/>
    </row>
    <row r="98" spans="1:7" x14ac:dyDescent="0.2">
      <c r="A98" s="10"/>
      <c r="B98" s="9"/>
      <c r="C98" s="10"/>
      <c r="D98" s="9"/>
      <c r="E98" s="10"/>
      <c r="F98" s="11"/>
      <c r="G98" s="11"/>
    </row>
    <row r="99" spans="1:7" x14ac:dyDescent="0.2">
      <c r="A99" s="10"/>
      <c r="B99" s="9"/>
      <c r="C99" s="10"/>
      <c r="D99" s="9"/>
      <c r="E99" s="10"/>
      <c r="F99" s="11"/>
      <c r="G99" s="11"/>
    </row>
    <row r="100" spans="1:7" x14ac:dyDescent="0.2">
      <c r="A100" s="10"/>
      <c r="B100" s="9"/>
      <c r="C100" s="10"/>
      <c r="D100" s="9"/>
      <c r="E100" s="10"/>
      <c r="F100" s="11"/>
      <c r="G100" s="11"/>
    </row>
    <row r="101" spans="1:7" x14ac:dyDescent="0.2">
      <c r="A101" s="10"/>
      <c r="B101" s="9"/>
      <c r="C101" s="10"/>
      <c r="D101" s="9"/>
      <c r="E101" s="10"/>
      <c r="F101" s="11"/>
      <c r="G101" s="11"/>
    </row>
    <row r="102" spans="1:7" x14ac:dyDescent="0.2">
      <c r="A102" s="10"/>
      <c r="B102" s="9"/>
      <c r="C102" s="10"/>
      <c r="D102" s="9"/>
      <c r="E102" s="10"/>
      <c r="F102" s="11"/>
      <c r="G102" s="11"/>
    </row>
    <row r="103" spans="1:7" x14ac:dyDescent="0.2">
      <c r="A103" s="10"/>
      <c r="B103" s="9"/>
      <c r="C103" s="10"/>
      <c r="D103" s="9"/>
      <c r="E103" s="10"/>
      <c r="F103" s="11"/>
      <c r="G103" s="11"/>
    </row>
    <row r="104" spans="1:7" x14ac:dyDescent="0.2">
      <c r="A104" s="10"/>
      <c r="B104" s="9"/>
      <c r="C104" s="10"/>
      <c r="D104" s="9"/>
      <c r="E104" s="10"/>
      <c r="F104" s="11"/>
      <c r="G104" s="11"/>
    </row>
    <row r="105" spans="1:7" x14ac:dyDescent="0.2">
      <c r="A105" s="10"/>
      <c r="B105" s="9"/>
      <c r="C105" s="10"/>
      <c r="D105" s="9"/>
      <c r="E105" s="10"/>
      <c r="F105" s="11"/>
      <c r="G105" s="11"/>
    </row>
    <row r="106" spans="1:7" x14ac:dyDescent="0.2">
      <c r="A106" s="10"/>
      <c r="B106" s="9"/>
      <c r="C106" s="10"/>
      <c r="D106" s="9"/>
      <c r="E106" s="10"/>
      <c r="F106" s="11"/>
      <c r="G106" s="11"/>
    </row>
    <row r="107" spans="1:7" x14ac:dyDescent="0.2">
      <c r="A107" s="10"/>
      <c r="B107" s="9"/>
      <c r="C107" s="10"/>
      <c r="D107" s="9"/>
      <c r="E107" s="10"/>
      <c r="F107" s="11"/>
      <c r="G107" s="11"/>
    </row>
    <row r="108" spans="1:7" x14ac:dyDescent="0.2">
      <c r="A108" s="10"/>
      <c r="B108" s="9"/>
      <c r="C108" s="10"/>
      <c r="D108" s="9"/>
      <c r="E108" s="10"/>
      <c r="F108" s="11"/>
      <c r="G108" s="11"/>
    </row>
    <row r="109" spans="1:7" x14ac:dyDescent="0.2">
      <c r="A109" s="10"/>
      <c r="B109" s="9"/>
      <c r="C109" s="10"/>
      <c r="D109" s="9"/>
      <c r="E109" s="10"/>
      <c r="F109" s="11"/>
      <c r="G109" s="11"/>
    </row>
    <row r="110" spans="1:7" x14ac:dyDescent="0.2">
      <c r="A110" s="10"/>
      <c r="B110" s="9"/>
      <c r="C110" s="10"/>
      <c r="D110" s="9"/>
      <c r="E110" s="10"/>
      <c r="F110" s="11"/>
      <c r="G110" s="11"/>
    </row>
    <row r="111" spans="1:7" x14ac:dyDescent="0.2">
      <c r="A111" s="10"/>
      <c r="B111" s="9"/>
      <c r="C111" s="10"/>
      <c r="D111" s="9"/>
      <c r="E111" s="10"/>
      <c r="F111" s="11"/>
      <c r="G111" s="11"/>
    </row>
    <row r="112" spans="1:7" x14ac:dyDescent="0.2">
      <c r="A112" s="10"/>
      <c r="B112" s="9"/>
      <c r="C112" s="10"/>
      <c r="D112" s="9"/>
      <c r="E112" s="10"/>
      <c r="F112" s="11"/>
      <c r="G112" s="11"/>
    </row>
    <row r="113" spans="1:7" x14ac:dyDescent="0.2">
      <c r="A113" s="10"/>
      <c r="B113" s="9"/>
      <c r="C113" s="10"/>
      <c r="D113" s="9"/>
      <c r="E113" s="10"/>
      <c r="F113" s="11"/>
      <c r="G113" s="11"/>
    </row>
    <row r="114" spans="1:7" x14ac:dyDescent="0.2">
      <c r="A114" s="10"/>
      <c r="B114" s="9"/>
      <c r="C114" s="10"/>
      <c r="D114" s="9"/>
      <c r="E114" s="10"/>
      <c r="F114" s="11"/>
      <c r="G114" s="11"/>
    </row>
    <row r="115" spans="1:7" x14ac:dyDescent="0.2">
      <c r="A115" s="10"/>
      <c r="B115" s="9"/>
      <c r="C115" s="10"/>
      <c r="D115" s="9"/>
      <c r="E115" s="10"/>
      <c r="F115" s="11"/>
      <c r="G115" s="11"/>
    </row>
    <row r="116" spans="1:7" x14ac:dyDescent="0.2">
      <c r="A116" s="10"/>
      <c r="B116" s="9"/>
      <c r="C116" s="10"/>
      <c r="D116" s="9"/>
      <c r="E116" s="10"/>
      <c r="F116" s="11"/>
      <c r="G116" s="11"/>
    </row>
    <row r="117" spans="1:7" x14ac:dyDescent="0.2">
      <c r="A117" s="10"/>
      <c r="B117" s="9"/>
      <c r="C117" s="10"/>
      <c r="D117" s="9"/>
      <c r="E117" s="10"/>
      <c r="F117" s="11"/>
      <c r="G117" s="11"/>
    </row>
    <row r="118" spans="1:7" x14ac:dyDescent="0.2">
      <c r="A118" s="10"/>
      <c r="B118" s="9"/>
      <c r="C118" s="10"/>
      <c r="D118" s="9"/>
      <c r="E118" s="10"/>
      <c r="F118" s="11"/>
      <c r="G118" s="11"/>
    </row>
    <row r="119" spans="1:7" x14ac:dyDescent="0.2">
      <c r="A119" s="10"/>
      <c r="B119" s="9"/>
      <c r="C119" s="10"/>
      <c r="D119" s="9"/>
      <c r="E119" s="10"/>
      <c r="F119" s="11"/>
      <c r="G119" s="11"/>
    </row>
    <row r="120" spans="1:7" x14ac:dyDescent="0.2">
      <c r="A120" s="10"/>
      <c r="B120" s="9"/>
      <c r="C120" s="10"/>
      <c r="D120" s="9"/>
      <c r="E120" s="10"/>
      <c r="F120" s="10"/>
      <c r="G120" s="10"/>
    </row>
    <row r="121" spans="1:7" x14ac:dyDescent="0.2">
      <c r="A121" s="10"/>
      <c r="B121" s="9"/>
      <c r="C121" s="10"/>
      <c r="D121" s="9"/>
      <c r="E121" s="10"/>
      <c r="F121" s="10"/>
      <c r="G121" s="10"/>
    </row>
    <row r="122" spans="1:7" x14ac:dyDescent="0.2">
      <c r="A122" s="10"/>
      <c r="B122" s="9"/>
      <c r="C122" s="10"/>
      <c r="D122" s="9"/>
      <c r="E122" s="10"/>
      <c r="F122" s="10"/>
      <c r="G122" s="10"/>
    </row>
    <row r="123" spans="1:7" x14ac:dyDescent="0.2">
      <c r="A123" s="10"/>
      <c r="B123" s="9"/>
      <c r="C123" s="10"/>
      <c r="D123" s="9"/>
      <c r="E123" s="10"/>
      <c r="F123" s="10"/>
      <c r="G123" s="10"/>
    </row>
  </sheetData>
  <pageMargins left="0.7" right="0.7" top="0.75" bottom="0.75" header="0.3" footer="0.3"/>
  <pageSetup paperSize="9" orientation="portrait" r:id="rId1"/>
  <headerFooter>
    <oddFooter>&amp;C_x000D_&amp;1#&amp;"Aptos"&amp;10&amp;K008000 APA-INTERNAL</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704da589-9a5f-45d1-b9c9-18eae98c3af3">
      <Terms xmlns="http://schemas.microsoft.com/office/infopath/2007/PartnerControls"/>
    </lcf76f155ced4ddcb4097134ff3c332f>
    <_ip_UnifiedCompliancePolicyProperties xmlns="http://schemas.microsoft.com/sharepoint/v3" xsi:nil="true"/>
    <TaxCatchAll xmlns="68339cd5-4ed0-4715-a10c-fb6cfca0aa9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441C17B6C006147B9AF9AD50D625621" ma:contentTypeVersion="13" ma:contentTypeDescription="Create a new document." ma:contentTypeScope="" ma:versionID="b749f095ec6c1130b4dff2afd90042d8">
  <xsd:schema xmlns:xsd="http://www.w3.org/2001/XMLSchema" xmlns:xs="http://www.w3.org/2001/XMLSchema" xmlns:p="http://schemas.microsoft.com/office/2006/metadata/properties" xmlns:ns1="http://schemas.microsoft.com/sharepoint/v3" xmlns:ns2="704da589-9a5f-45d1-b9c9-18eae98c3af3" xmlns:ns3="68339cd5-4ed0-4715-a10c-fb6cfca0aa9a" targetNamespace="http://schemas.microsoft.com/office/2006/metadata/properties" ma:root="true" ma:fieldsID="0cbdaff6d6ee3764630b5f6ade14c026" ns1:_="" ns2:_="" ns3:_="">
    <xsd:import namespace="http://schemas.microsoft.com/sharepoint/v3"/>
    <xsd:import namespace="704da589-9a5f-45d1-b9c9-18eae98c3af3"/>
    <xsd:import namespace="68339cd5-4ed0-4715-a10c-fb6cfca0aa9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04da589-9a5f-45d1-b9c9-18eae98c3a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3e7742f-285e-485e-85d6-cdf9f73a73c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8339cd5-4ed0-4715-a10c-fb6cfca0aa9a"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241d24e2-75bd-489b-80c8-6337db1f4585}" ma:internalName="TaxCatchAll" ma:showField="CatchAllData" ma:web="68339cd5-4ed0-4715-a10c-fb6cfca0aa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F4A0CA-1061-4E44-97AD-FE6B7C5CCAD2}">
  <ds:schemaRefs>
    <ds:schemaRef ds:uri="http://schemas.microsoft.com/office/2006/documentManagement/types"/>
    <ds:schemaRef ds:uri="http://www.w3.org/XML/1998/namespace"/>
    <ds:schemaRef ds:uri="http://schemas.microsoft.com/office/2006/metadata/properties"/>
    <ds:schemaRef ds:uri="http://schemas.microsoft.com/sharepoint/v3"/>
    <ds:schemaRef ds:uri="http://schemas.microsoft.com/office/infopath/2007/PartnerControls"/>
    <ds:schemaRef ds:uri="http://purl.org/dc/elements/1.1/"/>
    <ds:schemaRef ds:uri="http://purl.org/dc/dcmitype/"/>
    <ds:schemaRef ds:uri="68339cd5-4ed0-4715-a10c-fb6cfca0aa9a"/>
    <ds:schemaRef ds:uri="http://schemas.openxmlformats.org/package/2006/metadata/core-properties"/>
    <ds:schemaRef ds:uri="704da589-9a5f-45d1-b9c9-18eae98c3af3"/>
    <ds:schemaRef ds:uri="http://purl.org/dc/terms/"/>
  </ds:schemaRefs>
</ds:datastoreItem>
</file>

<file path=customXml/itemProps2.xml><?xml version="1.0" encoding="utf-8"?>
<ds:datastoreItem xmlns:ds="http://schemas.openxmlformats.org/officeDocument/2006/customXml" ds:itemID="{B94778CF-F1F0-4BE2-9A72-1AF9A9A0166C}">
  <ds:schemaRefs>
    <ds:schemaRef ds:uri="http://schemas.microsoft.com/sharepoint/v3/contenttype/forms"/>
  </ds:schemaRefs>
</ds:datastoreItem>
</file>

<file path=customXml/itemProps3.xml><?xml version="1.0" encoding="utf-8"?>
<ds:datastoreItem xmlns:ds="http://schemas.openxmlformats.org/officeDocument/2006/customXml" ds:itemID="{0B0C8EA1-3CF4-44AE-8BFD-9E7B5389E9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04da589-9a5f-45d1-b9c9-18eae98c3af3"/>
    <ds:schemaRef ds:uri="68339cd5-4ed0-4715-a10c-fb6cfca0aa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30</vt:i4>
      </vt:variant>
      <vt:variant>
        <vt:lpstr>Named Ranges</vt:lpstr>
      </vt:variant>
      <vt:variant>
        <vt:i4>28</vt:i4>
      </vt:variant>
    </vt:vector>
  </HeadingPairs>
  <TitlesOfParts>
    <vt:vector size="58" baseType="lpstr">
      <vt:lpstr>Cover</vt:lpstr>
      <vt:lpstr>Contents</vt:lpstr>
      <vt:lpstr>Financial summary</vt:lpstr>
      <vt:lpstr>Data visualisation</vt:lpstr>
      <vt:lpstr>Pricing benchmarks summary</vt:lpstr>
      <vt:lpstr>1. Pipeline information</vt:lpstr>
      <vt:lpstr>2. Revenue and expenses</vt:lpstr>
      <vt:lpstr>2.1 Profit &amp; Loss by component</vt:lpstr>
      <vt:lpstr>2.2 Allocation to services</vt:lpstr>
      <vt:lpstr>2.3 Revenue contributions </vt:lpstr>
      <vt:lpstr>2.4 Indirect revenue</vt:lpstr>
      <vt:lpstr>2.5 Shared expenses</vt:lpstr>
      <vt:lpstr>3.1 Depreciated Book Value</vt:lpstr>
      <vt:lpstr>3.2 Regulatory Asset Base</vt:lpstr>
      <vt:lpstr>3.3 Asset useful life</vt:lpstr>
      <vt:lpstr>3.4 Asset impairment</vt:lpstr>
      <vt:lpstr>3.5 Depreciation amortisation</vt:lpstr>
      <vt:lpstr>3.6 Shared supporting assets</vt:lpstr>
      <vt:lpstr>Auditor's Report Statement</vt:lpstr>
      <vt:lpstr>4. Recovered Capital</vt:lpstr>
      <vt:lpstr>Auditor's Review Report RCM</vt:lpstr>
      <vt:lpstr>4.1 Pipelines capex</vt:lpstr>
      <vt:lpstr>Auditor's Review Report Capex</vt:lpstr>
      <vt:lpstr>5. Historical demand</vt:lpstr>
      <vt:lpstr>Auditor's Review Report Demand</vt:lpstr>
      <vt:lpstr>6. Pricing template</vt:lpstr>
      <vt:lpstr>7. Amendment record</vt:lpstr>
      <vt:lpstr>D.1.1 TB FY24</vt:lpstr>
      <vt:lpstr>Sheet1</vt:lpstr>
      <vt:lpstr>Amendment record</vt:lpstr>
      <vt:lpstr>ABN</vt:lpstr>
      <vt:lpstr>'1. Pipeline information'!Print_Area</vt:lpstr>
      <vt:lpstr>'2. Revenue and expenses'!Print_Area</vt:lpstr>
      <vt:lpstr>'2.1 Profit &amp; Loss by component'!Print_Area</vt:lpstr>
      <vt:lpstr>'2.2 Allocation to services'!Print_Area</vt:lpstr>
      <vt:lpstr>'2.3 Revenue contributions '!Print_Area</vt:lpstr>
      <vt:lpstr>'2.4 Indirect revenue'!Print_Area</vt:lpstr>
      <vt:lpstr>'2.5 Shared expenses'!Print_Area</vt:lpstr>
      <vt:lpstr>'3.1 Depreciated Book Value'!Print_Area</vt:lpstr>
      <vt:lpstr>'3.2 Regulatory Asset Base'!Print_Area</vt:lpstr>
      <vt:lpstr>'3.3 Asset useful life'!Print_Area</vt:lpstr>
      <vt:lpstr>'3.4 Asset impairment'!Print_Area</vt:lpstr>
      <vt:lpstr>'3.5 Depreciation amortisation'!Print_Area</vt:lpstr>
      <vt:lpstr>'3.6 Shared supporting assets'!Print_Area</vt:lpstr>
      <vt:lpstr>'4. Recovered Capital'!Print_Area</vt:lpstr>
      <vt:lpstr>'4.1 Pipelines capex'!Print_Area</vt:lpstr>
      <vt:lpstr>'5. Historical demand'!Print_Area</vt:lpstr>
      <vt:lpstr>Cover!Print_Area</vt:lpstr>
      <vt:lpstr>'Data visualisation'!Print_Area</vt:lpstr>
      <vt:lpstr>Sheet1!Print_Area</vt:lpstr>
      <vt:lpstr>rAllAssets</vt:lpstr>
      <vt:lpstr>rInitialcosts</vt:lpstr>
      <vt:lpstr>rInitialyears</vt:lpstr>
      <vt:lpstr>rPipelineAssets</vt:lpstr>
      <vt:lpstr>rSharedAssets</vt:lpstr>
      <vt:lpstr>Tradingname</vt:lpstr>
      <vt:lpstr>Yearending</vt:lpstr>
      <vt:lpstr>Yearstart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Zhang, Cathy</dc:creator>
  <cp:keywords/>
  <dc:description/>
  <cp:lastModifiedBy>Young, Scott</cp:lastModifiedBy>
  <cp:revision/>
  <dcterms:created xsi:type="dcterms:W3CDTF">2021-05-07T02:14:11Z</dcterms:created>
  <dcterms:modified xsi:type="dcterms:W3CDTF">2026-09-16T06:52:22Z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8e2e509a-f02b-496b-97a8-09ffbb9893ea_Enabled">
    <vt:lpwstr>true</vt:lpwstr>
  </property>
  <property fmtid="{D5CDD505-2E9C-101B-9397-08002B2CF9AE}" pid="5" name="MSIP_Label_8e2e509a-f02b-496b-97a8-09ffbb9893ea_SetDate">
    <vt:lpwstr>2025-12-12T05:14:07Z</vt:lpwstr>
  </property>
  <property fmtid="{D5CDD505-2E9C-101B-9397-08002B2CF9AE}" pid="6" name="MSIP_Label_8e2e509a-f02b-496b-97a8-09ffbb9893ea_Method">
    <vt:lpwstr>Privileged</vt:lpwstr>
  </property>
  <property fmtid="{D5CDD505-2E9C-101B-9397-08002B2CF9AE}" pid="7" name="MSIP_Label_8e2e509a-f02b-496b-97a8-09ffbb9893ea_Name">
    <vt:lpwstr>APA-Internal</vt:lpwstr>
  </property>
  <property fmtid="{D5CDD505-2E9C-101B-9397-08002B2CF9AE}" pid="8" name="MSIP_Label_8e2e509a-f02b-496b-97a8-09ffbb9893ea_SiteId">
    <vt:lpwstr>234ac309-c216-4661-a5ba-18879f6c4c75</vt:lpwstr>
  </property>
  <property fmtid="{D5CDD505-2E9C-101B-9397-08002B2CF9AE}" pid="9" name="MSIP_Label_8e2e509a-f02b-496b-97a8-09ffbb9893ea_ActionId">
    <vt:lpwstr>74343286-0218-4383-8c2c-6c7209311c31</vt:lpwstr>
  </property>
  <property fmtid="{D5CDD505-2E9C-101B-9397-08002B2CF9AE}" pid="10" name="MSIP_Label_8e2e509a-f02b-496b-97a8-09ffbb9893ea_ContentBits">
    <vt:lpwstr>2</vt:lpwstr>
  </property>
  <property fmtid="{D5CDD505-2E9C-101B-9397-08002B2CF9AE}" pid="11" name="MSIP_Label_8e2e509a-f02b-496b-97a8-09ffbb9893ea_Tag">
    <vt:lpwstr>10, 0, 1, 1</vt:lpwstr>
  </property>
  <property fmtid="{D5CDD505-2E9C-101B-9397-08002B2CF9AE}" pid="12" name="MediaServiceImageTags">
    <vt:lpwstr/>
  </property>
  <property fmtid="{D5CDD505-2E9C-101B-9397-08002B2CF9AE}" pid="13" name="ContentTypeId">
    <vt:lpwstr>0x0101009441C17B6C006147B9AF9AD50D625621</vt:lpwstr>
  </property>
</Properties>
</file>