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SYDDATA\Group$\Finance\Part 23 Reporting Non Scheme Assets\FY2021\1. Non Scheme Financial Reporting Template\8. MML (WA)\z. Deloitte\"/>
    </mc:Choice>
  </mc:AlternateContent>
  <xr:revisionPtr revIDLastSave="0" documentId="13_ncr:1_{C0D000F4-D42A-4C11-B377-383E79C344C2}" xr6:coauthVersionLast="46" xr6:coauthVersionMax="46" xr10:uidLastSave="{00000000-0000-0000-0000-000000000000}"/>
  <bookViews>
    <workbookView xWindow="28702" yWindow="-98" windowWidth="28995" windowHeight="15796" tabRatio="826" xr2:uid="{9A2DF18C-E668-48E2-8A78-6F2B803E293B}"/>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s>
  <externalReferences>
    <externalReference r:id="rId26"/>
    <externalReference r:id="rId27"/>
    <externalReference r:id="rId28"/>
    <externalReference r:id="rId29"/>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iterateCount="5" iterateDelta="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97" l="1"/>
  <c r="B6" i="97"/>
  <c r="B5" i="97" l="1"/>
  <c r="B4" i="97"/>
  <c r="F75" i="34" l="1"/>
  <c r="C33" i="55" l="1"/>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73" i="34" l="1"/>
  <c r="F72" i="34"/>
  <c r="F71" i="34"/>
  <c r="F70" i="34"/>
  <c r="F69" i="34"/>
  <c r="F68" i="34"/>
  <c r="F67" i="34"/>
  <c r="F66" i="34"/>
  <c r="F65" i="34"/>
  <c r="F64" i="34"/>
  <c r="F63" i="34"/>
  <c r="F62" i="34"/>
  <c r="F61" i="34"/>
  <c r="F60" i="34"/>
  <c r="D27" i="55" l="1"/>
  <c r="D16" i="55"/>
  <c r="D15" i="55"/>
  <c r="D14" i="55"/>
  <c r="D12" i="55"/>
  <c r="D11" i="55"/>
  <c r="D10" i="55"/>
  <c r="D9" i="55"/>
  <c r="F74" i="34" l="1"/>
  <c r="E16" i="34"/>
  <c r="E15" i="34"/>
  <c r="E14"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F36" i="16" s="1"/>
  <c r="E9" i="57"/>
  <c r="F57" i="68"/>
  <c r="K60" i="34"/>
  <c r="I22"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H32" i="47" s="1"/>
  <c r="BG16" i="47"/>
  <c r="BF16" i="47"/>
  <c r="BE16" i="47"/>
  <c r="BD16" i="47"/>
  <c r="BD24" i="47"/>
  <c r="BC16" i="47"/>
  <c r="BB16" i="47"/>
  <c r="BA16" i="47"/>
  <c r="AZ16" i="47"/>
  <c r="AY16" i="47"/>
  <c r="AX16" i="47"/>
  <c r="AX24" i="47" s="1"/>
  <c r="AW16" i="47"/>
  <c r="AV16" i="47"/>
  <c r="AU16" i="47"/>
  <c r="AT16" i="47"/>
  <c r="AS16" i="47"/>
  <c r="AR16" i="47"/>
  <c r="AQ16" i="47"/>
  <c r="AP16" i="47"/>
  <c r="AO16" i="47"/>
  <c r="AN16" i="47"/>
  <c r="AN32" i="47" s="1"/>
  <c r="AM16" i="47"/>
  <c r="AL16" i="47"/>
  <c r="AK16" i="47"/>
  <c r="AJ16" i="47"/>
  <c r="AI16" i="47"/>
  <c r="AH16" i="47"/>
  <c r="AG16" i="47"/>
  <c r="AF16" i="47"/>
  <c r="AF32" i="47" s="1"/>
  <c r="AE16" i="47"/>
  <c r="AD16" i="47"/>
  <c r="AC16" i="47"/>
  <c r="AB16" i="47"/>
  <c r="AA16" i="47"/>
  <c r="AA24" i="47" s="1"/>
  <c r="Z16" i="47"/>
  <c r="Z24" i="47" s="1"/>
  <c r="Y16" i="47"/>
  <c r="X16" i="47"/>
  <c r="W16" i="47"/>
  <c r="V16" i="47"/>
  <c r="U16" i="47"/>
  <c r="U24" i="47" s="1"/>
  <c r="T16" i="47"/>
  <c r="T24" i="47" s="1"/>
  <c r="S16" i="47"/>
  <c r="S24" i="47" s="1"/>
  <c r="R16" i="47"/>
  <c r="R24" i="47" s="1"/>
  <c r="Q16" i="47"/>
  <c r="P16" i="47"/>
  <c r="O16" i="47"/>
  <c r="N16" i="47"/>
  <c r="M16" i="47"/>
  <c r="L16" i="47"/>
  <c r="K16" i="47"/>
  <c r="J16" i="47"/>
  <c r="I16" i="47"/>
  <c r="H16" i="47"/>
  <c r="G16" i="47"/>
  <c r="F16" i="47"/>
  <c r="E29" i="47"/>
  <c r="C49" i="68" s="1"/>
  <c r="E22" i="47"/>
  <c r="E21" i="47"/>
  <c r="E20" i="47"/>
  <c r="E19" i="47"/>
  <c r="E18" i="47"/>
  <c r="E15"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51" i="6"/>
  <c r="D16" i="54"/>
  <c r="E10" i="47"/>
  <c r="E36" i="45"/>
  <c r="C15" i="57"/>
  <c r="D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AL24" i="47"/>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67" i="34"/>
  <c r="K68" i="34"/>
  <c r="M68" i="34" s="1"/>
  <c r="K69" i="34"/>
  <c r="K70" i="34"/>
  <c r="K71" i="34"/>
  <c r="K74" i="34"/>
  <c r="N74" i="34" s="1"/>
  <c r="K61" i="34"/>
  <c r="K62" i="34"/>
  <c r="K63" i="34"/>
  <c r="K64" i="34"/>
  <c r="K65" i="34"/>
  <c r="K76" i="34"/>
  <c r="N76"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BE32" i="47"/>
  <c r="BG32" i="47"/>
  <c r="E26" i="47"/>
  <c r="C46" i="68" s="1"/>
  <c r="E27" i="47"/>
  <c r="C47" i="68" s="1"/>
  <c r="E28" i="47"/>
  <c r="C48" i="68" s="1"/>
  <c r="E30" i="47"/>
  <c r="C50" i="68" s="1"/>
  <c r="D18" i="54"/>
  <c r="AL14" i="54"/>
  <c r="S14" i="54"/>
  <c r="L14" i="54"/>
  <c r="AL13" i="54"/>
  <c r="AL20" i="54" s="1"/>
  <c r="S13" i="54"/>
  <c r="AL12" i="54"/>
  <c r="S12" i="54"/>
  <c r="I40" i="5"/>
  <c r="I39" i="5"/>
  <c r="I38" i="5"/>
  <c r="I37" i="5"/>
  <c r="I36" i="5"/>
  <c r="I35" i="5"/>
  <c r="I34" i="5"/>
  <c r="I33" i="5"/>
  <c r="I32" i="5"/>
  <c r="H30" i="5"/>
  <c r="G30" i="5"/>
  <c r="I29" i="5"/>
  <c r="I27" i="5"/>
  <c r="I26" i="5"/>
  <c r="I25" i="5"/>
  <c r="I24" i="5"/>
  <c r="H19" i="5"/>
  <c r="I18" i="5"/>
  <c r="I19" i="5"/>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H36" i="45" s="1"/>
  <c r="E18" i="5" s="1"/>
  <c r="E19" i="5" s="1"/>
  <c r="D10" i="68" s="1"/>
  <c r="D36" i="45"/>
  <c r="G10" i="45"/>
  <c r="G11" i="45"/>
  <c r="G36" i="45" s="1"/>
  <c r="D18" i="5" s="1"/>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78" i="34"/>
  <c r="J53" i="34"/>
  <c r="K77" i="34"/>
  <c r="N77" i="34" s="1"/>
  <c r="K66" i="34"/>
  <c r="L78" i="34"/>
  <c r="L49" i="34"/>
  <c r="O49" i="34" s="1"/>
  <c r="L50" i="34"/>
  <c r="O50" i="34" s="1"/>
  <c r="L51" i="34"/>
  <c r="O51" i="34" s="1"/>
  <c r="L52" i="34"/>
  <c r="O52" i="34" s="1"/>
  <c r="M53" i="34"/>
  <c r="H53" i="34"/>
  <c r="G19" i="5"/>
  <c r="BE24" i="47"/>
  <c r="BA24" i="47"/>
  <c r="BG24" i="47"/>
  <c r="AG24" i="47"/>
  <c r="AK24" i="47"/>
  <c r="BF24" i="47"/>
  <c r="BH24" i="47"/>
  <c r="D13" i="6"/>
  <c r="D16" i="6" s="1"/>
  <c r="D58" i="6"/>
  <c r="D30" i="6"/>
  <c r="S20" i="54"/>
  <c r="D14" i="54"/>
  <c r="D44" i="6"/>
  <c r="D23" i="6"/>
  <c r="O9" i="34" l="1"/>
  <c r="H20" i="5"/>
  <c r="M24" i="47"/>
  <c r="C23" i="68"/>
  <c r="C27" i="68"/>
  <c r="C24" i="68"/>
  <c r="C26" i="68"/>
  <c r="C21" i="68"/>
  <c r="C25" i="68"/>
  <c r="C19" i="68"/>
  <c r="C20" i="68"/>
  <c r="C22" i="68"/>
  <c r="M60" i="34"/>
  <c r="N60" i="34" s="1"/>
  <c r="X32" i="47"/>
  <c r="AC32" i="47"/>
  <c r="F32" i="5"/>
  <c r="F39" i="5"/>
  <c r="F36" i="5"/>
  <c r="F38" i="5"/>
  <c r="F34" i="5"/>
  <c r="F37" i="5"/>
  <c r="F33" i="5"/>
  <c r="D19" i="5"/>
  <c r="C10" i="68" s="1"/>
  <c r="F18" i="5"/>
  <c r="F19" i="5" s="1"/>
  <c r="E10" i="68" s="1"/>
  <c r="F12" i="5"/>
  <c r="BF32" i="47"/>
  <c r="E15" i="57"/>
  <c r="F19" i="56"/>
  <c r="F18" i="56"/>
  <c r="M64" i="34"/>
  <c r="N64" i="34" s="1"/>
  <c r="M65" i="34"/>
  <c r="N65" i="34" s="1"/>
  <c r="M63" i="34"/>
  <c r="N63" i="34" s="1"/>
  <c r="M61" i="34"/>
  <c r="N61" i="34" s="1"/>
  <c r="M62" i="34"/>
  <c r="N62" i="34" s="1"/>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M70" i="34"/>
  <c r="N70" i="34" s="1"/>
  <c r="M69" i="34"/>
  <c r="N69" i="34" s="1"/>
  <c r="N68" i="34"/>
  <c r="M71" i="34"/>
  <c r="N71" i="34" s="1"/>
  <c r="M66" i="34"/>
  <c r="N66" i="34" s="1"/>
  <c r="M67" i="34"/>
  <c r="N67" i="34" s="1"/>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C29" i="68" l="1"/>
  <c r="I42" i="5"/>
  <c r="E24" i="47"/>
  <c r="D106" i="68" s="1"/>
  <c r="D47" i="68"/>
  <c r="G63" i="68"/>
  <c r="D54" i="68"/>
  <c r="D49" i="68"/>
  <c r="F60" i="68"/>
  <c r="G62" i="68"/>
  <c r="F62" i="68"/>
  <c r="D46" i="68"/>
  <c r="F63" i="68"/>
  <c r="G61" i="68"/>
  <c r="D48" i="68"/>
  <c r="F59" i="68"/>
  <c r="D52" i="68"/>
  <c r="G58" i="68"/>
  <c r="D51" i="68"/>
  <c r="F61" i="68"/>
  <c r="D50" i="68"/>
  <c r="F58" i="68"/>
  <c r="G59" i="68"/>
  <c r="G60" i="68"/>
  <c r="I43" i="5"/>
  <c r="D57" i="68"/>
  <c r="E62" i="68"/>
  <c r="E60" i="68"/>
  <c r="E63" i="68"/>
  <c r="E59" i="68"/>
  <c r="E58" i="68"/>
  <c r="E61" i="68"/>
  <c r="E32" i="47"/>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100" i="6"/>
  <c r="D37" i="68" s="1"/>
  <c r="C52" i="68" l="1"/>
  <c r="D104" i="68" s="1"/>
  <c r="C44" i="68"/>
  <c r="D105" i="68"/>
  <c r="D53" i="68"/>
  <c r="C57" i="68"/>
  <c r="D59" i="68"/>
  <c r="D62" i="68"/>
  <c r="D61" i="68"/>
  <c r="D60" i="68"/>
  <c r="D63" i="68"/>
  <c r="D58" i="68"/>
  <c r="C59" i="68" l="1"/>
  <c r="C58" i="68"/>
  <c r="C61" i="68"/>
  <c r="C62" i="68"/>
  <c r="C60" i="68"/>
  <c r="C63" i="68"/>
  <c r="K72" i="34" l="1"/>
  <c r="M72" i="34" l="1"/>
  <c r="N72" i="34" l="1"/>
  <c r="D86" i="6"/>
  <c r="H12" i="16" l="1"/>
  <c r="I12" i="16"/>
  <c r="E35" i="5" s="1"/>
  <c r="D35" i="5" l="1"/>
  <c r="F35" i="5" s="1"/>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F12" i="56" l="1"/>
  <c r="E21" i="56" l="1"/>
  <c r="E11" i="5" s="1"/>
  <c r="E16" i="5" s="1"/>
  <c r="D9" i="68" l="1"/>
  <c r="E20" i="5"/>
  <c r="D11" i="68" l="1"/>
  <c r="F11" i="56" l="1"/>
  <c r="F20" i="56" l="1"/>
  <c r="F21" i="56" s="1"/>
  <c r="D21" i="56"/>
  <c r="D11" i="5" s="1"/>
  <c r="F11" i="5" l="1"/>
  <c r="D16" i="5"/>
  <c r="D20" i="5" l="1"/>
  <c r="F16" i="5"/>
  <c r="C9" i="68"/>
  <c r="E9" i="68" l="1"/>
  <c r="F20" i="5"/>
  <c r="C108" i="68"/>
  <c r="C109" i="68"/>
  <c r="C11" i="68"/>
  <c r="E11" i="68" l="1"/>
  <c r="F25" i="5"/>
  <c r="F28" i="5"/>
  <c r="F29" i="5"/>
  <c r="F26" i="5"/>
  <c r="F23" i="5"/>
  <c r="F22" i="5" l="1"/>
  <c r="D77" i="6" l="1"/>
  <c r="K53" i="34"/>
  <c r="D74" i="6"/>
  <c r="I53" i="34"/>
  <c r="L18" i="34"/>
  <c r="D76" i="6" l="1"/>
  <c r="D78" i="6" s="1"/>
  <c r="N53" i="34"/>
  <c r="D115" i="68" s="1"/>
  <c r="O18" i="34"/>
  <c r="O53" i="34" s="1"/>
  <c r="L53" i="34"/>
  <c r="C28" i="68" l="1"/>
  <c r="D80" i="6"/>
  <c r="F27" i="5"/>
  <c r="E30" i="5" l="1"/>
  <c r="D12" i="68" s="1"/>
  <c r="F24" i="5"/>
  <c r="D30" i="5"/>
  <c r="C12" i="68" s="1"/>
  <c r="E36" i="59"/>
  <c r="C30" i="68"/>
  <c r="C115" i="68" l="1"/>
  <c r="F30" i="5"/>
  <c r="E12" i="68" l="1"/>
  <c r="H18" i="16" l="1"/>
  <c r="I18" i="16"/>
  <c r="G19" i="16"/>
  <c r="D94" i="6"/>
  <c r="E17" i="16" l="1"/>
  <c r="E36" i="16" s="1"/>
  <c r="K75" i="34"/>
  <c r="N75" i="34" s="1"/>
  <c r="D91" i="6"/>
  <c r="H78" i="34"/>
  <c r="G9" i="59"/>
  <c r="G10" i="59"/>
  <c r="D93" i="6"/>
  <c r="M78" i="34"/>
  <c r="G20" i="16"/>
  <c r="H19" i="16"/>
  <c r="I19" i="16"/>
  <c r="G36" i="59" l="1"/>
  <c r="D116" i="68"/>
  <c r="H20" i="16"/>
  <c r="I20" i="16"/>
  <c r="I17" i="16" s="1"/>
  <c r="D95" i="6"/>
  <c r="J78" i="34"/>
  <c r="D87" i="6"/>
  <c r="C32" i="68" l="1"/>
  <c r="E40" i="5"/>
  <c r="E41" i="5" s="1"/>
  <c r="I36" i="16"/>
  <c r="C116" i="68"/>
  <c r="G78" i="34"/>
  <c r="D83" i="6"/>
  <c r="D88" i="6" s="1"/>
  <c r="K73" i="34"/>
  <c r="H17" i="16"/>
  <c r="E42" i="5" l="1"/>
  <c r="D13" i="68"/>
  <c r="C31" i="68"/>
  <c r="N73" i="34"/>
  <c r="K78" i="34"/>
  <c r="D40" i="5"/>
  <c r="H36" i="16"/>
  <c r="F40" i="5" l="1"/>
  <c r="F41" i="5" s="1"/>
  <c r="D41" i="5"/>
  <c r="N78" i="34"/>
  <c r="D14" i="68"/>
  <c r="E43" i="5"/>
  <c r="D15" i="68" s="1"/>
  <c r="C13" i="68" l="1"/>
  <c r="D42" i="5"/>
  <c r="F42" i="5"/>
  <c r="E13" i="68"/>
  <c r="F43" i="5" l="1"/>
  <c r="E14" i="68"/>
  <c r="C111" i="68"/>
  <c r="D43" i="5"/>
  <c r="C15" i="68" s="1"/>
  <c r="C14" i="68"/>
  <c r="C110" i="68"/>
  <c r="E15" i="68" l="1"/>
  <c r="C8" i="52"/>
  <c r="C35" i="68" l="1"/>
  <c r="C33" i="68"/>
  <c r="D99" i="6"/>
  <c r="C34" i="68"/>
  <c r="D100" i="6" l="1"/>
  <c r="C36" i="68"/>
  <c r="C105" i="68" l="1"/>
  <c r="C37" i="68"/>
  <c r="C104" i="68" s="1"/>
  <c r="C9" i="52"/>
  <c r="C106" i="68"/>
  <c r="C10" i="52" l="1"/>
  <c r="C38" i="68" s="1"/>
</calcChain>
</file>

<file path=xl/sharedStrings.xml><?xml version="1.0" encoding="utf-8"?>
<sst xmlns="http://schemas.openxmlformats.org/spreadsheetml/2006/main" count="1373" uniqueCount="684">
  <si>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</si>
  <si>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</si>
  <si>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</si>
  <si>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</si>
  <si>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</si>
  <si>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</si>
  <si>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</si>
  <si>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</si>
  <si>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</si>
  <si>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</si>
  <si>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</si>
  <si>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</si>
  <si>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</si>
  <si>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</si>
  <si>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</si>
  <si>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</si>
  <si>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</si>
  <si>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</si>
  <si>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</si>
  <si>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</si>
  <si>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</si>
  <si>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</si>
  <si>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</si>
  <si>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</si>
  <si>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</si>
  <si>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</si>
  <si>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</si>
  <si>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</si>
  <si>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</si>
  <si>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</si>
  <si>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</si>
  <si>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</si>
  <si>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</si>
  <si>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</si>
  <si>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</si>
  <si>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</si>
  <si>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</si>
  <si>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</si>
  <si>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</si>
  <si>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</si>
  <si>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</si>
  <si>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</si>
  <si>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</si>
  <si>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</si>
  <si>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</si>
  <si>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</si>
  <si>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</si>
  <si>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</si>
  <si>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</si>
  <si>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</si>
  <si>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</si>
  <si>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</si>
  <si>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</si>
  <si>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</si>
  <si>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</si>
  <si>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</si>
  <si>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</si>
  <si>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</si>
  <si>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</si>
  <si>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</si>
  <si>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</si>
  <si>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</si>
  <si>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</si>
  <si>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</si>
  <si>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</si>
  <si>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</si>
  <si>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</si>
  <si>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</si>
  <si>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</si>
  <si>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</si>
  <si>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</si>
  <si>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</si>
  <si>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</si>
  <si>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</si>
  <si>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</si>
  <si>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</si>
  <si>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</si>
  <si>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</si>
  <si>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</si>
  <si>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</si>
  <si>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</si>
  <si>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</si>
  <si>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</si>
  <si>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</si>
  <si>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</si>
  <si>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</si>
  <si>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</si>
  <si>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</si>
  <si>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</si>
  <si>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</si>
  <si>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</si>
  <si>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</si>
  <si>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</si>
  <si>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</si>
  <si>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</si>
  <si>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</si>
  <si>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</si>
  <si>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</si>
  <si>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</si>
  <si>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</si>
  <si>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</si>
  <si>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</si>
  <si>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</si>
  <si>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</si>
  <si>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</si>
  <si>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</si>
  <si>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</si>
  <si>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</si>
  <si>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</si>
  <si>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</si>
  <si>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</si>
  <si>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</si>
  <si>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</si>
  <si>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</si>
  <si>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</si>
  <si>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</si>
  <si>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</si>
  <si>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</si>
  <si>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</si>
  <si>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</si>
  <si>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</si>
  <si>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</si>
  <si>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</si>
  <si>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</si>
  <si>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</si>
  <si>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</si>
  <si>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</si>
  <si>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</si>
  <si>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</si>
  <si>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</si>
  <si>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</si>
  <si>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</si>
  <si>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</si>
  <si>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</si>
  <si>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</si>
  <si>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</si>
  <si>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</si>
  <si>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</si>
  <si>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</si>
  <si>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</si>
  <si>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</si>
  <si>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</si>
  <si>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</si>
  <si>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</si>
  <si>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</si>
  <si>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</si>
  <si>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</si>
  <si>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</si>
  <si>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</si>
  <si>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</si>
  <si>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</si>
  <si>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</si>
  <si>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</si>
  <si>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</si>
  <si>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</si>
  <si>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</si>
  <si>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</si>
  <si>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</si>
  <si>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</si>
  <si>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</si>
  <si>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</si>
  <si>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</si>
  <si>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</si>
  <si>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</si>
  <si>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</si>
  <si>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</si>
  <si>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</si>
  <si>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</si>
  <si>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</si>
  <si>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</si>
  <si>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</si>
  <si>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</si>
  <si>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</si>
  <si>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</si>
  <si>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</si>
  <si>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</si>
  <si>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</si>
  <si>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</si>
  <si>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</si>
  <si>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</si>
  <si>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</si>
  <si>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</si>
  <si>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</si>
  <si>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</si>
  <si>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</si>
  <si>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</si>
  <si>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</si>
  <si>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</si>
  <si>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</si>
  <si>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</si>
  <si>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</si>
  <si>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</si>
  <si>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</si>
  <si>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</si>
  <si>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</si>
  <si>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</si>
  <si>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</si>
  <si>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</si>
  <si>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</si>
  <si>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</si>
  <si>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</si>
  <si>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</si>
  <si>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</si>
  <si>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</si>
  <si>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</si>
  <si>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</si>
  <si>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</si>
  <si>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</si>
  <si>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</si>
  <si>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</si>
  <si>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</si>
  <si>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</si>
  <si>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</si>
  <si>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</si>
  <si>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</si>
  <si>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</si>
  <si>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</si>
  <si>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</si>
  <si>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</si>
  <si>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</si>
  <si>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</si>
  <si>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</si>
  <si>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</si>
  <si>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</si>
  <si>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</si>
  <si>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</si>
  <si>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</si>
  <si>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</si>
  <si>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</si>
  <si>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</si>
  <si>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</si>
  <si>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</si>
  <si>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</si>
  <si>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</si>
  <si>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</si>
  <si>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</si>
  <si>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</si>
  <si>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</si>
  <si>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</si>
  <si>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</si>
  <si>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</si>
  <si>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</si>
  <si>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</si>
  <si>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</si>
  <si>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</si>
  <si>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</si>
  <si>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</si>
  <si>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</si>
  <si>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</si>
  <si>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</si>
  <si>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</si>
  <si>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</si>
  <si>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</si>
  <si>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</si>
  <si>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</si>
  <si>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</si>
  <si>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</si>
  <si>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</si>
  <si>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</si>
  <si>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</si>
  <si>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</si>
  <si>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</si>
  <si>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</si>
  <si>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</si>
  <si>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</si>
  <si>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</si>
  <si>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</si>
  <si>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</si>
  <si>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</si>
  <si>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</si>
  <si>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</si>
  <si>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</si>
  <si>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</si>
  <si>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</si>
  <si>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</si>
  <si>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</si>
  <si>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</si>
  <si>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</si>
  <si>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</si>
  <si>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</si>
  <si>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</si>
  <si>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</si>
  <si>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</si>
  <si>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</si>
  <si>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</si>
  <si>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</si>
  <si>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</si>
  <si>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</si>
  <si>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</si>
  <si>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</si>
  <si>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</si>
  <si>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</si>
  <si>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</si>
  <si>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</si>
  <si>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</si>
  <si>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</si>
  <si>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</si>
  <si>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</si>
  <si>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</si>
  <si>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</si>
  <si>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</si>
  <si>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</si>
  <si>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</si>
  <si>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</si>
  <si>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</si>
  <si>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</si>
  <si>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</si>
  <si>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</si>
  <si>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</si>
  <si>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</si>
  <si>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</si>
  <si>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</si>
  <si>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</si>
  <si>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</si>
  <si>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</si>
  <si>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</si>
  <si>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</si>
  <si>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</si>
  <si>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</si>
  <si>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</si>
  <si>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</si>
  <si>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</si>
  <si>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</si>
  <si>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</si>
  <si>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</si>
  <si>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</si>
  <si>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</si>
  <si>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</si>
  <si>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</si>
  <si>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</si>
  <si>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</si>
  <si>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</si>
  <si>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</si>
  <si>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</si>
  <si>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</si>
  <si>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</si>
  <si>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</si>
  <si>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</si>
  <si>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</si>
  <si>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</si>
  <si>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</si>
  <si>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</si>
  <si>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</si>
  <si>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</si>
  <si>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</si>
  <si>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</si>
  <si>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</si>
  <si>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</si>
  <si>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</si>
  <si>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</si>
  <si>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</si>
  <si>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</si>
  <si>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</si>
  <si>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</si>
  <si>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</si>
  <si>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</si>
  <si>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</si>
  <si>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</si>
  <si>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</si>
  <si>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</si>
  <si>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</si>
  <si>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</si>
  <si>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</si>
  <si>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</si>
  <si>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</si>
  <si>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</si>
  <si>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</si>
  <si>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</si>
  <si>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</si>
  <si>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</si>
  <si>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</si>
  <si>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</si>
  <si>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</si>
  <si>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</si>
  <si>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</si>
  <si>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</si>
  <si>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</si>
  <si>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</si>
  <si>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</si>
  <si>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</si>
  <si>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</si>
  <si>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</si>
  <si>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</si>
  <si>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</si>
  <si>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</si>
  <si>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</si>
  <si>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</si>
  <si>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</si>
  <si>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</si>
  <si>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</si>
  <si>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</si>
  <si>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</si>
  <si>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</si>
  <si>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</si>
  <si>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</si>
  <si>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</si>
  <si>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</si>
  <si>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</si>
  <si>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</si>
  <si>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</si>
  <si>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</si>
  <si>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</si>
  <si>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</si>
  <si>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</si>
  <si>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</si>
  <si>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</si>
  <si>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</si>
  <si>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</si>
  <si>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</si>
  <si>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</si>
  <si>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</si>
  <si>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</si>
  <si>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</si>
  <si>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</si>
  <si>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</si>
  <si>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</si>
  <si>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</si>
  <si>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</si>
  <si>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</si>
  <si>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</si>
  <si>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</si>
  <si>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</si>
  <si>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</si>
  <si>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</si>
  <si>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</si>
  <si>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</si>
  <si>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</si>
  <si>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</si>
  <si>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</si>
  <si>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</si>
  <si>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</si>
  <si>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</si>
  <si>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</si>
  <si>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</si>
  <si>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</si>
  <si>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</si>
  <si>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</si>
  <si>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</si>
  <si>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</si>
  <si>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</si>
  <si>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</si>
  <si>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</si>
  <si>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</si>
  <si>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</si>
  <si>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</si>
  <si>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</si>
  <si>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</si>
  <si>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</si>
  <si>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</si>
  <si>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</si>
  <si>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</si>
  <si>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</si>
  <si>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</si>
  <si>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</si>
  <si>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</si>
  <si>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</si>
  <si>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</si>
  <si>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</si>
  <si>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</si>
  <si>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</si>
  <si>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</si>
  <si>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</si>
  <si>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</si>
  <si>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</si>
  <si>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</si>
  <si>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</si>
  <si>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</si>
  <si>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</si>
  <si>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</si>
  <si>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</si>
  <si>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</si>
  <si>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</si>
  <si>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</si>
  <si>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</si>
  <si>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</si>
  <si>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</si>
  <si>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</si>
  <si>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</si>
  <si>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</si>
  <si>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</si>
  <si>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</si>
  <si>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</si>
  <si>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</si>
  <si>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</si>
  <si>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</si>
  <si>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</si>
  <si>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</si>
  <si>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</si>
  <si>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</si>
  <si>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</si>
  <si>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</si>
  <si>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</si>
  <si>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</si>
  <si>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</si>
  <si>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</si>
  <si>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</si>
  <si>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</si>
  <si>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</si>
  <si>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</si>
  <si>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</si>
  <si>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</si>
  <si>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</si>
  <si>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</si>
  <si>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</si>
  <si>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</si>
  <si>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</si>
  <si>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</si>
  <si>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</si>
  <si>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</si>
  <si>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</si>
  <si>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</si>
  <si>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</si>
  <si>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</si>
  <si>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</si>
  <si>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</si>
  <si>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</si>
  <si>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</si>
  <si>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</si>
  <si>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</si>
  <si>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</si>
  <si>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</si>
  <si>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</si>
  <si>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</si>
  <si>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</si>
  <si>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</si>
  <si>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</si>
  <si>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</si>
  <si>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</si>
  <si>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</si>
  <si>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</si>
  <si>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</si>
  <si>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</si>
  <si>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</si>
  <si>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</si>
  <si>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</si>
  <si>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</si>
  <si>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</si>
  <si>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</si>
  <si>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</si>
  <si>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</si>
  <si>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</si>
  <si>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</si>
  <si>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</si>
  <si>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</si>
  <si>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</si>
  <si>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</si>
  <si>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</si>
  <si>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</si>
  <si>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</si>
  <si>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</si>
  <si>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</si>
  <si>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</si>
  <si>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</si>
  <si>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</si>
  <si>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</si>
  <si>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</si>
  <si>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</si>
  <si>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</si>
  <si>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</si>
  <si>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</si>
  <si>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</si>
  <si>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</si>
  <si>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</si>
  <si>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</si>
  <si>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</si>
  <si>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</si>
  <si>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</si>
  <si>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</si>
  <si>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</si>
  <si>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</si>
  <si>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</si>
  <si>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</si>
  <si>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</si>
  <si>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</si>
  <si>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</si>
  <si>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</si>
  <si>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</si>
  <si>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</si>
  <si>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</si>
  <si>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</si>
  <si>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</si>
  <si>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</si>
  <si>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</si>
  <si>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</si>
  <si>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</si>
  <si>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</si>
  <si>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Western Australia</t>
  </si>
  <si>
    <t>FY20</t>
  </si>
  <si>
    <t>FY19</t>
  </si>
  <si>
    <t>FY21</t>
  </si>
  <si>
    <t>Murrin Murrin Lateral</t>
  </si>
  <si>
    <t>3.2.1</t>
  </si>
  <si>
    <t>2.3.1 &amp; 2.3.1.1</t>
  </si>
  <si>
    <t>2.3.2</t>
  </si>
  <si>
    <t>2.3.2.1</t>
  </si>
  <si>
    <t>2.4.4</t>
  </si>
  <si>
    <t>2.3.2.2</t>
  </si>
  <si>
    <t>Customer Contributions</t>
  </si>
  <si>
    <t>APA OPERATIONS PTY LIMITED</t>
  </si>
  <si>
    <t>79 123 090 933</t>
  </si>
  <si>
    <t>Per Appendix A - Pipeline asset lives</t>
  </si>
  <si>
    <t>Indefinite</t>
  </si>
  <si>
    <t>During FY08</t>
  </si>
  <si>
    <t>During FY09</t>
  </si>
  <si>
    <t>During FY10</t>
  </si>
  <si>
    <t>During FY11</t>
  </si>
  <si>
    <t>During FY12</t>
  </si>
  <si>
    <t>Compressor station and other Stay in Business items</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</si>
  <si>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</si>
  <si>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</si>
  <si>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</si>
  <si>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</si>
  <si>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</si>
  <si>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</si>
  <si>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</si>
  <si>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</si>
  <si>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</si>
  <si>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</si>
  <si>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</si>
  <si>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</si>
  <si>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</si>
  <si>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</si>
  <si>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</si>
  <si>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</si>
  <si>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</si>
  <si>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</si>
  <si>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</si>
  <si>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</si>
  <si>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</si>
  <si>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</si>
  <si>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</si>
  <si>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</si>
  <si>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</si>
  <si>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</si>
  <si>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</si>
  <si>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</si>
  <si>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</si>
  <si>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</si>
  <si>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</si>
  <si>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</si>
  <si>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</si>
  <si>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</si>
  <si>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</si>
  <si>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Other non-depreciable pipeline assets includes other elements of total assets reported in Balance Sheet (e.g. debtors, capital work in progress, contract intangibles etc.).  </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</si>
  <si>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</si>
  <si>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</si>
  <si>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</si>
  <si>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Shared assets represents mainly Information Technology assets and other assets such as office related assets and motor vehicles. The values are reported on a gross book basis.</t>
  </si>
  <si>
    <t xml:space="preserve">Net tax liabilities incorporates mid-year tax depreciation for capital expenditure incurred during the fiscal year. </t>
  </si>
  <si>
    <t xml:space="preserve">Capital expenditure is reported in the period commissioned and excludes capital work in progress.  The reported capital additions include capitalised maintenance costs.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</si>
  <si>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</si>
  <si>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</si>
  <si>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</si>
  <si>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</si>
  <si>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</si>
  <si>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</si>
  <si>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</si>
  <si>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</si>
  <si>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</si>
  <si>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Yes</t>
  </si>
  <si>
    <t>4.4.1</t>
  </si>
  <si>
    <t>4.4.2</t>
  </si>
  <si>
    <t>4.4.3</t>
  </si>
  <si>
    <t xml:space="preserve">In the Statement of Revenue and Expenses, depreciation on shared Right of Use assets and interest expense relating to the Shared asset RoU is included in line item “Other shared costs” (row 40).  </t>
  </si>
  <si>
    <t xml:space="preserve">Interest expense relating to Directly attributable lease liability is reported on row 27 “Directly attributable finance charges”. </t>
  </si>
  <si>
    <t>APA has reported the information by asset categories in a summary line reflective of all assets acquired from inception to 30 June 2021.</t>
  </si>
  <si>
    <t xml:space="preserve">Other depreciable pipeline assets includes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2021.  </t>
  </si>
  <si>
    <t>Murrin Offtake Station Upgrade and other Stay in Business items</t>
  </si>
  <si>
    <t>Murrin pipeline and other Stay in Business items</t>
  </si>
  <si>
    <t>Bruce Song (Investor Relations Analyst - Investor Rel &amp; Analytics)</t>
  </si>
  <si>
    <t>3.4.1 in Basis of preparation &amp; 6. Notes in this reporting template</t>
  </si>
  <si>
    <t>I29</t>
  </si>
  <si>
    <t>Wrap text</t>
  </si>
  <si>
    <t>+61 (2) 9275 0052</t>
  </si>
  <si>
    <t>4.1</t>
  </si>
  <si>
    <t>C39</t>
  </si>
  <si>
    <t>Format changed to comma style and rounded off to nearest whole number</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</si>
  <si>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FY 2021, APA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APA’s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</si>
  <si>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The financial reporting under non scheme is an annual reporting requirement for APA's non scheme pipelines, requiring annual publishing by 31 October 2021. As the deadline for the year ended 30 June 2021 falls on a weekend, the information was published the next business day - Monday 1st November 2021.</t>
  </si>
  <si>
    <t xml:space="preserve">For FY 21 the ERA template was updated for AASB 16 disclosures (6 July 2021), APA has therefore used the current templates from the ERA website and the impact of AASB 16 has been included in dedicated new line items in the Statement of Revenue and expenses, Statement of Pipeline Assets and the RCM. As a result previously summarised amounts are now separately presented. </t>
  </si>
  <si>
    <r>
      <rPr>
        <b/>
        <sz val="10.5"/>
        <rFont val="Century Gothic"/>
        <family val="2"/>
      </rPr>
      <t>Negative residual value</t>
    </r>
    <r>
      <rPr>
        <sz val="10.5"/>
        <rFont val="Century Gothic"/>
        <family val="2"/>
      </rPr>
      <t xml:space="preserve">
Negative residual values for RCM purposes have been reported in the year ended 30 June 2021, following the establishment of pipeline specific estimation processes in the reporting period. Management has estimated the costs of undertaking the necessary decommissioning costs as if these activities were undertaken today, given today’s costs and today’s legislated environmental requirements.  This amount was then deflated by actual inflation to derive the amount to be recorded in the year the pipeline construction was completed.  An initial negative residual value of $731,028 was recognised in the year the pipeline construction was completed, representing 4.5% of the RCM at the time of construction completion. 
The recognition of the Negative residual values resulted in an increase of 11.14% or $6,053,785 of the pipeline’s RCM value as at 30 June 2021. 
These amounts are deemed immaterial for the users of the financial information. On that basis, APA has not restated previously published pipeline financial information. 
For further information on negative residual values, please refer to section 3.2.6 in the Basis of Preparation.</t>
    </r>
  </si>
  <si>
    <r>
      <rPr>
        <b/>
        <sz val="10.5"/>
        <rFont val="Century Gothic"/>
        <family val="2"/>
      </rPr>
      <t>Change in accounting policy – Software-as-a-Service arrangements</t>
    </r>
    <r>
      <rPr>
        <sz val="10.5"/>
        <rFont val="Century Gothic"/>
        <family val="2"/>
      </rPr>
      <t xml:space="preserve">
During the year,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related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the current year’s profit or loss in the ‘Statement of Pipeline Revenue and Expenses’ and the ‘Recovered Capital Method’.
For Part 23 reporting, capitalised implementation cost relating to SaaS arrangements were de-recognised in FY 21 through a decrease in the current year allocation of shared support assets. 
Included in the total corporate expenditure of $836,640 recorded in the current year’s profit or loss in the ‘Statement of Pipeline Revenue and Expenses’ is $120,886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current nor prior periods Part 23 Financial Reporting. On that basis, APA has not restated the prior period comparative amounts in the ‘Statement of Pipeline Revenue and Expenses’ nor the ‘Recovered Capital Method’. </t>
    </r>
  </si>
  <si>
    <r>
      <rPr>
        <b/>
        <sz val="10.5"/>
        <rFont val="Century Gothic"/>
        <family val="2"/>
      </rPr>
      <t>Cut off</t>
    </r>
    <r>
      <rPr>
        <sz val="10.5"/>
        <rFont val="Century Gothic"/>
        <family val="2"/>
      </rPr>
      <t xml:space="preserve">
APA identified pipeline asset additions recorded during 2021 amounting to $528,582  which related to assets placed in service in a prior period (2020 $528,582). The comparative period included in the Statement of Pipeline Assets and the Recovered Capital Method have been restated to correctly reflect the additions during the year in which they should be recognised. The impact of the change was assessed as being immaterial. </t>
    </r>
  </si>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</sst>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_(* #,##0.0000_);_(* \(#,##0.0000\);_(* &quot;-&quot;_);_(@_)"/>
  </numFmts>
  <fonts count="86" x14ac:knownFonts="1">
    <font>
      <sz val="10"/>
      <name val="Arial"/>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b/>
      <sz val="10.5"/>
      <name val="Century Gothic"/>
      <family val="2"/>
    </font>
    <font>
      <sz val="10"/>
      <name val="Arial"/>
      <family val="2"/>
    </font>
    <font>
      <u/>
      <sz val="10"/>
      <color theme="10"/>
      <name val="Arial"/>
      <family val="2"/>
    </font>
    <font>
      <sz val="14"/>
      <color rgb="FF0000FF"/>
      <name val="Arial"/>
      <family val="2"/>
    </font>
  </fonts>
  <fills count="5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s>
  <cellStyleXfs count="147">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164" fontId="7" fillId="13" borderId="0" applyNumberFormat="0" applyFont="0" applyBorder="0" applyAlignment="0">
      <alignment horizontal="right"/>
    </xf>
    <xf numFmtId="41" fontId="7" fillId="13" borderId="0" applyNumberFormat="0" applyFont="0" applyBorder="0" applyAlignment="0">
      <alignment horizontal="right"/>
    </xf>
    <xf numFmtId="41" fontId="42" fillId="13" borderId="0" applyNumberFormat="0" applyFont="0" applyBorder="0" applyAlignment="0">
      <alignment horizontal="right"/>
    </xf>
    <xf numFmtId="41" fontId="42" fillId="13" borderId="0" applyNumberFormat="0" applyFont="0" applyBorder="0" applyAlignment="0">
      <alignment horizontal="right"/>
    </xf>
    <xf numFmtId="0" fontId="21" fillId="8" borderId="1" applyNumberFormat="0" applyAlignment="0" applyProtection="0"/>
    <xf numFmtId="0" fontId="21" fillId="9" borderId="1" applyNumberFormat="0" applyAlignment="0" applyProtection="0"/>
    <xf numFmtId="0" fontId="22" fillId="26" borderId="2" applyNumberFormat="0" applyAlignment="0" applyProtection="0"/>
    <xf numFmtId="0" fontId="22" fillId="27" borderId="2"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23" fillId="0" borderId="0" applyNumberFormat="0" applyFill="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14" fillId="0" borderId="0" applyNumberFormat="0" applyFill="0" applyBorder="0" applyAlignment="0" applyProtection="0">
      <alignment vertical="top"/>
      <protection locked="0"/>
    </xf>
    <xf numFmtId="0" fontId="28" fillId="4" borderId="1" applyNumberFormat="0" applyAlignment="0" applyProtection="0"/>
    <xf numFmtId="0" fontId="28" fillId="5" borderId="1" applyNumberFormat="0" applyAlignment="0" applyProtection="0"/>
    <xf numFmtId="164" fontId="2" fillId="30" borderId="0" applyFont="0" applyBorder="0" applyAlignment="0">
      <alignment horizontal="right"/>
      <protection locked="0"/>
    </xf>
    <xf numFmtId="41" fontId="7" fillId="30" borderId="0" applyFont="0" applyBorder="0" applyAlignment="0">
      <alignment horizontal="right"/>
      <protection locked="0"/>
    </xf>
    <xf numFmtId="41" fontId="42" fillId="30" borderId="0" applyFont="0" applyBorder="0" applyAlignment="0">
      <alignment horizontal="right"/>
      <protection locked="0"/>
    </xf>
    <xf numFmtId="41" fontId="42" fillId="30" borderId="0" applyFont="0" applyBorder="0" applyAlignment="0">
      <alignment horizontal="right"/>
      <protection locked="0"/>
    </xf>
    <xf numFmtId="165" fontId="7" fillId="29" borderId="0" applyFont="0" applyBorder="0">
      <alignment horizontal="right"/>
      <protection locked="0"/>
    </xf>
    <xf numFmtId="165" fontId="42" fillId="29" borderId="0" applyFont="0" applyBorder="0">
      <alignment horizontal="right"/>
      <protection locked="0"/>
    </xf>
    <xf numFmtId="164" fontId="7" fillId="7" borderId="0" applyFont="0" applyBorder="0">
      <alignment horizontal="right"/>
      <protection locked="0"/>
    </xf>
    <xf numFmtId="41" fontId="7" fillId="7" borderId="0" applyFont="0" applyBorder="0">
      <alignment horizontal="right"/>
      <protection locked="0"/>
    </xf>
    <xf numFmtId="41" fontId="42" fillId="7" borderId="0" applyFont="0" applyBorder="0">
      <alignment horizontal="right"/>
      <protection locked="0"/>
    </xf>
    <xf numFmtId="41" fontId="42" fillId="7" borderId="0" applyFont="0" applyBorder="0">
      <alignment horizontal="right"/>
      <protection locked="0"/>
    </xf>
    <xf numFmtId="0" fontId="29" fillId="0" borderId="6" applyNumberFormat="0" applyFill="0" applyAlignment="0" applyProtection="0"/>
    <xf numFmtId="0" fontId="30" fillId="10" borderId="0" applyNumberFormat="0" applyBorder="0" applyAlignment="0" applyProtection="0"/>
    <xf numFmtId="0" fontId="30" fillId="11" borderId="0" applyNumberFormat="0" applyBorder="0" applyAlignment="0" applyProtection="0"/>
    <xf numFmtId="0" fontId="49" fillId="0" borderId="0"/>
    <xf numFmtId="0" fontId="41" fillId="0" borderId="0"/>
    <xf numFmtId="0" fontId="7" fillId="0" borderId="0"/>
    <xf numFmtId="0" fontId="42" fillId="0" borderId="0"/>
    <xf numFmtId="1" fontId="50" fillId="0" borderId="0"/>
    <xf numFmtId="0" fontId="2" fillId="9" borderId="0"/>
    <xf numFmtId="0" fontId="2" fillId="9" borderId="0"/>
    <xf numFmtId="0" fontId="2" fillId="9" borderId="0"/>
    <xf numFmtId="0" fontId="2" fillId="0" borderId="0"/>
    <xf numFmtId="0" fontId="2" fillId="9" borderId="0"/>
    <xf numFmtId="0" fontId="7" fillId="9" borderId="0"/>
    <xf numFmtId="0" fontId="2" fillId="9" borderId="0"/>
    <xf numFmtId="0" fontId="2" fillId="9" borderId="0"/>
    <xf numFmtId="0" fontId="42" fillId="9" borderId="0"/>
    <xf numFmtId="0" fontId="2" fillId="9" borderId="0"/>
    <xf numFmtId="0" fontId="7" fillId="6" borderId="7" applyNumberFormat="0" applyFont="0" applyAlignment="0" applyProtection="0"/>
    <xf numFmtId="0" fontId="42" fillId="7" borderId="7" applyNumberFormat="0" applyFont="0" applyAlignment="0" applyProtection="0"/>
    <xf numFmtId="0" fontId="31" fillId="8" borderId="8" applyNumberFormat="0" applyAlignment="0" applyProtection="0"/>
    <xf numFmtId="0" fontId="31" fillId="9" borderId="8" applyNumberFormat="0" applyAlignment="0" applyProtection="0"/>
    <xf numFmtId="9" fontId="2" fillId="0" borderId="0" applyFont="0" applyFill="0" applyBorder="0" applyAlignment="0" applyProtection="0"/>
    <xf numFmtId="0" fontId="2" fillId="0" borderId="0"/>
    <xf numFmtId="0" fontId="7" fillId="0" borderId="0"/>
    <xf numFmtId="0" fontId="42" fillId="0" borderId="0"/>
    <xf numFmtId="0" fontId="42" fillId="0" borderId="0"/>
    <xf numFmtId="0" fontId="51" fillId="32" borderId="38" applyNumberFormat="0" applyProtection="0"/>
    <xf numFmtId="0" fontId="52" fillId="0" borderId="38" applyNumberFormat="0" applyFill="0" applyProtection="0"/>
    <xf numFmtId="0" fontId="53" fillId="0" borderId="38" applyNumberFormat="0" applyFill="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applyNumberFormat="0" applyFill="0" applyBorder="0" applyAlignment="0" applyProtection="0"/>
    <xf numFmtId="43" fontId="7" fillId="0" borderId="0" applyFont="0" applyFill="0" applyBorder="0" applyAlignment="0" applyProtection="0"/>
    <xf numFmtId="0" fontId="7" fillId="0" borderId="0" applyNumberFormat="0" applyFill="0" applyBorder="0" applyAlignment="0" applyProtection="0"/>
    <xf numFmtId="0" fontId="79"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 fillId="0" borderId="0"/>
    <xf numFmtId="0" fontId="62" fillId="0" borderId="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83" fillId="0" borderId="0" applyFont="0" applyFill="0" applyBorder="0" applyAlignment="0" applyProtection="0"/>
    <xf numFmtId="0" fontId="84" fillId="0" borderId="0" applyNumberFormat="0" applyFill="0" applyBorder="0" applyAlignment="0" applyProtection="0"/>
    <xf numFmtId="43" fontId="62" fillId="0" borderId="0" applyFont="0" applyFill="0" applyBorder="0" applyAlignment="0" applyProtection="0"/>
    <xf numFmtId="0" fontId="84"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cellStyleXfs>
  <cellXfs count="566">
    <xf numFmtId="0" fontId="0" fillId="0" borderId="0" xfId="0"/>
    <xf numFmtId="0" fontId="3" fillId="9" borderId="0" xfId="95" applyFont="1"/>
    <xf numFmtId="0" fontId="2" fillId="9" borderId="0" xfId="95"/>
    <xf numFmtId="0" fontId="4" fillId="9" borderId="0" xfId="95" applyFont="1"/>
    <xf numFmtId="2" fontId="8" fillId="9" borderId="0" xfId="95" applyNumberFormat="1" applyFont="1" applyBorder="1" applyAlignment="1" applyProtection="1">
      <alignment horizontal="left"/>
    </xf>
    <xf numFmtId="0" fontId="9" fillId="9" borderId="0" xfId="95" applyFont="1" applyAlignment="1" applyProtection="1">
      <protection locked="0"/>
    </xf>
    <xf numFmtId="0" fontId="9" fillId="9" borderId="0" xfId="95" applyFont="1" applyProtection="1">
      <protection locked="0"/>
    </xf>
    <xf numFmtId="0" fontId="8" fillId="9" borderId="0" xfId="95" applyFont="1"/>
    <xf numFmtId="0" fontId="2" fillId="9" borderId="0" xfId="95" applyAlignment="1"/>
    <xf numFmtId="0" fontId="12" fillId="9" borderId="0" xfId="93" applyFont="1"/>
    <xf numFmtId="0" fontId="12" fillId="9" borderId="0" xfId="93" applyFont="1" applyFill="1" applyBorder="1"/>
    <xf numFmtId="0" fontId="12" fillId="9" borderId="0" xfId="93" applyFont="1" applyFill="1"/>
    <xf numFmtId="0" fontId="13" fillId="9" borderId="0" xfId="93" applyFont="1" applyFill="1" applyBorder="1" applyAlignment="1">
      <alignment vertical="center"/>
    </xf>
    <xf numFmtId="0" fontId="13" fillId="9" borderId="0" xfId="93" applyFont="1" applyFill="1" applyBorder="1" applyAlignment="1"/>
    <xf numFmtId="0" fontId="12" fillId="9" borderId="0" xfId="93" applyFont="1" applyFill="1" applyBorder="1" applyAlignment="1">
      <alignment vertical="center"/>
    </xf>
    <xf numFmtId="0" fontId="12" fillId="9" borderId="0" xfId="93" applyFont="1" applyAlignment="1">
      <alignment vertical="center"/>
    </xf>
    <xf numFmtId="0" fontId="5" fillId="9" borderId="0" xfId="93" applyFont="1" applyFill="1" applyBorder="1" applyAlignment="1">
      <alignment vertical="center"/>
    </xf>
    <xf numFmtId="0" fontId="12" fillId="9" borderId="0" xfId="93" applyFont="1" applyFill="1" applyAlignment="1">
      <alignment vertical="center"/>
    </xf>
    <xf numFmtId="0" fontId="17" fillId="9" borderId="0" xfId="93" applyFont="1" applyFill="1" applyBorder="1" applyAlignment="1">
      <alignment vertical="center"/>
    </xf>
    <xf numFmtId="0" fontId="12" fillId="0" borderId="0" xfId="93" applyFont="1" applyFill="1" applyBorder="1"/>
    <xf numFmtId="0" fontId="3" fillId="9" borderId="0" xfId="97" applyFont="1"/>
    <xf numFmtId="0" fontId="36" fillId="9" borderId="0" xfId="96" applyFont="1" applyFill="1" applyBorder="1" applyAlignment="1"/>
    <xf numFmtId="0" fontId="2" fillId="9" borderId="0" xfId="97"/>
    <xf numFmtId="0" fontId="3" fillId="0" borderId="0" xfId="97" applyFont="1" applyFill="1" applyAlignment="1"/>
    <xf numFmtId="167" fontId="4" fillId="9" borderId="0" xfId="97" applyNumberFormat="1" applyFont="1" applyBorder="1" applyAlignment="1">
      <alignment horizontal="left"/>
    </xf>
    <xf numFmtId="49" fontId="7" fillId="9" borderId="0" xfId="97" applyNumberFormat="1" applyFont="1"/>
    <xf numFmtId="2" fontId="7" fillId="9" borderId="0" xfId="97" applyNumberFormat="1" applyFont="1" applyBorder="1"/>
    <xf numFmtId="164" fontId="7" fillId="9" borderId="0" xfId="97" applyNumberFormat="1" applyFont="1" applyBorder="1" applyAlignment="1">
      <alignment horizontal="center"/>
    </xf>
    <xf numFmtId="164" fontId="7" fillId="9" borderId="0" xfId="97" applyNumberFormat="1" applyFont="1" applyBorder="1"/>
    <xf numFmtId="0" fontId="7" fillId="9" borderId="0" xfId="97" applyFont="1"/>
    <xf numFmtId="0" fontId="4" fillId="9" borderId="0" xfId="97" applyFont="1"/>
    <xf numFmtId="0" fontId="40" fillId="9" borderId="0" xfId="97" applyFont="1"/>
    <xf numFmtId="0" fontId="5" fillId="9" borderId="0" xfId="97" applyFont="1"/>
    <xf numFmtId="39" fontId="7" fillId="9" borderId="0" xfId="97" applyNumberFormat="1" applyFont="1"/>
    <xf numFmtId="0" fontId="2" fillId="9" borderId="0" xfId="100"/>
    <xf numFmtId="0" fontId="3" fillId="9" borderId="0" xfId="100" applyFont="1" applyAlignment="1"/>
    <xf numFmtId="49" fontId="7" fillId="9" borderId="0" xfId="100" applyNumberFormat="1" applyFont="1"/>
    <xf numFmtId="164" fontId="7" fillId="9" borderId="0" xfId="100" applyNumberFormat="1" applyFont="1" applyBorder="1"/>
    <xf numFmtId="167" fontId="5" fillId="9" borderId="0" xfId="100" applyNumberFormat="1" applyFont="1" applyBorder="1" applyAlignment="1">
      <alignment horizontal="left"/>
    </xf>
    <xf numFmtId="49" fontId="4" fillId="13" borderId="10" xfId="100" applyNumberFormat="1" applyFont="1" applyFill="1" applyBorder="1" applyAlignment="1">
      <alignment horizontal="right"/>
    </xf>
    <xf numFmtId="168" fontId="11" fillId="31" borderId="0" xfId="0" applyNumberFormat="1" applyFont="1" applyFill="1" applyBorder="1" applyAlignment="1">
      <alignment horizontal="left" vertical="center" wrapText="1"/>
    </xf>
    <xf numFmtId="167" fontId="7" fillId="13" borderId="10" xfId="102" applyNumberFormat="1" applyFont="1" applyFill="1" applyBorder="1" applyAlignment="1">
      <alignment horizontal="right"/>
    </xf>
    <xf numFmtId="0" fontId="37" fillId="13" borderId="11" xfId="100" applyFont="1" applyFill="1" applyBorder="1" applyAlignment="1">
      <alignment horizontal="right"/>
    </xf>
    <xf numFmtId="167" fontId="4" fillId="13" borderId="10" xfId="102" applyNumberFormat="1" applyFont="1" applyFill="1" applyBorder="1" applyAlignment="1">
      <alignment horizontal="right"/>
    </xf>
    <xf numFmtId="0" fontId="7" fillId="33" borderId="0" xfId="97" applyFont="1" applyFill="1"/>
    <xf numFmtId="0" fontId="7" fillId="33" borderId="0" xfId="0" applyFont="1" applyFill="1"/>
    <xf numFmtId="43" fontId="4" fillId="13" borderId="10" xfId="59" applyFont="1" applyFill="1" applyBorder="1" applyAlignment="1">
      <alignment horizontal="right"/>
    </xf>
    <xf numFmtId="0" fontId="54" fillId="9" borderId="0" xfId="95" applyFont="1"/>
    <xf numFmtId="0" fontId="12" fillId="9" borderId="0" xfId="93" applyFont="1" applyBorder="1" applyAlignment="1">
      <alignment vertical="center"/>
    </xf>
    <xf numFmtId="0" fontId="2" fillId="9" borderId="0" xfId="93" applyFill="1" applyBorder="1"/>
    <xf numFmtId="0" fontId="7" fillId="9" borderId="0" xfId="95" applyFont="1"/>
    <xf numFmtId="0" fontId="43" fillId="34" borderId="0" xfId="97" applyFont="1" applyFill="1"/>
    <xf numFmtId="0" fontId="44" fillId="34" borderId="0" xfId="97" applyFont="1" applyFill="1"/>
    <xf numFmtId="14" fontId="43" fillId="34" borderId="0" xfId="97" applyNumberFormat="1" applyFont="1" applyFill="1"/>
    <xf numFmtId="14" fontId="43" fillId="34" borderId="0" xfId="97" applyNumberFormat="1" applyFont="1" applyFill="1" applyAlignment="1">
      <alignment horizontal="left"/>
    </xf>
    <xf numFmtId="167" fontId="7" fillId="7" borderId="10" xfId="97" applyNumberFormat="1" applyFont="1" applyFill="1" applyBorder="1" applyAlignment="1">
      <alignment horizontal="left"/>
    </xf>
    <xf numFmtId="168" fontId="45" fillId="31" borderId="0" xfId="0" applyNumberFormat="1" applyFont="1" applyFill="1" applyBorder="1" applyAlignment="1">
      <alignment horizontal="left" vertical="center" wrapText="1"/>
    </xf>
    <xf numFmtId="14" fontId="43" fillId="34" borderId="0" xfId="97" applyNumberFormat="1" applyFont="1" applyFill="1" applyAlignment="1">
      <alignment vertical="center"/>
    </xf>
    <xf numFmtId="14" fontId="43" fillId="34" borderId="0" xfId="97" applyNumberFormat="1" applyFont="1" applyFill="1" applyAlignment="1">
      <alignment horizontal="left" vertical="center"/>
    </xf>
    <xf numFmtId="0" fontId="7" fillId="33" borderId="0" xfId="99" applyFont="1" applyFill="1" applyBorder="1" applyAlignment="1">
      <alignment vertical="center"/>
    </xf>
    <xf numFmtId="0" fontId="7" fillId="35" borderId="12" xfId="97" applyFont="1" applyFill="1" applyBorder="1" applyAlignment="1"/>
    <xf numFmtId="0" fontId="11" fillId="35" borderId="0" xfId="97" applyFont="1" applyFill="1" applyBorder="1"/>
    <xf numFmtId="0" fontId="11" fillId="35" borderId="0" xfId="97" applyFont="1" applyFill="1" applyBorder="1" applyAlignment="1">
      <alignment horizontal="right" indent="1"/>
    </xf>
    <xf numFmtId="0" fontId="7" fillId="35" borderId="13" xfId="97" applyFont="1" applyFill="1" applyBorder="1" applyAlignment="1"/>
    <xf numFmtId="0" fontId="7" fillId="35" borderId="12" xfId="97" applyFont="1" applyFill="1" applyBorder="1"/>
    <xf numFmtId="0" fontId="7" fillId="35" borderId="14" xfId="97" applyFont="1" applyFill="1" applyBorder="1"/>
    <xf numFmtId="0" fontId="11" fillId="35" borderId="15" xfId="97" applyFont="1" applyFill="1" applyBorder="1" applyAlignment="1" applyProtection="1">
      <protection locked="0"/>
    </xf>
    <xf numFmtId="0" fontId="7" fillId="35" borderId="15" xfId="97" applyFont="1" applyFill="1" applyBorder="1" applyProtection="1">
      <protection locked="0"/>
    </xf>
    <xf numFmtId="0" fontId="7" fillId="35" borderId="15" xfId="97" applyFont="1" applyFill="1" applyBorder="1"/>
    <xf numFmtId="0" fontId="7" fillId="35" borderId="15" xfId="97" applyFont="1" applyFill="1" applyBorder="1" applyAlignment="1" applyProtection="1">
      <protection locked="0"/>
    </xf>
    <xf numFmtId="0" fontId="7" fillId="35" borderId="16" xfId="97" applyFont="1" applyFill="1" applyBorder="1"/>
    <xf numFmtId="0" fontId="7" fillId="35" borderId="0" xfId="97" applyFont="1" applyFill="1" applyBorder="1"/>
    <xf numFmtId="0" fontId="7" fillId="35" borderId="13" xfId="97" applyFont="1" applyFill="1" applyBorder="1"/>
    <xf numFmtId="0" fontId="55" fillId="35" borderId="17" xfId="93" applyFont="1" applyFill="1" applyBorder="1"/>
    <xf numFmtId="0" fontId="55" fillId="35" borderId="18" xfId="93" applyFont="1" applyFill="1" applyBorder="1"/>
    <xf numFmtId="0" fontId="55" fillId="35" borderId="0" xfId="93" applyFont="1" applyFill="1" applyBorder="1" applyAlignment="1">
      <alignment horizontal="center" vertical="center"/>
    </xf>
    <xf numFmtId="0" fontId="56" fillId="35" borderId="0" xfId="93" applyFont="1" applyFill="1" applyBorder="1" applyAlignment="1">
      <alignment horizontal="center" vertical="center"/>
    </xf>
    <xf numFmtId="0" fontId="55" fillId="35" borderId="19" xfId="93" applyFont="1" applyFill="1" applyBorder="1" applyAlignment="1">
      <alignment vertical="center"/>
    </xf>
    <xf numFmtId="0" fontId="55" fillId="35" borderId="0" xfId="93" applyFont="1" applyFill="1" applyBorder="1"/>
    <xf numFmtId="0" fontId="57" fillId="35" borderId="0" xfId="93" applyFont="1" applyFill="1" applyBorder="1"/>
    <xf numFmtId="0" fontId="58" fillId="35" borderId="0" xfId="72" applyFont="1" applyFill="1" applyBorder="1" applyAlignment="1" applyProtection="1"/>
    <xf numFmtId="0" fontId="55" fillId="35" borderId="20" xfId="93" applyFont="1" applyFill="1" applyBorder="1"/>
    <xf numFmtId="0" fontId="55" fillId="35" borderId="21" xfId="93" applyFont="1" applyFill="1" applyBorder="1"/>
    <xf numFmtId="0" fontId="15" fillId="36" borderId="20" xfId="93" applyFont="1" applyFill="1" applyBorder="1" applyAlignment="1">
      <alignment vertical="center"/>
    </xf>
    <xf numFmtId="0" fontId="4" fillId="36" borderId="17" xfId="93" applyFont="1" applyFill="1" applyBorder="1" applyAlignment="1">
      <alignment vertical="center"/>
    </xf>
    <xf numFmtId="0" fontId="4" fillId="36" borderId="18" xfId="93" applyFont="1" applyFill="1" applyBorder="1" applyAlignment="1">
      <alignment vertical="center"/>
    </xf>
    <xf numFmtId="0" fontId="15" fillId="36" borderId="22" xfId="93" applyFont="1" applyFill="1" applyBorder="1" applyAlignment="1">
      <alignment vertical="center"/>
    </xf>
    <xf numFmtId="0" fontId="4" fillId="36" borderId="0" xfId="93" applyFont="1" applyFill="1" applyBorder="1" applyAlignment="1">
      <alignment vertical="center"/>
    </xf>
    <xf numFmtId="0" fontId="15" fillId="36" borderId="15" xfId="93" applyFont="1" applyFill="1" applyBorder="1" applyAlignment="1">
      <alignment vertical="center"/>
    </xf>
    <xf numFmtId="0" fontId="12" fillId="36" borderId="0" xfId="93" applyFont="1" applyFill="1" applyBorder="1" applyAlignment="1">
      <alignment vertical="center"/>
    </xf>
    <xf numFmtId="0" fontId="15" fillId="36" borderId="0" xfId="93" applyFont="1" applyFill="1" applyBorder="1" applyAlignment="1">
      <alignment vertical="center"/>
    </xf>
    <xf numFmtId="0" fontId="12" fillId="36" borderId="23" xfId="93" applyFont="1" applyFill="1" applyBorder="1"/>
    <xf numFmtId="0" fontId="4" fillId="36" borderId="13" xfId="93" applyFont="1" applyFill="1" applyBorder="1" applyAlignment="1">
      <alignment vertical="center"/>
    </xf>
    <xf numFmtId="0" fontId="12" fillId="36" borderId="13" xfId="93" applyFont="1" applyFill="1" applyBorder="1"/>
    <xf numFmtId="0" fontId="12" fillId="36" borderId="16" xfId="93" applyFont="1" applyFill="1" applyBorder="1"/>
    <xf numFmtId="168" fontId="11" fillId="35" borderId="10" xfId="97" quotePrefix="1" applyNumberFormat="1" applyFont="1" applyFill="1" applyBorder="1" applyAlignment="1">
      <alignment vertical="center" wrapText="1"/>
    </xf>
    <xf numFmtId="168" fontId="37" fillId="35" borderId="10" xfId="97" quotePrefix="1" applyNumberFormat="1" applyFont="1" applyFill="1" applyBorder="1" applyAlignment="1">
      <alignment horizontal="center" vertical="center" wrapText="1"/>
    </xf>
    <xf numFmtId="49" fontId="37" fillId="35" borderId="10" xfId="97" applyNumberFormat="1" applyFont="1" applyFill="1" applyBorder="1" applyAlignment="1">
      <alignment horizontal="center" vertical="center" wrapText="1"/>
    </xf>
    <xf numFmtId="0" fontId="59" fillId="7" borderId="24" xfId="97" applyFont="1" applyFill="1" applyBorder="1" applyAlignment="1" applyProtection="1">
      <alignment horizontal="left"/>
      <protection locked="0"/>
    </xf>
    <xf numFmtId="0" fontId="59" fillId="7" borderId="25" xfId="97" applyNumberFormat="1" applyFont="1" applyFill="1" applyBorder="1" applyAlignment="1">
      <alignment horizontal="center"/>
    </xf>
    <xf numFmtId="167" fontId="59" fillId="7" borderId="25" xfId="97" applyNumberFormat="1" applyFont="1" applyFill="1" applyBorder="1" applyAlignment="1">
      <alignment horizontal="center"/>
    </xf>
    <xf numFmtId="167" fontId="59" fillId="7" borderId="10" xfId="97" applyNumberFormat="1" applyFont="1" applyFill="1" applyBorder="1" applyAlignment="1">
      <alignment horizontal="center"/>
    </xf>
    <xf numFmtId="49" fontId="37" fillId="35" borderId="26" xfId="97" applyNumberFormat="1" applyFont="1" applyFill="1" applyBorder="1" applyAlignment="1">
      <alignment horizontal="center" vertical="center" wrapText="1"/>
    </xf>
    <xf numFmtId="2" fontId="37" fillId="35" borderId="10" xfId="97" applyNumberFormat="1" applyFont="1" applyFill="1" applyBorder="1" applyAlignment="1">
      <alignment horizontal="center" vertical="center" wrapText="1"/>
    </xf>
    <xf numFmtId="0" fontId="11" fillId="35" borderId="10" xfId="97" applyFont="1" applyFill="1" applyBorder="1"/>
    <xf numFmtId="2" fontId="11" fillId="35" borderId="10" xfId="59" applyNumberFormat="1" applyFont="1" applyFill="1" applyBorder="1" applyAlignment="1">
      <alignment horizontal="center"/>
    </xf>
    <xf numFmtId="167" fontId="11" fillId="35" borderId="10" xfId="97" applyNumberFormat="1" applyFont="1" applyFill="1" applyBorder="1" applyAlignment="1">
      <alignment horizontal="left"/>
    </xf>
    <xf numFmtId="168" fontId="11" fillId="35" borderId="10" xfId="97" quotePrefix="1" applyNumberFormat="1" applyFont="1" applyFill="1" applyBorder="1" applyAlignment="1">
      <alignment horizontal="right" vertical="center" wrapText="1"/>
    </xf>
    <xf numFmtId="49" fontId="37" fillId="35" borderId="11" xfId="97" applyNumberFormat="1" applyFont="1" applyFill="1" applyBorder="1" applyAlignment="1">
      <alignment horizontal="center" vertical="center" wrapText="1"/>
    </xf>
    <xf numFmtId="49" fontId="37" fillId="35" borderId="27" xfId="97" applyNumberFormat="1" applyFont="1" applyFill="1" applyBorder="1" applyAlignment="1">
      <alignment horizontal="center" vertical="center" wrapText="1"/>
    </xf>
    <xf numFmtId="49" fontId="37" fillId="35" borderId="10" xfId="100" applyNumberFormat="1" applyFont="1" applyFill="1" applyBorder="1" applyAlignment="1">
      <alignment horizontal="center" vertical="center" wrapText="1"/>
    </xf>
    <xf numFmtId="164" fontId="37" fillId="35" borderId="10" xfId="100" applyNumberFormat="1" applyFont="1" applyFill="1" applyBorder="1" applyAlignment="1">
      <alignment horizontal="right" vertical="center" wrapText="1"/>
    </xf>
    <xf numFmtId="49" fontId="37" fillId="35" borderId="10" xfId="100" applyNumberFormat="1" applyFont="1" applyFill="1" applyBorder="1" applyAlignment="1">
      <alignment horizontal="center"/>
    </xf>
    <xf numFmtId="167" fontId="11" fillId="35" borderId="28" xfId="59" applyNumberFormat="1" applyFont="1" applyFill="1" applyBorder="1" applyAlignment="1">
      <alignment horizontal="right" vertical="center"/>
    </xf>
    <xf numFmtId="10" fontId="59" fillId="7" borderId="10" xfId="100" applyNumberFormat="1" applyFont="1" applyFill="1" applyBorder="1" applyAlignment="1">
      <alignment horizontal="right"/>
    </xf>
    <xf numFmtId="49" fontId="37" fillId="35" borderId="10" xfId="100" applyNumberFormat="1" applyFont="1" applyFill="1" applyBorder="1" applyAlignment="1">
      <alignment horizontal="right" vertical="center" wrapText="1"/>
    </xf>
    <xf numFmtId="49" fontId="37" fillId="35" borderId="28" xfId="100" applyNumberFormat="1" applyFont="1" applyFill="1" applyBorder="1" applyAlignment="1">
      <alignment horizontal="center"/>
    </xf>
    <xf numFmtId="168" fontId="37" fillId="35" borderId="10" xfId="98" quotePrefix="1" applyNumberFormat="1" applyFont="1" applyFill="1" applyBorder="1" applyAlignment="1">
      <alignment horizontal="center" vertical="center" wrapText="1"/>
    </xf>
    <xf numFmtId="2" fontId="37" fillId="35" borderId="29" xfId="98" applyNumberFormat="1" applyFont="1" applyFill="1" applyBorder="1" applyAlignment="1">
      <alignment horizontal="center" vertical="center" wrapText="1"/>
    </xf>
    <xf numFmtId="164" fontId="37" fillId="35" borderId="10" xfId="100" applyNumberFormat="1" applyFont="1" applyFill="1" applyBorder="1" applyAlignment="1">
      <alignment horizontal="center" vertical="center" wrapText="1"/>
    </xf>
    <xf numFmtId="49" fontId="11" fillId="35" borderId="28" xfId="100" applyNumberFormat="1" applyFont="1" applyFill="1" applyBorder="1" applyAlignment="1">
      <alignment horizontal="center"/>
    </xf>
    <xf numFmtId="2" fontId="11" fillId="35" borderId="10" xfId="59" applyNumberFormat="1" applyFont="1" applyFill="1" applyBorder="1" applyAlignment="1">
      <alignment horizontal="center" wrapText="1"/>
    </xf>
    <xf numFmtId="168" fontId="37" fillId="35" borderId="10" xfId="102" applyNumberFormat="1" applyFont="1" applyFill="1" applyBorder="1" applyAlignment="1">
      <alignment horizontal="center" vertical="center" wrapText="1"/>
    </xf>
    <xf numFmtId="49" fontId="37" fillId="35" borderId="10" xfId="102" applyNumberFormat="1" applyFont="1" applyFill="1" applyBorder="1" applyAlignment="1">
      <alignment horizontal="center" vertical="center" wrapText="1"/>
    </xf>
    <xf numFmtId="167" fontId="6" fillId="35" borderId="10" xfId="102" applyNumberFormat="1" applyFont="1" applyFill="1" applyBorder="1" applyAlignment="1">
      <alignment horizontal="left"/>
    </xf>
    <xf numFmtId="167" fontId="11" fillId="35" borderId="28" xfId="59" applyNumberFormat="1" applyFont="1" applyFill="1" applyBorder="1" applyAlignment="1">
      <alignment horizontal="center" vertical="center"/>
    </xf>
    <xf numFmtId="49" fontId="37" fillId="35" borderId="30" xfId="102" applyNumberFormat="1" applyFont="1" applyFill="1" applyBorder="1" applyAlignment="1">
      <alignment horizontal="center" vertical="center" wrapText="1"/>
    </xf>
    <xf numFmtId="49" fontId="37" fillId="35" borderId="0" xfId="102" applyNumberFormat="1" applyFont="1" applyFill="1" applyBorder="1" applyAlignment="1">
      <alignment horizontal="center" vertical="center" wrapText="1"/>
    </xf>
    <xf numFmtId="167" fontId="60" fillId="35" borderId="10" xfId="102" applyNumberFormat="1" applyFont="1" applyFill="1" applyBorder="1" applyAlignment="1">
      <alignment horizontal="left"/>
    </xf>
    <xf numFmtId="49" fontId="37" fillId="35" borderId="10" xfId="102" applyNumberFormat="1" applyFont="1" applyFill="1" applyBorder="1" applyAlignment="1">
      <alignment horizontal="left" vertical="center" wrapText="1"/>
    </xf>
    <xf numFmtId="14" fontId="59" fillId="7" borderId="25" xfId="97" applyNumberFormat="1" applyFont="1" applyFill="1" applyBorder="1" applyAlignment="1">
      <alignment horizontal="center"/>
    </xf>
    <xf numFmtId="49" fontId="4" fillId="37" borderId="27" xfId="100" applyNumberFormat="1" applyFont="1" applyFill="1" applyBorder="1" applyAlignment="1">
      <alignment horizontal="center" vertical="center" wrapText="1"/>
    </xf>
    <xf numFmtId="49" fontId="4" fillId="37" borderId="11" xfId="100" applyNumberFormat="1" applyFont="1" applyFill="1" applyBorder="1" applyAlignment="1">
      <alignment horizontal="left" vertical="center" wrapText="1"/>
    </xf>
    <xf numFmtId="168" fontId="46" fillId="37" borderId="11" xfId="97" quotePrefix="1" applyNumberFormat="1" applyFont="1" applyFill="1" applyBorder="1" applyAlignment="1">
      <alignment horizontal="left" vertical="center" wrapText="1"/>
    </xf>
    <xf numFmtId="0" fontId="44" fillId="37" borderId="27" xfId="97" applyFont="1" applyFill="1" applyBorder="1"/>
    <xf numFmtId="0" fontId="44" fillId="37" borderId="25" xfId="97" applyFont="1" applyFill="1" applyBorder="1"/>
    <xf numFmtId="168" fontId="11" fillId="35" borderId="10" xfId="97" quotePrefix="1" applyNumberFormat="1" applyFont="1" applyFill="1" applyBorder="1" applyAlignment="1">
      <alignment horizontal="left" vertical="center" wrapText="1" indent="1"/>
    </xf>
    <xf numFmtId="167" fontId="7" fillId="37" borderId="11" xfId="97" applyNumberFormat="1" applyFont="1" applyFill="1" applyBorder="1" applyAlignment="1">
      <alignment horizontal="left"/>
    </xf>
    <xf numFmtId="0" fontId="4" fillId="37" borderId="27" xfId="97" applyFont="1" applyFill="1" applyBorder="1"/>
    <xf numFmtId="2" fontId="7" fillId="37" borderId="27" xfId="59" applyNumberFormat="1" applyFont="1" applyFill="1" applyBorder="1" applyAlignment="1">
      <alignment horizontal="center"/>
    </xf>
    <xf numFmtId="2" fontId="7" fillId="37" borderId="25" xfId="59" applyNumberFormat="1" applyFont="1" applyFill="1" applyBorder="1" applyAlignment="1">
      <alignment horizontal="center"/>
    </xf>
    <xf numFmtId="49" fontId="11" fillId="35" borderId="10" xfId="97" applyNumberFormat="1" applyFont="1" applyFill="1" applyBorder="1" applyAlignment="1">
      <alignment horizontal="left" indent="1"/>
    </xf>
    <xf numFmtId="49" fontId="11" fillId="31" borderId="10" xfId="97" applyNumberFormat="1" applyFont="1" applyFill="1" applyBorder="1" applyAlignment="1">
      <alignment horizontal="left" indent="1"/>
    </xf>
    <xf numFmtId="49" fontId="11" fillId="35" borderId="10" xfId="97" applyNumberFormat="1" applyFont="1" applyFill="1" applyBorder="1" applyAlignment="1">
      <alignment horizontal="left" wrapText="1" indent="1"/>
    </xf>
    <xf numFmtId="49" fontId="11" fillId="35" borderId="10" xfId="101" applyNumberFormat="1" applyFont="1" applyFill="1" applyBorder="1" applyAlignment="1">
      <alignment horizontal="left" vertical="center" wrapText="1" indent="1"/>
    </xf>
    <xf numFmtId="0" fontId="59" fillId="7" borderId="10" xfId="100" applyNumberFormat="1" applyFont="1" applyFill="1" applyBorder="1" applyAlignment="1">
      <alignment horizontal="left" indent="1"/>
    </xf>
    <xf numFmtId="41" fontId="61" fillId="37" borderId="27" xfId="98" applyNumberFormat="1" applyFont="1" applyFill="1" applyBorder="1"/>
    <xf numFmtId="167" fontId="62" fillId="37" borderId="27" xfId="62" applyNumberFormat="1" applyFont="1" applyFill="1" applyBorder="1" applyAlignment="1">
      <alignment horizontal="center" vertical="center"/>
    </xf>
    <xf numFmtId="167" fontId="62" fillId="37" borderId="25" xfId="62" applyNumberFormat="1" applyFont="1" applyFill="1" applyBorder="1" applyAlignment="1">
      <alignment horizontal="center" vertical="center"/>
    </xf>
    <xf numFmtId="41" fontId="11" fillId="31" borderId="10" xfId="98" applyNumberFormat="1" applyFont="1" applyFill="1" applyBorder="1" applyAlignment="1">
      <alignment horizontal="left" indent="1"/>
    </xf>
    <xf numFmtId="169" fontId="7" fillId="7" borderId="10" xfId="100" applyNumberFormat="1" applyFont="1" applyFill="1" applyBorder="1" applyAlignment="1">
      <alignment horizontal="left" indent="1"/>
    </xf>
    <xf numFmtId="168" fontId="11" fillId="35" borderId="10" xfId="0" applyNumberFormat="1" applyFont="1" applyFill="1" applyBorder="1" applyAlignment="1">
      <alignment horizontal="left" vertical="center" wrapText="1" indent="1"/>
    </xf>
    <xf numFmtId="49" fontId="37" fillId="35" borderId="10" xfId="102" applyNumberFormat="1" applyFont="1" applyFill="1" applyBorder="1" applyAlignment="1">
      <alignment horizontal="left" vertical="center" wrapText="1" indent="1"/>
    </xf>
    <xf numFmtId="49" fontId="11" fillId="35" borderId="10" xfId="102" applyNumberFormat="1" applyFont="1" applyFill="1" applyBorder="1" applyAlignment="1">
      <alignment horizontal="left" vertical="center" wrapText="1" indent="1"/>
    </xf>
    <xf numFmtId="49" fontId="11" fillId="35" borderId="10" xfId="100" applyNumberFormat="1" applyFont="1" applyFill="1" applyBorder="1" applyAlignment="1">
      <alignment horizontal="left" vertical="center" wrapText="1" indent="1"/>
    </xf>
    <xf numFmtId="49" fontId="4" fillId="37" borderId="11" xfId="102" applyNumberFormat="1" applyFont="1" applyFill="1" applyBorder="1" applyAlignment="1">
      <alignment horizontal="left" vertical="center" wrapText="1"/>
    </xf>
    <xf numFmtId="168" fontId="7" fillId="37" borderId="25" xfId="0" applyNumberFormat="1" applyFont="1" applyFill="1" applyBorder="1" applyAlignment="1">
      <alignment horizontal="left" vertical="center" wrapText="1" indent="1"/>
    </xf>
    <xf numFmtId="167" fontId="62" fillId="37" borderId="11" xfId="98" applyNumberFormat="1" applyFont="1" applyFill="1" applyBorder="1" applyAlignment="1">
      <alignment horizontal="left" indent="1"/>
    </xf>
    <xf numFmtId="0" fontId="59" fillId="7" borderId="10" xfId="59" applyNumberFormat="1" applyFont="1" applyFill="1" applyBorder="1" applyAlignment="1">
      <alignment horizontal="left" indent="1"/>
    </xf>
    <xf numFmtId="0" fontId="11" fillId="38" borderId="10" xfId="98" applyNumberFormat="1" applyFont="1" applyFill="1" applyBorder="1" applyAlignment="1">
      <alignment horizontal="left" indent="1"/>
    </xf>
    <xf numFmtId="167" fontId="7" fillId="37" borderId="11" xfId="97" applyNumberFormat="1" applyFont="1" applyFill="1" applyBorder="1" applyAlignment="1">
      <alignment horizontal="left" indent="1"/>
    </xf>
    <xf numFmtId="0" fontId="60" fillId="35" borderId="31" xfId="97" applyFont="1" applyFill="1" applyBorder="1" applyAlignment="1">
      <alignment horizontal="left" indent="1"/>
    </xf>
    <xf numFmtId="0" fontId="63" fillId="35" borderId="22" xfId="97" applyFont="1" applyFill="1" applyBorder="1" applyAlignment="1">
      <alignment horizontal="left" indent="1"/>
    </xf>
    <xf numFmtId="0" fontId="60" fillId="35" borderId="22" xfId="97" applyFont="1" applyFill="1" applyBorder="1" applyAlignment="1">
      <alignment horizontal="left" indent="1"/>
    </xf>
    <xf numFmtId="0" fontId="60" fillId="35" borderId="23" xfId="97" applyFont="1" applyFill="1" applyBorder="1" applyAlignment="1">
      <alignment horizontal="left" indent="1"/>
    </xf>
    <xf numFmtId="0" fontId="64" fillId="35" borderId="25" xfId="95" applyFont="1" applyFill="1" applyBorder="1"/>
    <xf numFmtId="0" fontId="10" fillId="9" borderId="0" xfId="95" applyFont="1" applyBorder="1"/>
    <xf numFmtId="0" fontId="2" fillId="9" borderId="0" xfId="95" applyBorder="1"/>
    <xf numFmtId="164" fontId="4" fillId="7" borderId="0" xfId="75" applyFont="1" applyFill="1" applyBorder="1" applyAlignment="1">
      <protection locked="0"/>
    </xf>
    <xf numFmtId="164" fontId="4" fillId="7" borderId="15" xfId="75" applyFont="1" applyFill="1" applyBorder="1" applyAlignment="1">
      <protection locked="0"/>
    </xf>
    <xf numFmtId="164" fontId="4" fillId="13" borderId="13" xfId="51" applyFont="1" applyBorder="1" applyAlignment="1"/>
    <xf numFmtId="164" fontId="4" fillId="13" borderId="16" xfId="51" applyFont="1" applyBorder="1" applyAlignment="1"/>
    <xf numFmtId="164" fontId="4" fillId="7" borderId="22" xfId="75" applyFont="1" applyFill="1" applyBorder="1" applyAlignment="1">
      <alignment horizontal="left" indent="1"/>
      <protection locked="0"/>
    </xf>
    <xf numFmtId="164" fontId="4" fillId="35" borderId="0" xfId="75" applyFont="1" applyFill="1" applyBorder="1" applyAlignment="1">
      <protection locked="0"/>
    </xf>
    <xf numFmtId="164" fontId="4" fillId="35" borderId="15" xfId="75" applyFont="1" applyFill="1" applyBorder="1" applyAlignment="1">
      <protection locked="0"/>
    </xf>
    <xf numFmtId="164" fontId="63" fillId="35" borderId="22" xfId="75" applyFont="1" applyFill="1" applyBorder="1" applyAlignment="1">
      <alignment horizontal="left" indent="1"/>
      <protection locked="0"/>
    </xf>
    <xf numFmtId="164" fontId="4" fillId="13" borderId="23" xfId="51" applyFont="1" applyBorder="1" applyAlignment="1">
      <alignment horizontal="left" indent="1"/>
    </xf>
    <xf numFmtId="0" fontId="65" fillId="35" borderId="22" xfId="97" applyFont="1" applyFill="1" applyBorder="1" applyAlignment="1">
      <alignment horizontal="left" indent="1"/>
    </xf>
    <xf numFmtId="0" fontId="64" fillId="35" borderId="11" xfId="95" applyFont="1" applyFill="1" applyBorder="1" applyAlignment="1">
      <alignment horizontal="left" indent="1"/>
    </xf>
    <xf numFmtId="0" fontId="10" fillId="9" borderId="0" xfId="95" applyFont="1" applyBorder="1" applyAlignment="1">
      <alignment horizontal="left" indent="1"/>
    </xf>
    <xf numFmtId="0" fontId="2" fillId="9" borderId="0" xfId="95" applyBorder="1" applyAlignment="1">
      <alignment horizontal="left" indent="1"/>
    </xf>
    <xf numFmtId="1" fontId="50" fillId="0" borderId="0" xfId="92"/>
    <xf numFmtId="14" fontId="50" fillId="0" borderId="0" xfId="92" applyNumberFormat="1" applyAlignment="1">
      <alignment vertical="top"/>
    </xf>
    <xf numFmtId="1" fontId="50" fillId="0" borderId="0" xfId="92" applyAlignment="1">
      <alignment horizontal="center" vertical="top"/>
    </xf>
    <xf numFmtId="1" fontId="50" fillId="0" borderId="0" xfId="92" applyAlignment="1">
      <alignment vertical="top"/>
    </xf>
    <xf numFmtId="1" fontId="50" fillId="0" borderId="0" xfId="92" applyAlignment="1">
      <alignment vertical="top" wrapText="1"/>
    </xf>
    <xf numFmtId="1" fontId="7" fillId="0" borderId="0" xfId="92" applyFont="1" applyAlignment="1">
      <alignment vertical="top"/>
    </xf>
    <xf numFmtId="1" fontId="7" fillId="0" borderId="0" xfId="92" applyFont="1" applyAlignment="1">
      <alignment vertical="top" wrapText="1"/>
    </xf>
    <xf numFmtId="1" fontId="50" fillId="0" borderId="0" xfId="92" applyAlignment="1">
      <alignment horizontal="center"/>
    </xf>
    <xf numFmtId="49" fontId="7" fillId="0" borderId="0" xfId="92" applyNumberFormat="1" applyFont="1" applyAlignment="1">
      <alignment vertical="top"/>
    </xf>
    <xf numFmtId="49" fontId="7" fillId="0" borderId="0" xfId="92" applyNumberFormat="1" applyFont="1" applyAlignment="1">
      <alignment horizontal="left" vertical="top"/>
    </xf>
    <xf numFmtId="171" fontId="59" fillId="7" borderId="10" xfId="102" applyNumberFormat="1" applyFont="1" applyFill="1" applyBorder="1" applyAlignment="1">
      <alignment horizontal="right"/>
    </xf>
    <xf numFmtId="169" fontId="7" fillId="34" borderId="10" xfId="100" applyNumberFormat="1" applyFont="1" applyFill="1" applyBorder="1" applyAlignment="1">
      <alignment horizontal="left"/>
    </xf>
    <xf numFmtId="1" fontId="7" fillId="0" borderId="0" xfId="92" applyFont="1" applyFill="1" applyAlignment="1">
      <alignment vertical="top" wrapText="1"/>
    </xf>
    <xf numFmtId="0" fontId="7" fillId="33" borderId="0" xfId="0" applyFont="1" applyFill="1" applyBorder="1"/>
    <xf numFmtId="1" fontId="50" fillId="33" borderId="0" xfId="92" applyFill="1" applyBorder="1"/>
    <xf numFmtId="1" fontId="66" fillId="33" borderId="0" xfId="92" applyFont="1" applyFill="1" applyBorder="1" applyAlignment="1">
      <alignment horizontal="center" vertical="center" wrapText="1"/>
    </xf>
    <xf numFmtId="1" fontId="50" fillId="33" borderId="0" xfId="92" applyFill="1" applyBorder="1" applyAlignment="1">
      <alignment horizontal="center" vertical="center"/>
    </xf>
    <xf numFmtId="1" fontId="50" fillId="33" borderId="0" xfId="92" applyFill="1" applyBorder="1" applyAlignment="1">
      <alignment vertical="top"/>
    </xf>
    <xf numFmtId="1" fontId="50" fillId="33" borderId="0" xfId="92" applyFill="1" applyBorder="1" applyAlignment="1">
      <alignment vertical="top" wrapText="1"/>
    </xf>
    <xf numFmtId="1" fontId="7" fillId="33" borderId="0" xfId="92" applyFont="1" applyFill="1" applyAlignment="1">
      <alignment vertical="top" wrapText="1"/>
    </xf>
    <xf numFmtId="1" fontId="50" fillId="35" borderId="0" xfId="92" applyFill="1" applyAlignment="1">
      <alignment horizontal="center" vertical="center"/>
    </xf>
    <xf numFmtId="1" fontId="50" fillId="35" borderId="0" xfId="92" applyFill="1" applyAlignment="1">
      <alignment horizontal="center" vertical="center" wrapText="1"/>
    </xf>
    <xf numFmtId="0" fontId="5" fillId="0" borderId="0" xfId="99" applyFont="1" applyFill="1" applyBorder="1" applyAlignment="1">
      <alignment horizontal="left" vertical="center"/>
    </xf>
    <xf numFmtId="0" fontId="2" fillId="9" borderId="0" xfId="97" applyAlignment="1"/>
    <xf numFmtId="1" fontId="7" fillId="0" borderId="0" xfId="92" applyFont="1" applyAlignment="1">
      <alignment horizontal="center" vertical="top"/>
    </xf>
    <xf numFmtId="0" fontId="67" fillId="9" borderId="0" xfId="95" applyFont="1"/>
    <xf numFmtId="0" fontId="43" fillId="39" borderId="0" xfId="98" applyFont="1" applyFill="1"/>
    <xf numFmtId="0" fontId="44" fillId="39" borderId="0" xfId="98" applyFont="1" applyFill="1"/>
    <xf numFmtId="14" fontId="43" fillId="39" borderId="0" xfId="98" applyNumberFormat="1" applyFont="1" applyFill="1"/>
    <xf numFmtId="14" fontId="43" fillId="39" borderId="0" xfId="98" applyNumberFormat="1" applyFont="1" applyFill="1" applyAlignment="1">
      <alignment horizontal="left"/>
    </xf>
    <xf numFmtId="168" fontId="70" fillId="40" borderId="39" xfId="114" applyNumberFormat="1" applyFont="1" applyFill="1" applyBorder="1"/>
    <xf numFmtId="41" fontId="71" fillId="0" borderId="0" xfId="113" applyNumberFormat="1" applyFont="1" applyFill="1" applyBorder="1"/>
    <xf numFmtId="0" fontId="67" fillId="9" borderId="0" xfId="97" applyFont="1"/>
    <xf numFmtId="0" fontId="16" fillId="36" borderId="0" xfId="93" applyFont="1" applyFill="1" applyBorder="1" applyAlignment="1">
      <alignment horizontal="left" vertical="center"/>
    </xf>
    <xf numFmtId="168" fontId="37" fillId="35" borderId="11" xfId="98" quotePrefix="1" applyNumberFormat="1" applyFont="1" applyFill="1" applyBorder="1" applyAlignment="1">
      <alignment horizontal="center" vertical="center" wrapText="1"/>
    </xf>
    <xf numFmtId="2" fontId="37" fillId="35" borderId="26" xfId="98" applyNumberFormat="1" applyFont="1" applyFill="1" applyBorder="1" applyAlignment="1">
      <alignment horizontal="center" vertical="center" wrapText="1"/>
    </xf>
    <xf numFmtId="14" fontId="59" fillId="7" borderId="25" xfId="98" applyNumberFormat="1" applyFont="1" applyFill="1" applyBorder="1" applyAlignment="1">
      <alignment horizontal="right"/>
    </xf>
    <xf numFmtId="167" fontId="73" fillId="35" borderId="10" xfId="102" applyNumberFormat="1" applyFont="1" applyFill="1" applyBorder="1" applyAlignment="1">
      <alignment horizontal="left"/>
    </xf>
    <xf numFmtId="168" fontId="63" fillId="35" borderId="10" xfId="102" applyNumberFormat="1" applyFont="1" applyFill="1" applyBorder="1" applyAlignment="1">
      <alignment horizontal="center" vertical="center" wrapText="1"/>
    </xf>
    <xf numFmtId="41" fontId="4" fillId="13" borderId="10" xfId="59" applyNumberFormat="1" applyFont="1" applyFill="1" applyBorder="1" applyAlignment="1">
      <alignment horizontal="right"/>
    </xf>
    <xf numFmtId="168" fontId="11" fillId="31" borderId="0" xfId="0" applyNumberFormat="1" applyFont="1" applyFill="1" applyAlignment="1">
      <alignment horizontal="left" vertical="center" wrapText="1"/>
    </xf>
    <xf numFmtId="49" fontId="63" fillId="35" borderId="28" xfId="100" applyNumberFormat="1" applyFont="1" applyFill="1" applyBorder="1" applyAlignment="1">
      <alignment horizontal="center" vertical="center" wrapText="1"/>
    </xf>
    <xf numFmtId="49" fontId="63" fillId="35" borderId="32" xfId="100" applyNumberFormat="1" applyFont="1" applyFill="1" applyBorder="1" applyAlignment="1">
      <alignment horizontal="center" vertical="center" wrapText="1"/>
    </xf>
    <xf numFmtId="49" fontId="63" fillId="35" borderId="24" xfId="100" applyNumberFormat="1" applyFont="1" applyFill="1" applyBorder="1" applyAlignment="1">
      <alignment horizontal="center" vertical="top" wrapText="1"/>
    </xf>
    <xf numFmtId="0" fontId="47" fillId="0" borderId="10" xfId="0" applyNumberFormat="1" applyFont="1" applyFill="1" applyBorder="1" applyAlignment="1" applyProtection="1">
      <alignment horizontal="center" wrapText="1"/>
      <protection locked="0"/>
    </xf>
    <xf numFmtId="49" fontId="70" fillId="41" borderId="10" xfId="100" applyNumberFormat="1" applyFont="1" applyFill="1" applyBorder="1" applyAlignment="1">
      <alignment horizontal="center" vertical="center" wrapText="1"/>
    </xf>
    <xf numFmtId="49" fontId="70" fillId="42" borderId="10" xfId="100" applyNumberFormat="1" applyFont="1" applyFill="1" applyBorder="1" applyAlignment="1">
      <alignment horizontal="center" vertical="center" wrapText="1"/>
    </xf>
    <xf numFmtId="0" fontId="39" fillId="43" borderId="10" xfId="59" applyNumberFormat="1" applyFont="1" applyFill="1" applyBorder="1" applyAlignment="1"/>
    <xf numFmtId="0" fontId="4" fillId="37" borderId="27" xfId="59" applyNumberFormat="1" applyFont="1" applyFill="1" applyBorder="1" applyAlignment="1">
      <alignment horizontal="center" vertical="center" wrapText="1"/>
    </xf>
    <xf numFmtId="0" fontId="11" fillId="43" borderId="10" xfId="100" applyNumberFormat="1" applyFont="1" applyFill="1" applyBorder="1" applyAlignment="1">
      <alignment horizontal="left" vertical="center" wrapText="1" indent="1"/>
    </xf>
    <xf numFmtId="49" fontId="37" fillId="38" borderId="10" xfId="100" applyNumberFormat="1" applyFont="1" applyFill="1" applyBorder="1" applyAlignment="1">
      <alignment horizontal="left" vertical="center" wrapText="1"/>
    </xf>
    <xf numFmtId="49" fontId="4" fillId="37" borderId="10" xfId="100" applyNumberFormat="1" applyFont="1" applyFill="1" applyBorder="1" applyAlignment="1">
      <alignment horizontal="left" vertical="center" wrapText="1"/>
    </xf>
    <xf numFmtId="0" fontId="7" fillId="0" borderId="0" xfId="0" applyFont="1" applyAlignment="1">
      <alignment horizontal="left" vertical="top"/>
    </xf>
    <xf numFmtId="1" fontId="7" fillId="0" borderId="0" xfId="92" applyFont="1" applyAlignment="1">
      <alignment horizontal="left" vertical="top"/>
    </xf>
    <xf numFmtId="0" fontId="7" fillId="0" borderId="0" xfId="0" applyFont="1" applyAlignment="1">
      <alignment horizontal="left" vertical="top" wrapText="1"/>
    </xf>
    <xf numFmtId="14" fontId="7" fillId="0" borderId="0" xfId="0" applyNumberFormat="1" applyFont="1" applyAlignment="1">
      <alignment horizontal="left" vertical="top"/>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vertical="top"/>
    </xf>
    <xf numFmtId="168" fontId="37" fillId="35" borderId="33" xfId="97" applyNumberFormat="1" applyFont="1" applyFill="1" applyBorder="1" applyAlignment="1">
      <alignment horizontal="center" vertical="center" wrapText="1"/>
    </xf>
    <xf numFmtId="168" fontId="37" fillId="35" borderId="10" xfId="97" applyNumberFormat="1" applyFont="1" applyFill="1" applyBorder="1" applyAlignment="1">
      <alignment horizontal="center" vertical="center" wrapText="1"/>
    </xf>
    <xf numFmtId="49" fontId="74" fillId="40" borderId="10" xfId="114" applyNumberFormat="1" applyFont="1" applyFill="1" applyBorder="1" applyAlignment="1"/>
    <xf numFmtId="49" fontId="74" fillId="40" borderId="40" xfId="114" applyNumberFormat="1" applyFont="1" applyFill="1" applyBorder="1"/>
    <xf numFmtId="49" fontId="74" fillId="40" borderId="10" xfId="114" applyNumberFormat="1" applyFont="1" applyFill="1" applyBorder="1" applyAlignment="1">
      <alignment wrapText="1"/>
    </xf>
    <xf numFmtId="41" fontId="74" fillId="40" borderId="10" xfId="114" applyNumberFormat="1" applyFont="1" applyFill="1" applyBorder="1"/>
    <xf numFmtId="168" fontId="70" fillId="40" borderId="10" xfId="114" applyNumberFormat="1" applyFont="1" applyFill="1" applyBorder="1"/>
    <xf numFmtId="0" fontId="75" fillId="0" borderId="0" xfId="114" applyFont="1" applyFill="1" applyBorder="1"/>
    <xf numFmtId="10" fontId="75" fillId="39" borderId="10" xfId="114" applyNumberFormat="1" applyFont="1" applyFill="1" applyBorder="1"/>
    <xf numFmtId="168" fontId="11" fillId="35" borderId="11" xfId="97" quotePrefix="1" applyNumberFormat="1" applyFont="1" applyFill="1" applyBorder="1" applyAlignment="1">
      <alignment horizontal="left" vertical="center" wrapText="1" indent="1"/>
    </xf>
    <xf numFmtId="10" fontId="71" fillId="39" borderId="10" xfId="113" applyNumberFormat="1" applyFont="1" applyFill="1" applyBorder="1"/>
    <xf numFmtId="168" fontId="37" fillId="35" borderId="27" xfId="97" applyNumberFormat="1" applyFont="1" applyFill="1" applyBorder="1" applyAlignment="1">
      <alignment horizontal="center" vertical="center" wrapText="1"/>
    </xf>
    <xf numFmtId="1" fontId="37" fillId="35" borderId="10" xfId="97" applyNumberFormat="1" applyFont="1" applyFill="1" applyBorder="1" applyAlignment="1">
      <alignment horizontal="center" vertical="center" wrapText="1"/>
    </xf>
    <xf numFmtId="172" fontId="71" fillId="39" borderId="10" xfId="113" applyNumberFormat="1" applyFont="1" applyFill="1" applyBorder="1" applyAlignment="1"/>
    <xf numFmtId="168" fontId="37" fillId="35" borderId="10" xfId="97" applyNumberFormat="1" applyFont="1" applyFill="1" applyBorder="1" applyAlignment="1">
      <alignment horizontal="left" vertical="center" wrapText="1"/>
    </xf>
    <xf numFmtId="168" fontId="11" fillId="35" borderId="10" xfId="97" quotePrefix="1" applyNumberFormat="1" applyFont="1" applyFill="1" applyBorder="1" applyAlignment="1">
      <alignment horizontal="left" vertical="center" wrapText="1" indent="3"/>
    </xf>
    <xf numFmtId="168" fontId="63" fillId="35" borderId="10" xfId="97" applyNumberFormat="1" applyFont="1" applyFill="1" applyBorder="1" applyAlignment="1">
      <alignment horizontal="left" vertical="center" wrapText="1"/>
    </xf>
    <xf numFmtId="168" fontId="60" fillId="35" borderId="10" xfId="97" quotePrefix="1" applyNumberFormat="1" applyFont="1" applyFill="1" applyBorder="1" applyAlignment="1">
      <alignment horizontal="left" vertical="center" wrapText="1" indent="1"/>
    </xf>
    <xf numFmtId="172" fontId="71" fillId="39" borderId="10" xfId="113" applyNumberFormat="1" applyFont="1" applyFill="1" applyBorder="1"/>
    <xf numFmtId="172" fontId="71" fillId="39" borderId="10" xfId="107" applyNumberFormat="1" applyFont="1" applyFill="1" applyBorder="1" applyAlignment="1">
      <alignment horizontal="right"/>
    </xf>
    <xf numFmtId="41" fontId="59" fillId="7" borderId="10" xfId="59" applyNumberFormat="1" applyFont="1" applyFill="1" applyBorder="1" applyAlignment="1">
      <alignment horizontal="left" indent="1"/>
    </xf>
    <xf numFmtId="41" fontId="7" fillId="13" borderId="10" xfId="59" applyNumberFormat="1" applyFont="1" applyFill="1" applyBorder="1" applyAlignment="1"/>
    <xf numFmtId="0" fontId="59" fillId="7" borderId="10" xfId="97" applyNumberFormat="1" applyFont="1" applyFill="1" applyBorder="1" applyAlignment="1">
      <alignment horizontal="right" indent="1"/>
    </xf>
    <xf numFmtId="14" fontId="59" fillId="7" borderId="25" xfId="97" applyNumberFormat="1" applyFont="1" applyFill="1" applyBorder="1" applyAlignment="1">
      <alignment horizontal="right"/>
    </xf>
    <xf numFmtId="0" fontId="59" fillId="7" borderId="25" xfId="97" applyNumberFormat="1" applyFont="1" applyFill="1" applyBorder="1" applyAlignment="1">
      <alignment horizontal="right" indent="1"/>
    </xf>
    <xf numFmtId="167" fontId="59" fillId="7" borderId="10" xfId="98" applyNumberFormat="1" applyFont="1" applyFill="1" applyBorder="1" applyAlignment="1">
      <alignment horizontal="right" indent="1"/>
    </xf>
    <xf numFmtId="0" fontId="59" fillId="7" borderId="25" xfId="98" applyNumberFormat="1" applyFont="1" applyFill="1" applyBorder="1" applyAlignment="1">
      <alignment horizontal="right" indent="1"/>
    </xf>
    <xf numFmtId="0" fontId="37" fillId="35" borderId="26" xfId="97" applyNumberFormat="1" applyFont="1" applyFill="1" applyBorder="1" applyAlignment="1">
      <alignment horizontal="center" vertical="center" wrapText="1"/>
    </xf>
    <xf numFmtId="0" fontId="37" fillId="35" borderId="10" xfId="97" applyNumberFormat="1" applyFont="1" applyFill="1" applyBorder="1" applyAlignment="1">
      <alignment horizontal="center" vertical="center" wrapText="1"/>
    </xf>
    <xf numFmtId="0" fontId="2" fillId="9" borderId="0" xfId="97" applyNumberFormat="1"/>
    <xf numFmtId="1" fontId="59" fillId="7" borderId="10" xfId="102" applyNumberFormat="1" applyFont="1" applyFill="1" applyBorder="1" applyAlignment="1">
      <alignment horizontal="right"/>
    </xf>
    <xf numFmtId="0" fontId="59" fillId="7" borderId="10" xfId="102" applyNumberFormat="1" applyFont="1" applyFill="1" applyBorder="1" applyAlignment="1">
      <alignment horizontal="right" indent="1"/>
    </xf>
    <xf numFmtId="0" fontId="59" fillId="7" borderId="10" xfId="102" applyNumberFormat="1" applyFont="1" applyFill="1" applyBorder="1" applyAlignment="1">
      <alignment horizontal="right"/>
    </xf>
    <xf numFmtId="41" fontId="2" fillId="9" borderId="0" xfId="100" applyNumberFormat="1"/>
    <xf numFmtId="167" fontId="60" fillId="35" borderId="28" xfId="59" applyNumberFormat="1" applyFont="1" applyFill="1" applyBorder="1" applyAlignment="1">
      <alignment horizontal="center" vertical="center"/>
    </xf>
    <xf numFmtId="14" fontId="59" fillId="7" borderId="10" xfId="100" applyNumberFormat="1" applyFont="1" applyFill="1" applyBorder="1" applyAlignment="1">
      <alignment horizontal="left" indent="1"/>
    </xf>
    <xf numFmtId="0" fontId="7" fillId="38" borderId="10" xfId="97" applyNumberFormat="1" applyFont="1" applyFill="1" applyBorder="1" applyAlignment="1">
      <alignment horizontal="left" indent="1"/>
    </xf>
    <xf numFmtId="0" fontId="7" fillId="37" borderId="11" xfId="97" applyNumberFormat="1" applyFont="1" applyFill="1" applyBorder="1" applyAlignment="1">
      <alignment horizontal="left" indent="1"/>
    </xf>
    <xf numFmtId="0" fontId="7" fillId="7" borderId="10" xfId="59" applyNumberFormat="1" applyFont="1" applyFill="1" applyBorder="1" applyAlignment="1">
      <alignment horizontal="left" indent="1"/>
    </xf>
    <xf numFmtId="0" fontId="7" fillId="38" borderId="10" xfId="97" applyNumberFormat="1" applyFont="1" applyFill="1" applyBorder="1" applyAlignment="1">
      <alignment horizontal="left"/>
    </xf>
    <xf numFmtId="164" fontId="7" fillId="13" borderId="10" xfId="59" applyNumberFormat="1" applyFont="1" applyFill="1" applyBorder="1" applyAlignment="1">
      <alignment horizontal="right"/>
    </xf>
    <xf numFmtId="164" fontId="59" fillId="7" borderId="10" xfId="59" applyNumberFormat="1" applyFont="1" applyFill="1" applyBorder="1" applyAlignment="1">
      <alignment horizontal="right"/>
    </xf>
    <xf numFmtId="164" fontId="4" fillId="13" borderId="10" xfId="59" applyNumberFormat="1" applyFont="1" applyFill="1" applyBorder="1" applyAlignment="1">
      <alignment horizontal="right"/>
    </xf>
    <xf numFmtId="164" fontId="7" fillId="37" borderId="27" xfId="59" applyNumberFormat="1" applyFont="1" applyFill="1" applyBorder="1" applyAlignment="1">
      <alignment horizontal="center"/>
    </xf>
    <xf numFmtId="164" fontId="7" fillId="37" borderId="25" xfId="59" applyNumberFormat="1" applyFont="1" applyFill="1" applyBorder="1" applyAlignment="1">
      <alignment horizontal="center"/>
    </xf>
    <xf numFmtId="164" fontId="71" fillId="39" borderId="10" xfId="113" applyNumberFormat="1" applyFont="1" applyFill="1" applyBorder="1" applyAlignment="1"/>
    <xf numFmtId="164" fontId="71" fillId="39" borderId="10" xfId="113" applyNumberFormat="1" applyFont="1" applyFill="1" applyBorder="1"/>
    <xf numFmtId="164" fontId="75" fillId="39" borderId="10" xfId="114" applyNumberFormat="1" applyFont="1" applyFill="1" applyBorder="1"/>
    <xf numFmtId="164" fontId="71" fillId="39" borderId="27" xfId="113" applyNumberFormat="1" applyFont="1" applyFill="1" applyBorder="1"/>
    <xf numFmtId="164" fontId="75" fillId="39" borderId="27" xfId="114" applyNumberFormat="1" applyFont="1" applyFill="1" applyBorder="1"/>
    <xf numFmtId="164" fontId="7" fillId="34" borderId="25" xfId="59" applyNumberFormat="1" applyFont="1" applyFill="1" applyBorder="1" applyAlignment="1">
      <alignment horizontal="right"/>
    </xf>
    <xf numFmtId="164" fontId="59" fillId="7" borderId="25" xfId="59" applyNumberFormat="1" applyFont="1" applyFill="1" applyBorder="1" applyAlignment="1">
      <alignment horizontal="right"/>
    </xf>
    <xf numFmtId="164" fontId="59" fillId="7" borderId="25" xfId="97" applyNumberFormat="1" applyFont="1" applyFill="1" applyBorder="1" applyAlignment="1">
      <alignment horizontal="right"/>
    </xf>
    <xf numFmtId="164" fontId="61" fillId="13" borderId="10" xfId="59" applyNumberFormat="1" applyFont="1" applyFill="1" applyBorder="1" applyAlignment="1">
      <alignment horizontal="right"/>
    </xf>
    <xf numFmtId="164" fontId="59" fillId="7" borderId="10" xfId="100" applyNumberFormat="1" applyFont="1" applyFill="1" applyBorder="1" applyAlignment="1">
      <alignment horizontal="right"/>
    </xf>
    <xf numFmtId="164" fontId="59" fillId="7" borderId="10" xfId="59" applyNumberFormat="1" applyFont="1" applyFill="1" applyBorder="1" applyAlignment="1"/>
    <xf numFmtId="164" fontId="7" fillId="44" borderId="10" xfId="59" applyNumberFormat="1" applyFont="1" applyFill="1" applyBorder="1" applyAlignment="1"/>
    <xf numFmtId="164" fontId="7" fillId="13" borderId="10" xfId="59" applyNumberFormat="1" applyFont="1" applyFill="1" applyBorder="1" applyAlignment="1"/>
    <xf numFmtId="10" fontId="59" fillId="7" borderId="10" xfId="59" applyNumberFormat="1" applyFont="1" applyFill="1" applyBorder="1" applyAlignment="1"/>
    <xf numFmtId="10" fontId="7" fillId="44" borderId="10" xfId="59" applyNumberFormat="1" applyFont="1" applyFill="1" applyBorder="1" applyAlignment="1"/>
    <xf numFmtId="164" fontId="39" fillId="13" borderId="10" xfId="59" applyNumberFormat="1" applyFont="1" applyFill="1" applyBorder="1" applyAlignment="1"/>
    <xf numFmtId="164" fontId="62" fillId="37" borderId="27" xfId="62" applyNumberFormat="1" applyFont="1" applyFill="1" applyBorder="1" applyAlignment="1">
      <alignment horizontal="center" vertical="center"/>
    </xf>
    <xf numFmtId="164" fontId="62" fillId="37" borderId="25" xfId="62" applyNumberFormat="1" applyFont="1" applyFill="1" applyBorder="1" applyAlignment="1">
      <alignment horizontal="center" vertical="center"/>
    </xf>
    <xf numFmtId="164" fontId="59" fillId="7" borderId="10" xfId="59" applyNumberFormat="1" applyFont="1" applyFill="1" applyBorder="1"/>
    <xf numFmtId="164" fontId="37" fillId="35" borderId="26" xfId="98" applyNumberFormat="1" applyFont="1" applyFill="1" applyBorder="1" applyAlignment="1">
      <alignment horizontal="center" vertical="center" wrapText="1"/>
    </xf>
    <xf numFmtId="164" fontId="38" fillId="13" borderId="10" xfId="59" applyNumberFormat="1" applyFont="1" applyFill="1" applyBorder="1" applyAlignment="1"/>
    <xf numFmtId="164" fontId="59" fillId="7" borderId="25" xfId="98" applyNumberFormat="1" applyFont="1" applyFill="1" applyBorder="1" applyAlignment="1">
      <alignment horizontal="right"/>
    </xf>
    <xf numFmtId="164" fontId="59" fillId="7" borderId="10" xfId="102" applyNumberFormat="1" applyFont="1" applyFill="1" applyBorder="1" applyAlignment="1">
      <alignment horizontal="right"/>
    </xf>
    <xf numFmtId="164" fontId="7" fillId="34" borderId="10" xfId="59" applyNumberFormat="1" applyFont="1" applyFill="1" applyBorder="1" applyAlignment="1">
      <alignment horizontal="right"/>
    </xf>
    <xf numFmtId="164" fontId="4" fillId="13" borderId="10" xfId="102" applyNumberFormat="1" applyFont="1" applyFill="1" applyBorder="1" applyAlignment="1">
      <alignment horizontal="right"/>
    </xf>
    <xf numFmtId="166" fontId="7" fillId="13" borderId="10" xfId="59" applyNumberFormat="1" applyFont="1" applyFill="1" applyBorder="1" applyAlignment="1">
      <alignment horizontal="right"/>
    </xf>
    <xf numFmtId="164" fontId="7" fillId="7" borderId="10" xfId="59" applyNumberFormat="1" applyFont="1" applyFill="1" applyBorder="1" applyAlignment="1">
      <alignment horizontal="right"/>
    </xf>
    <xf numFmtId="164" fontId="59" fillId="7" borderId="10" xfId="59" applyNumberFormat="1" applyFont="1" applyFill="1" applyBorder="1" applyAlignment="1">
      <alignment horizontal="left" indent="1"/>
    </xf>
    <xf numFmtId="164" fontId="4" fillId="37" borderId="27" xfId="59" applyNumberFormat="1" applyFont="1" applyFill="1" applyBorder="1" applyAlignment="1">
      <alignment horizontal="center" vertical="center" wrapText="1"/>
    </xf>
    <xf numFmtId="164" fontId="9" fillId="34" borderId="0" xfId="59" applyNumberFormat="1" applyFont="1" applyFill="1" applyBorder="1" applyAlignment="1" applyProtection="1">
      <alignment horizontal="right"/>
      <protection locked="0"/>
    </xf>
    <xf numFmtId="164" fontId="4" fillId="37" borderId="25" xfId="59" applyNumberFormat="1" applyFont="1" applyFill="1" applyBorder="1" applyAlignment="1">
      <alignment horizontal="center" vertical="center" wrapText="1"/>
    </xf>
    <xf numFmtId="164" fontId="9" fillId="34" borderId="34" xfId="59" applyNumberFormat="1" applyFont="1" applyFill="1" applyBorder="1" applyAlignment="1" applyProtection="1">
      <alignment horizontal="right"/>
      <protection locked="0"/>
    </xf>
    <xf numFmtId="43" fontId="39" fillId="13" borderId="10" xfId="59" applyNumberFormat="1" applyFont="1" applyFill="1" applyBorder="1" applyAlignment="1"/>
    <xf numFmtId="173" fontId="71" fillId="39" borderId="10" xfId="113" applyNumberFormat="1" applyFont="1" applyFill="1" applyBorder="1"/>
    <xf numFmtId="173" fontId="11" fillId="35" borderId="10" xfId="97" quotePrefix="1" applyNumberFormat="1" applyFont="1" applyFill="1" applyBorder="1" applyAlignment="1">
      <alignment horizontal="left" vertical="center" wrapText="1" indent="1"/>
    </xf>
    <xf numFmtId="41" fontId="76" fillId="0" borderId="0" xfId="114" applyNumberFormat="1" applyFont="1" applyFill="1" applyBorder="1"/>
    <xf numFmtId="49" fontId="63" fillId="35" borderId="32" xfId="100" applyNumberFormat="1" applyFont="1" applyFill="1" applyBorder="1" applyAlignment="1">
      <alignment horizontal="center" vertical="center" wrapText="1"/>
    </xf>
    <xf numFmtId="0" fontId="59" fillId="7" borderId="10" xfId="59" applyNumberFormat="1" applyFont="1" applyFill="1" applyBorder="1" applyAlignment="1">
      <alignment horizontal="right"/>
    </xf>
    <xf numFmtId="0" fontId="59" fillId="7" borderId="10" xfId="102" applyNumberFormat="1" applyFont="1" applyFill="1" applyBorder="1" applyAlignment="1">
      <alignment vertical="top"/>
    </xf>
    <xf numFmtId="0" fontId="64" fillId="9" borderId="0" xfId="95" applyFont="1" applyAlignment="1">
      <alignment horizontal="left" indent="1"/>
    </xf>
    <xf numFmtId="0" fontId="64" fillId="9" borderId="0" xfId="95" applyFont="1"/>
    <xf numFmtId="0" fontId="77" fillId="9" borderId="0" xfId="95" applyFont="1"/>
    <xf numFmtId="49" fontId="60" fillId="35" borderId="10" xfId="97" applyNumberFormat="1" applyFont="1" applyFill="1" applyBorder="1" applyAlignment="1">
      <alignment horizontal="left" indent="1"/>
    </xf>
    <xf numFmtId="0" fontId="63" fillId="37" borderId="27" xfId="98" applyFont="1" applyFill="1" applyBorder="1"/>
    <xf numFmtId="49" fontId="60" fillId="35" borderId="10" xfId="98" applyNumberFormat="1" applyFont="1" applyFill="1" applyBorder="1" applyAlignment="1">
      <alignment horizontal="left" indent="1"/>
    </xf>
    <xf numFmtId="49" fontId="60" fillId="31" borderId="10" xfId="98" applyNumberFormat="1" applyFont="1" applyFill="1" applyBorder="1" applyAlignment="1">
      <alignment horizontal="left" indent="1"/>
    </xf>
    <xf numFmtId="2" fontId="63" fillId="35" borderId="26" xfId="98" applyNumberFormat="1" applyFont="1" applyFill="1" applyBorder="1" applyAlignment="1">
      <alignment horizontal="left" vertical="center" wrapText="1"/>
    </xf>
    <xf numFmtId="41" fontId="60" fillId="35" borderId="11" xfId="98" applyNumberFormat="1" applyFont="1" applyFill="1" applyBorder="1" applyAlignment="1">
      <alignment horizontal="left" indent="1"/>
    </xf>
    <xf numFmtId="41" fontId="60" fillId="31" borderId="10" xfId="98" applyNumberFormat="1" applyFont="1" applyFill="1" applyBorder="1" applyAlignment="1">
      <alignment horizontal="left" indent="1"/>
    </xf>
    <xf numFmtId="41" fontId="4" fillId="37" borderId="27" xfId="98" applyNumberFormat="1" applyFont="1" applyFill="1" applyBorder="1"/>
    <xf numFmtId="41" fontId="63" fillId="31" borderId="10" xfId="98" applyNumberFormat="1" applyFont="1" applyFill="1" applyBorder="1" applyAlignment="1">
      <alignment horizontal="left"/>
    </xf>
    <xf numFmtId="41" fontId="4" fillId="37" borderId="27" xfId="98" applyNumberFormat="1" applyFont="1" applyFill="1" applyBorder="1" applyAlignment="1">
      <alignment horizontal="left"/>
    </xf>
    <xf numFmtId="2" fontId="60" fillId="35" borderId="28" xfId="59" applyNumberFormat="1" applyFont="1" applyFill="1" applyBorder="1" applyAlignment="1">
      <alignment horizontal="center" vertical="center"/>
    </xf>
    <xf numFmtId="1" fontId="60" fillId="35" borderId="28" xfId="59" applyNumberFormat="1" applyFont="1" applyFill="1" applyBorder="1" applyAlignment="1">
      <alignment horizontal="center" vertical="center"/>
    </xf>
    <xf numFmtId="49" fontId="60" fillId="35" borderId="10" xfId="102" applyNumberFormat="1" applyFont="1" applyFill="1" applyBorder="1" applyAlignment="1">
      <alignment horizontal="left" vertical="center" wrapText="1" indent="1"/>
    </xf>
    <xf numFmtId="49" fontId="63" fillId="32" borderId="10" xfId="100" applyNumberFormat="1" applyFont="1" applyFill="1" applyBorder="1" applyAlignment="1">
      <alignment horizontal="center" vertical="center" wrapText="1"/>
    </xf>
    <xf numFmtId="49" fontId="63" fillId="32" borderId="32" xfId="100" applyNumberFormat="1" applyFont="1" applyFill="1" applyBorder="1" applyAlignment="1">
      <alignment horizontal="center" vertical="center" wrapText="1"/>
    </xf>
    <xf numFmtId="49" fontId="63" fillId="45" borderId="32" xfId="100" applyNumberFormat="1" applyFont="1" applyFill="1" applyBorder="1" applyAlignment="1">
      <alignment horizontal="center" vertical="center" wrapText="1"/>
    </xf>
    <xf numFmtId="49" fontId="63" fillId="46" borderId="32" xfId="100" applyNumberFormat="1" applyFont="1" applyFill="1" applyBorder="1" applyAlignment="1">
      <alignment horizontal="center" vertical="center" wrapText="1"/>
    </xf>
    <xf numFmtId="49" fontId="63" fillId="32" borderId="27" xfId="100" applyNumberFormat="1" applyFont="1" applyFill="1" applyBorder="1" applyAlignment="1">
      <alignment horizontal="center" vertical="center" wrapText="1"/>
    </xf>
    <xf numFmtId="49" fontId="63" fillId="45" borderId="27" xfId="100" applyNumberFormat="1" applyFont="1" applyFill="1" applyBorder="1" applyAlignment="1">
      <alignment horizontal="center" vertical="center" wrapText="1"/>
    </xf>
    <xf numFmtId="49" fontId="63" fillId="45" borderId="11" xfId="100" applyNumberFormat="1" applyFont="1" applyFill="1" applyBorder="1" applyAlignment="1">
      <alignment horizontal="center" vertical="center" wrapText="1"/>
    </xf>
    <xf numFmtId="49" fontId="63" fillId="45" borderId="25" xfId="100" applyNumberFormat="1" applyFont="1" applyFill="1" applyBorder="1" applyAlignment="1">
      <alignment horizontal="center" vertical="center" wrapText="1"/>
    </xf>
    <xf numFmtId="49" fontId="63" fillId="46" borderId="27" xfId="100" applyNumberFormat="1" applyFont="1" applyFill="1" applyBorder="1" applyAlignment="1">
      <alignment horizontal="center" vertical="center" wrapText="1"/>
    </xf>
    <xf numFmtId="49" fontId="63" fillId="46" borderId="11" xfId="100" applyNumberFormat="1" applyFont="1" applyFill="1" applyBorder="1" applyAlignment="1">
      <alignment horizontal="center" vertical="center" wrapText="1"/>
    </xf>
    <xf numFmtId="49" fontId="63" fillId="46" borderId="25" xfId="100" applyNumberFormat="1" applyFont="1" applyFill="1" applyBorder="1" applyAlignment="1">
      <alignment horizontal="center" vertical="center" wrapText="1"/>
    </xf>
    <xf numFmtId="0" fontId="43" fillId="34" borderId="0" xfId="98" applyFont="1" applyFill="1"/>
    <xf numFmtId="0" fontId="44" fillId="34" borderId="0" xfId="98" applyFont="1" applyFill="1"/>
    <xf numFmtId="14" fontId="43" fillId="34" borderId="0" xfId="98" applyNumberFormat="1" applyFont="1" applyFill="1"/>
    <xf numFmtId="14" fontId="43" fillId="34" borderId="0" xfId="98" applyNumberFormat="1" applyFont="1" applyFill="1" applyAlignment="1">
      <alignment horizontal="left"/>
    </xf>
    <xf numFmtId="0" fontId="48" fillId="9" borderId="0" xfId="97" applyFont="1"/>
    <xf numFmtId="1" fontId="59" fillId="7" borderId="25" xfId="97" applyNumberFormat="1" applyFont="1" applyFill="1" applyBorder="1" applyAlignment="1">
      <alignment horizontal="center"/>
    </xf>
    <xf numFmtId="1" fontId="59" fillId="7" borderId="10" xfId="102" applyNumberFormat="1" applyFont="1" applyFill="1" applyBorder="1" applyAlignment="1">
      <alignment horizontal="center"/>
    </xf>
    <xf numFmtId="169" fontId="59" fillId="7" borderId="10" xfId="100" applyNumberFormat="1" applyFont="1" applyFill="1" applyBorder="1" applyAlignment="1">
      <alignment horizontal="right" indent="1"/>
    </xf>
    <xf numFmtId="0" fontId="3" fillId="33" borderId="0" xfId="0" applyFont="1" applyFill="1"/>
    <xf numFmtId="0" fontId="0" fillId="33" borderId="0" xfId="0" applyFill="1"/>
    <xf numFmtId="0" fontId="60" fillId="33" borderId="0" xfId="0" applyFont="1" applyFill="1"/>
    <xf numFmtId="0" fontId="5" fillId="33" borderId="0" xfId="0" applyFont="1" applyFill="1"/>
    <xf numFmtId="0" fontId="54" fillId="33" borderId="0" xfId="95" applyFont="1" applyFill="1"/>
    <xf numFmtId="0" fontId="5" fillId="33" borderId="0" xfId="97" applyFont="1" applyFill="1"/>
    <xf numFmtId="0" fontId="2" fillId="33" borderId="0" xfId="97" applyFill="1"/>
    <xf numFmtId="167" fontId="4" fillId="33" borderId="0" xfId="97" applyNumberFormat="1" applyFont="1" applyFill="1" applyBorder="1" applyAlignment="1">
      <alignment horizontal="left"/>
    </xf>
    <xf numFmtId="164" fontId="7" fillId="33" borderId="0" xfId="97" applyNumberFormat="1" applyFont="1" applyFill="1" applyBorder="1" applyAlignment="1">
      <alignment horizontal="center"/>
    </xf>
    <xf numFmtId="0" fontId="3" fillId="0" borderId="0" xfId="97" applyFont="1" applyFill="1" applyAlignment="1"/>
    <xf numFmtId="10" fontId="4" fillId="13" borderId="10" xfId="107" applyNumberFormat="1" applyFont="1" applyFill="1" applyBorder="1" applyAlignment="1">
      <alignment horizontal="right"/>
    </xf>
    <xf numFmtId="0" fontId="7" fillId="52" borderId="0" xfId="98" applyFill="1"/>
    <xf numFmtId="0" fontId="3" fillId="33" borderId="0" xfId="98" applyFont="1" applyFill="1"/>
    <xf numFmtId="0" fontId="68" fillId="33" borderId="0" xfId="0" applyFont="1" applyFill="1"/>
    <xf numFmtId="0" fontId="68" fillId="33" borderId="0" xfId="0" applyFont="1" applyFill="1" applyAlignment="1">
      <alignment horizontal="center" vertical="center"/>
    </xf>
    <xf numFmtId="0" fontId="5" fillId="52" borderId="0" xfId="0" applyFont="1" applyFill="1" applyAlignment="1" applyProtection="1">
      <alignment horizontal="left"/>
      <protection locked="0"/>
    </xf>
    <xf numFmtId="0" fontId="5" fillId="52" borderId="0" xfId="103" applyFont="1" applyFill="1" applyBorder="1"/>
    <xf numFmtId="43" fontId="69" fillId="33" borderId="0" xfId="0" applyNumberFormat="1" applyFont="1" applyFill="1"/>
    <xf numFmtId="43" fontId="68" fillId="33" borderId="0" xfId="0" applyNumberFormat="1" applyFont="1" applyFill="1"/>
    <xf numFmtId="0" fontId="69" fillId="33" borderId="0" xfId="0" applyFont="1" applyFill="1"/>
    <xf numFmtId="0" fontId="67" fillId="33" borderId="0" xfId="0" applyFont="1" applyFill="1"/>
    <xf numFmtId="41" fontId="71" fillId="33" borderId="0" xfId="113" applyNumberFormat="1" applyFont="1" applyFill="1" applyBorder="1"/>
    <xf numFmtId="0" fontId="71" fillId="33" borderId="0" xfId="113" applyFont="1" applyFill="1" applyBorder="1"/>
    <xf numFmtId="0" fontId="72" fillId="33" borderId="0" xfId="0" applyFont="1" applyFill="1"/>
    <xf numFmtId="164" fontId="71" fillId="33" borderId="0" xfId="113" applyNumberFormat="1" applyFont="1" applyFill="1" applyBorder="1"/>
    <xf numFmtId="170" fontId="68" fillId="33" borderId="0" xfId="0" applyNumberFormat="1" applyFont="1" applyFill="1"/>
    <xf numFmtId="0" fontId="59" fillId="7" borderId="10" xfId="100" applyNumberFormat="1" applyFont="1" applyFill="1" applyBorder="1" applyAlignment="1">
      <alignment horizontal="right" indent="1"/>
    </xf>
    <xf numFmtId="43" fontId="59" fillId="7" borderId="10" xfId="59" applyFont="1" applyFill="1" applyBorder="1" applyAlignment="1">
      <alignment horizontal="right"/>
    </xf>
    <xf numFmtId="175" fontId="59" fillId="7" borderId="10" xfId="59" applyNumberFormat="1" applyFont="1" applyFill="1" applyBorder="1" applyAlignment="1">
      <alignment horizontal="right"/>
    </xf>
    <xf numFmtId="0" fontId="59" fillId="7" borderId="10" xfId="102" applyNumberFormat="1" applyFont="1" applyFill="1" applyBorder="1" applyAlignment="1">
      <alignment horizontal="left"/>
    </xf>
    <xf numFmtId="174" fontId="59" fillId="7" borderId="10" xfId="59" applyNumberFormat="1" applyFont="1" applyFill="1" applyBorder="1" applyAlignment="1">
      <alignment horizontal="right"/>
    </xf>
    <xf numFmtId="14" fontId="7" fillId="0" borderId="0" xfId="92" applyNumberFormat="1" applyFont="1" applyAlignment="1">
      <alignment vertical="top"/>
    </xf>
    <xf numFmtId="1" fontId="59" fillId="33" borderId="0" xfId="92" applyFont="1" applyFill="1" applyBorder="1"/>
    <xf numFmtId="1" fontId="59" fillId="0" borderId="0" xfId="92" applyFont="1"/>
    <xf numFmtId="0" fontId="80" fillId="9" borderId="0" xfId="97" applyFont="1"/>
    <xf numFmtId="0" fontId="81" fillId="0" borderId="44" xfId="0" applyFont="1" applyBorder="1" applyAlignment="1">
      <alignment horizontal="center" vertical="center" wrapText="1"/>
    </xf>
    <xf numFmtId="0" fontId="2" fillId="33" borderId="0" xfId="0" applyFont="1" applyFill="1"/>
    <xf numFmtId="1" fontId="50" fillId="33" borderId="0" xfId="92" applyFill="1"/>
    <xf numFmtId="1" fontId="66" fillId="33" borderId="0" xfId="92" applyFont="1" applyFill="1" applyAlignment="1">
      <alignment horizontal="center" vertical="center" wrapText="1"/>
    </xf>
    <xf numFmtId="1" fontId="2" fillId="0" borderId="0" xfId="92" applyFont="1" applyAlignment="1">
      <alignment vertical="top"/>
    </xf>
    <xf numFmtId="49" fontId="2" fillId="0" borderId="0" xfId="92" applyNumberFormat="1" applyFont="1" applyAlignment="1">
      <alignment vertical="top"/>
    </xf>
    <xf numFmtId="1" fontId="2" fillId="0" borderId="0" xfId="92" applyFont="1" applyAlignment="1">
      <alignment vertical="top" wrapText="1"/>
    </xf>
    <xf numFmtId="1" fontId="50" fillId="33" borderId="0" xfId="92" applyFill="1" applyAlignment="1">
      <alignment horizontal="center" vertical="center"/>
    </xf>
    <xf numFmtId="1" fontId="50" fillId="33" borderId="0" xfId="92" applyFill="1" applyAlignment="1">
      <alignment vertical="top"/>
    </xf>
    <xf numFmtId="1" fontId="50" fillId="33" borderId="0" xfId="92" applyFill="1" applyAlignment="1">
      <alignment vertical="top" wrapText="1"/>
    </xf>
    <xf numFmtId="10" fontId="59"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7" fillId="9" borderId="0" xfId="98"/>
    <xf numFmtId="0" fontId="81" fillId="0" borderId="49" xfId="0" applyFont="1" applyBorder="1" applyAlignment="1">
      <alignment horizontal="center" vertical="center" wrapText="1"/>
    </xf>
    <xf numFmtId="0" fontId="81" fillId="0" borderId="51" xfId="0" applyFont="1" applyBorder="1" applyAlignment="1">
      <alignment horizontal="center" vertical="center" wrapText="1"/>
    </xf>
    <xf numFmtId="49" fontId="2" fillId="7" borderId="10" xfId="59" applyNumberFormat="1" applyFont="1" applyFill="1" applyBorder="1" applyAlignment="1" applyProtection="1">
      <alignment horizontal="right"/>
      <protection locked="0"/>
    </xf>
    <xf numFmtId="0" fontId="2" fillId="7" borderId="10" xfId="59" applyNumberFormat="1" applyFont="1" applyFill="1" applyBorder="1" applyAlignment="1" applyProtection="1">
      <alignment horizontal="right"/>
      <protection locked="0"/>
    </xf>
    <xf numFmtId="164" fontId="62" fillId="34" borderId="10" xfId="113" applyNumberFormat="1" applyFont="1" applyFill="1" applyBorder="1"/>
    <xf numFmtId="173" fontId="62" fillId="34" borderId="10" xfId="113" applyNumberFormat="1" applyFont="1" applyFill="1" applyBorder="1"/>
    <xf numFmtId="176" fontId="71" fillId="39" borderId="10" xfId="113" applyNumberFormat="1" applyFont="1" applyFill="1" applyBorder="1"/>
    <xf numFmtId="0" fontId="2" fillId="0" borderId="0" xfId="0" applyFont="1" applyAlignment="1">
      <alignment vertical="center" wrapText="1"/>
    </xf>
    <xf numFmtId="174" fontId="59" fillId="7" borderId="25" xfId="59" applyNumberFormat="1" applyFont="1" applyFill="1" applyBorder="1" applyAlignment="1">
      <alignment horizontal="center"/>
    </xf>
    <xf numFmtId="0" fontId="2" fillId="0" borderId="0" xfId="0" applyFont="1" applyAlignment="1">
      <alignment horizontal="left" vertical="top"/>
    </xf>
    <xf numFmtId="0" fontId="2" fillId="0" borderId="0" xfId="0" applyFont="1" applyAlignment="1">
      <alignment vertical="top" wrapText="1"/>
    </xf>
    <xf numFmtId="0" fontId="14" fillId="7" borderId="11" xfId="72" applyFill="1" applyBorder="1" applyAlignment="1" applyProtection="1">
      <alignment horizontal="left"/>
      <protection locked="0"/>
    </xf>
    <xf numFmtId="0" fontId="59" fillId="7" borderId="27" xfId="97" applyFont="1" applyFill="1" applyBorder="1" applyAlignment="1" applyProtection="1">
      <alignment horizontal="left"/>
      <protection locked="0"/>
    </xf>
    <xf numFmtId="0" fontId="59" fillId="7" borderId="25" xfId="97" applyFont="1" applyFill="1" applyBorder="1" applyAlignment="1" applyProtection="1">
      <alignment horizontal="left"/>
      <protection locked="0"/>
    </xf>
    <xf numFmtId="0" fontId="11" fillId="35" borderId="0" xfId="97" applyFont="1" applyFill="1" applyBorder="1" applyAlignment="1">
      <alignment horizontal="right" indent="1"/>
    </xf>
    <xf numFmtId="0" fontId="11" fillId="35" borderId="34" xfId="97" applyFont="1" applyFill="1" applyBorder="1" applyAlignment="1">
      <alignment horizontal="right" indent="1"/>
    </xf>
    <xf numFmtId="0" fontId="59" fillId="7" borderId="10" xfId="97" applyFont="1" applyFill="1" applyBorder="1" applyAlignment="1" applyProtection="1">
      <alignment horizontal="left"/>
      <protection locked="0"/>
    </xf>
    <xf numFmtId="0" fontId="59" fillId="7" borderId="11" xfId="97" applyFont="1" applyFill="1" applyBorder="1" applyAlignment="1" applyProtection="1">
      <alignment horizontal="left"/>
      <protection locked="0"/>
    </xf>
    <xf numFmtId="0" fontId="59" fillId="9" borderId="27" xfId="97" applyFont="1" applyBorder="1"/>
    <xf numFmtId="0" fontId="59" fillId="9" borderId="25" xfId="97" applyFont="1" applyBorder="1"/>
    <xf numFmtId="0" fontId="5" fillId="9" borderId="31" xfId="95" applyFont="1" applyBorder="1" applyAlignment="1" applyProtection="1">
      <protection locked="0"/>
    </xf>
    <xf numFmtId="0" fontId="2" fillId="9" borderId="12" xfId="95" applyBorder="1" applyAlignment="1"/>
    <xf numFmtId="0" fontId="2" fillId="9" borderId="14" xfId="95" applyBorder="1" applyAlignment="1"/>
    <xf numFmtId="0" fontId="78" fillId="7" borderId="27" xfId="95" applyFont="1" applyFill="1" applyBorder="1" applyAlignment="1"/>
    <xf numFmtId="0" fontId="59" fillId="7" borderId="27" xfId="94" applyFont="1" applyFill="1" applyBorder="1" applyAlignment="1"/>
    <xf numFmtId="0" fontId="59" fillId="7" borderId="25" xfId="94" applyFont="1" applyFill="1" applyBorder="1" applyAlignment="1"/>
    <xf numFmtId="14" fontId="78" fillId="7" borderId="27" xfId="95" applyNumberFormat="1" applyFont="1" applyFill="1" applyBorder="1" applyAlignment="1"/>
    <xf numFmtId="14" fontId="59" fillId="7" borderId="27" xfId="94" applyNumberFormat="1" applyFont="1" applyFill="1" applyBorder="1" applyAlignment="1"/>
    <xf numFmtId="14" fontId="59" fillId="7" borderId="25" xfId="94" applyNumberFormat="1" applyFont="1" applyFill="1" applyBorder="1" applyAlignment="1"/>
    <xf numFmtId="0" fontId="64" fillId="35" borderId="11" xfId="95" applyFont="1" applyFill="1" applyBorder="1" applyAlignment="1">
      <alignment horizontal="left" vertical="top" wrapText="1" indent="1"/>
    </xf>
    <xf numFmtId="0" fontId="64" fillId="35" borderId="25" xfId="95" applyFont="1" applyFill="1" applyBorder="1" applyAlignment="1">
      <alignment horizontal="left" vertical="top" wrapText="1" indent="1"/>
    </xf>
    <xf numFmtId="0" fontId="78" fillId="7" borderId="27" xfId="95" applyFont="1" applyFill="1" applyBorder="1" applyAlignment="1">
      <alignment horizontal="left" vertical="center"/>
    </xf>
    <xf numFmtId="0" fontId="59" fillId="7" borderId="27" xfId="94" applyFont="1" applyFill="1" applyBorder="1" applyAlignment="1">
      <alignment horizontal="left" vertical="center"/>
    </xf>
    <xf numFmtId="0" fontId="59" fillId="7" borderId="25" xfId="94" applyFont="1" applyFill="1" applyBorder="1" applyAlignment="1">
      <alignment horizontal="left" vertical="center"/>
    </xf>
    <xf numFmtId="0" fontId="64" fillId="35" borderId="11" xfId="95" applyFont="1" applyFill="1" applyBorder="1" applyAlignment="1">
      <alignment horizontal="left" vertical="top" wrapText="1"/>
    </xf>
    <xf numFmtId="0" fontId="64" fillId="35" borderId="27" xfId="95" applyFont="1" applyFill="1" applyBorder="1" applyAlignment="1">
      <alignment horizontal="left" vertical="top" wrapText="1"/>
    </xf>
    <xf numFmtId="0" fontId="64" fillId="35" borderId="25" xfId="95" applyFont="1" applyFill="1" applyBorder="1" applyAlignment="1">
      <alignment horizontal="left" vertical="top" wrapText="1"/>
    </xf>
    <xf numFmtId="0" fontId="78" fillId="7" borderId="27" xfId="95" applyFont="1" applyFill="1" applyBorder="1" applyAlignment="1">
      <alignment horizontal="left" vertical="center" wrapText="1"/>
    </xf>
    <xf numFmtId="0" fontId="59" fillId="7" borderId="27" xfId="94" applyFont="1" applyFill="1" applyBorder="1" applyAlignment="1">
      <alignment horizontal="left" vertical="center" wrapText="1"/>
    </xf>
    <xf numFmtId="0" fontId="59" fillId="7" borderId="25" xfId="94" applyFont="1" applyFill="1" applyBorder="1" applyAlignment="1">
      <alignment horizontal="left" vertical="center" wrapText="1"/>
    </xf>
    <xf numFmtId="0" fontId="7" fillId="0" borderId="0" xfId="95" applyFont="1" applyFill="1" applyBorder="1" applyAlignment="1" applyProtection="1"/>
    <xf numFmtId="0" fontId="2" fillId="9" borderId="0" xfId="95" applyBorder="1" applyAlignment="1"/>
    <xf numFmtId="0" fontId="78" fillId="7" borderId="10" xfId="95" applyFont="1" applyFill="1" applyBorder="1" applyAlignment="1"/>
    <xf numFmtId="0" fontId="85" fillId="7" borderId="10" xfId="95" applyFont="1" applyFill="1" applyBorder="1" applyAlignment="1"/>
    <xf numFmtId="0" fontId="59" fillId="7" borderId="10" xfId="95" applyFont="1" applyFill="1" applyBorder="1" applyAlignment="1"/>
    <xf numFmtId="0" fontId="10" fillId="0" borderId="0" xfId="95" applyFont="1" applyFill="1" applyAlignment="1"/>
    <xf numFmtId="0" fontId="2" fillId="0" borderId="0" xfId="94" applyFill="1" applyAlignment="1"/>
    <xf numFmtId="0" fontId="16" fillId="36" borderId="0" xfId="93" applyFont="1" applyFill="1" applyBorder="1" applyAlignment="1">
      <alignment horizontal="left" vertical="center"/>
    </xf>
    <xf numFmtId="0" fontId="4" fillId="47" borderId="10" xfId="112" applyNumberFormat="1" applyFont="1" applyFill="1" applyBorder="1" applyAlignment="1">
      <alignment horizontal="center" vertical="center"/>
    </xf>
    <xf numFmtId="0" fontId="4" fillId="48" borderId="10" xfId="112" applyNumberFormat="1" applyFont="1" applyFill="1" applyBorder="1" applyAlignment="1">
      <alignment horizontal="center" vertical="center"/>
    </xf>
    <xf numFmtId="0" fontId="5" fillId="0" borderId="0" xfId="99" applyFont="1" applyFill="1" applyBorder="1" applyAlignment="1">
      <alignment horizontal="left" vertical="center"/>
    </xf>
    <xf numFmtId="2" fontId="37" fillId="35" borderId="11" xfId="97" applyNumberFormat="1" applyFont="1" applyFill="1" applyBorder="1" applyAlignment="1">
      <alignment horizontal="center" vertical="center" wrapText="1"/>
    </xf>
    <xf numFmtId="2" fontId="37" fillId="35" borderId="27" xfId="97" applyNumberFormat="1" applyFont="1" applyFill="1" applyBorder="1" applyAlignment="1">
      <alignment horizontal="center" vertical="center" wrapText="1"/>
    </xf>
    <xf numFmtId="2" fontId="37" fillId="35" borderId="25" xfId="97" applyNumberFormat="1" applyFont="1" applyFill="1" applyBorder="1" applyAlignment="1">
      <alignment horizontal="center" vertical="center" wrapText="1"/>
    </xf>
    <xf numFmtId="0" fontId="3" fillId="0" borderId="0" xfId="97" applyFont="1" applyFill="1" applyAlignment="1">
      <alignment horizontal="left"/>
    </xf>
    <xf numFmtId="0" fontId="3" fillId="0" borderId="0" xfId="97" applyFont="1" applyFill="1" applyAlignment="1"/>
    <xf numFmtId="168" fontId="11" fillId="35" borderId="11" xfId="97" quotePrefix="1" applyNumberFormat="1" applyFont="1" applyFill="1" applyBorder="1" applyAlignment="1">
      <alignment horizontal="right" vertical="center" wrapText="1"/>
    </xf>
    <xf numFmtId="168" fontId="11" fillId="35" borderId="25" xfId="97" quotePrefix="1" applyNumberFormat="1" applyFont="1" applyFill="1" applyBorder="1" applyAlignment="1">
      <alignment horizontal="right" vertical="center" wrapText="1"/>
    </xf>
    <xf numFmtId="0" fontId="3" fillId="9" borderId="0" xfId="100" applyFont="1" applyAlignment="1"/>
    <xf numFmtId="0" fontId="5" fillId="44" borderId="0" xfId="0" applyFont="1" applyFill="1" applyAlignment="1">
      <alignment horizontal="left" vertical="top" wrapText="1"/>
    </xf>
    <xf numFmtId="0" fontId="3" fillId="9" borderId="0" xfId="97" applyFont="1" applyAlignment="1"/>
    <xf numFmtId="0" fontId="5" fillId="44" borderId="0" xfId="0" applyFont="1" applyFill="1" applyAlignment="1">
      <alignment horizontal="center" wrapText="1"/>
    </xf>
    <xf numFmtId="0" fontId="37" fillId="31" borderId="27" xfId="100" applyFont="1" applyFill="1" applyBorder="1" applyAlignment="1">
      <alignment horizontal="right"/>
    </xf>
    <xf numFmtId="0" fontId="37" fillId="31" borderId="25" xfId="100" applyFont="1" applyFill="1" applyBorder="1" applyAlignment="1">
      <alignment horizontal="right"/>
    </xf>
    <xf numFmtId="49" fontId="37" fillId="35" borderId="30" xfId="102" applyNumberFormat="1" applyFont="1" applyFill="1" applyBorder="1" applyAlignment="1">
      <alignment horizontal="center" vertical="center" wrapText="1"/>
    </xf>
    <xf numFmtId="49" fontId="37" fillId="35" borderId="0" xfId="102" applyNumberFormat="1" applyFont="1" applyFill="1" applyBorder="1" applyAlignment="1">
      <alignment horizontal="center" vertical="center" wrapText="1"/>
    </xf>
    <xf numFmtId="49" fontId="70" fillId="42" borderId="29" xfId="100" applyNumberFormat="1" applyFont="1" applyFill="1" applyBorder="1" applyAlignment="1">
      <alignment horizontal="center" vertical="center" wrapText="1"/>
    </xf>
    <xf numFmtId="49" fontId="70" fillId="42" borderId="26" xfId="100" applyNumberFormat="1" applyFont="1" applyFill="1" applyBorder="1" applyAlignment="1">
      <alignment horizontal="center" vertical="center" wrapText="1"/>
    </xf>
    <xf numFmtId="49" fontId="70" fillId="42" borderId="35" xfId="100" applyNumberFormat="1" applyFont="1" applyFill="1" applyBorder="1" applyAlignment="1">
      <alignment horizontal="center" vertical="center" wrapText="1"/>
    </xf>
    <xf numFmtId="0" fontId="47" fillId="49" borderId="10" xfId="0" applyNumberFormat="1" applyFont="1" applyFill="1" applyBorder="1" applyAlignment="1" applyProtection="1">
      <alignment horizontal="center"/>
      <protection locked="0"/>
    </xf>
    <xf numFmtId="0" fontId="47" fillId="44" borderId="10" xfId="0" applyNumberFormat="1" applyFont="1" applyFill="1" applyBorder="1" applyAlignment="1" applyProtection="1">
      <alignment horizontal="center"/>
      <protection locked="0"/>
    </xf>
    <xf numFmtId="0" fontId="2" fillId="9" borderId="0" xfId="97" applyAlignment="1"/>
    <xf numFmtId="49" fontId="70" fillId="41" borderId="11" xfId="100" applyNumberFormat="1" applyFont="1" applyFill="1" applyBorder="1" applyAlignment="1">
      <alignment horizontal="center" vertical="center" wrapText="1"/>
    </xf>
    <xf numFmtId="49" fontId="70" fillId="41" borderId="27" xfId="100" applyNumberFormat="1" applyFont="1" applyFill="1" applyBorder="1" applyAlignment="1">
      <alignment horizontal="center" vertical="center" wrapText="1"/>
    </xf>
    <xf numFmtId="49" fontId="70" fillId="41" borderId="25" xfId="100" applyNumberFormat="1" applyFont="1" applyFill="1" applyBorder="1" applyAlignment="1">
      <alignment horizontal="center" vertical="center" wrapText="1"/>
    </xf>
    <xf numFmtId="49" fontId="70" fillId="42" borderId="11" xfId="100" applyNumberFormat="1" applyFont="1" applyFill="1" applyBorder="1" applyAlignment="1">
      <alignment horizontal="center" vertical="center" wrapText="1"/>
    </xf>
    <xf numFmtId="49" fontId="70" fillId="42" borderId="27" xfId="100" applyNumberFormat="1" applyFont="1" applyFill="1" applyBorder="1" applyAlignment="1">
      <alignment horizontal="center" vertical="center" wrapText="1"/>
    </xf>
    <xf numFmtId="49" fontId="70" fillId="42" borderId="25" xfId="100" applyNumberFormat="1" applyFont="1" applyFill="1" applyBorder="1" applyAlignment="1">
      <alignment horizontal="center" vertical="center" wrapText="1"/>
    </xf>
    <xf numFmtId="49" fontId="37" fillId="35" borderId="28" xfId="100" applyNumberFormat="1" applyFont="1" applyFill="1" applyBorder="1" applyAlignment="1">
      <alignment horizontal="center" vertical="center" wrapText="1"/>
    </xf>
    <xf numFmtId="49" fontId="37" fillId="35" borderId="32" xfId="100" applyNumberFormat="1" applyFont="1" applyFill="1" applyBorder="1" applyAlignment="1">
      <alignment horizontal="center" vertical="center" wrapText="1"/>
    </xf>
    <xf numFmtId="49" fontId="37" fillId="35" borderId="24" xfId="100" applyNumberFormat="1" applyFont="1" applyFill="1" applyBorder="1" applyAlignment="1">
      <alignment horizontal="center" vertical="center" wrapText="1"/>
    </xf>
    <xf numFmtId="49" fontId="63" fillId="35" borderId="28" xfId="100" applyNumberFormat="1" applyFont="1" applyFill="1" applyBorder="1" applyAlignment="1">
      <alignment horizontal="center" vertical="center" wrapText="1"/>
    </xf>
    <xf numFmtId="49" fontId="63" fillId="35" borderId="32" xfId="100" applyNumberFormat="1" applyFont="1" applyFill="1" applyBorder="1" applyAlignment="1">
      <alignment horizontal="center" vertical="center" wrapText="1"/>
    </xf>
    <xf numFmtId="49" fontId="63" fillId="35" borderId="24" xfId="100" applyNumberFormat="1" applyFont="1" applyFill="1" applyBorder="1" applyAlignment="1">
      <alignment horizontal="center" vertical="center" wrapText="1"/>
    </xf>
    <xf numFmtId="49" fontId="70" fillId="50" borderId="30" xfId="100" applyNumberFormat="1" applyFont="1" applyFill="1" applyBorder="1" applyAlignment="1">
      <alignment horizontal="center" vertical="center" wrapText="1"/>
    </xf>
    <xf numFmtId="49" fontId="70" fillId="50" borderId="0" xfId="100" applyNumberFormat="1" applyFont="1" applyFill="1" applyBorder="1" applyAlignment="1">
      <alignment horizontal="center" vertical="center" wrapText="1"/>
    </xf>
    <xf numFmtId="49" fontId="70" fillId="50" borderId="34" xfId="100" applyNumberFormat="1" applyFont="1" applyFill="1" applyBorder="1" applyAlignment="1">
      <alignment horizontal="center" vertical="center" wrapText="1"/>
    </xf>
    <xf numFmtId="49" fontId="70" fillId="50" borderId="29" xfId="100" applyNumberFormat="1" applyFont="1" applyFill="1" applyBorder="1" applyAlignment="1">
      <alignment horizontal="center" vertical="center" wrapText="1"/>
    </xf>
    <xf numFmtId="49" fontId="70" fillId="50" borderId="26" xfId="100" applyNumberFormat="1" applyFont="1" applyFill="1" applyBorder="1" applyAlignment="1">
      <alignment horizontal="center" vertical="center" wrapText="1"/>
    </xf>
    <xf numFmtId="49" fontId="70" fillId="50" borderId="35" xfId="100" applyNumberFormat="1" applyFont="1" applyFill="1" applyBorder="1" applyAlignment="1">
      <alignment horizontal="center" vertical="center" wrapText="1"/>
    </xf>
    <xf numFmtId="49" fontId="70" fillId="51" borderId="33" xfId="100" applyNumberFormat="1" applyFont="1" applyFill="1" applyBorder="1" applyAlignment="1">
      <alignment horizontal="center" vertical="center" wrapText="1"/>
    </xf>
    <xf numFmtId="49" fontId="70" fillId="51" borderId="36" xfId="100" applyNumberFormat="1" applyFont="1" applyFill="1" applyBorder="1" applyAlignment="1">
      <alignment horizontal="center" vertical="center" wrapText="1"/>
    </xf>
    <xf numFmtId="49" fontId="70" fillId="51" borderId="37" xfId="100" applyNumberFormat="1" applyFont="1" applyFill="1" applyBorder="1" applyAlignment="1">
      <alignment horizontal="center" vertical="center" wrapText="1"/>
    </xf>
    <xf numFmtId="49" fontId="70" fillId="51" borderId="29" xfId="100" applyNumberFormat="1" applyFont="1" applyFill="1" applyBorder="1" applyAlignment="1">
      <alignment horizontal="center" vertical="center" wrapText="1"/>
    </xf>
    <xf numFmtId="49" fontId="70" fillId="51" borderId="26" xfId="100" applyNumberFormat="1" applyFont="1" applyFill="1" applyBorder="1" applyAlignment="1">
      <alignment horizontal="center" vertical="center" wrapText="1"/>
    </xf>
    <xf numFmtId="49" fontId="63" fillId="35" borderId="11" xfId="100" applyNumberFormat="1" applyFont="1" applyFill="1" applyBorder="1" applyAlignment="1">
      <alignment horizontal="center" vertical="center" wrapText="1"/>
    </xf>
    <xf numFmtId="49" fontId="63" fillId="35" borderId="27" xfId="100" applyNumberFormat="1" applyFont="1" applyFill="1" applyBorder="1" applyAlignment="1">
      <alignment horizontal="center" vertical="center" wrapText="1"/>
    </xf>
    <xf numFmtId="49" fontId="63" fillId="35" borderId="25" xfId="100" applyNumberFormat="1" applyFont="1" applyFill="1" applyBorder="1" applyAlignment="1">
      <alignment horizontal="center" vertical="center" wrapText="1"/>
    </xf>
    <xf numFmtId="49" fontId="70" fillId="41" borderId="29" xfId="100" applyNumberFormat="1" applyFont="1" applyFill="1" applyBorder="1" applyAlignment="1">
      <alignment horizontal="center" vertical="center" wrapText="1"/>
    </xf>
    <xf numFmtId="49" fontId="70" fillId="41" borderId="26" xfId="100" applyNumberFormat="1" applyFont="1" applyFill="1" applyBorder="1" applyAlignment="1">
      <alignment horizontal="center" vertical="center" wrapText="1"/>
    </xf>
    <xf numFmtId="49" fontId="70" fillId="41" borderId="35" xfId="100" applyNumberFormat="1" applyFont="1" applyFill="1" applyBorder="1" applyAlignment="1">
      <alignment horizontal="center" vertical="center" wrapText="1"/>
    </xf>
    <xf numFmtId="0" fontId="59" fillId="7" borderId="10" xfId="97" applyNumberFormat="1" applyFont="1" applyFill="1" applyBorder="1" applyAlignment="1">
      <alignment horizontal="left" indent="1"/>
    </xf>
    <xf numFmtId="168" fontId="37" fillId="35" borderId="11" xfId="97" quotePrefix="1" applyNumberFormat="1" applyFont="1" applyFill="1" applyBorder="1" applyAlignment="1">
      <alignment horizontal="left" vertical="center" wrapText="1"/>
    </xf>
    <xf numFmtId="168" fontId="37" fillId="35" borderId="27" xfId="97" quotePrefix="1" applyNumberFormat="1" applyFont="1" applyFill="1" applyBorder="1" applyAlignment="1">
      <alignment horizontal="left" vertical="center" wrapText="1"/>
    </xf>
    <xf numFmtId="168" fontId="37" fillId="35" borderId="25" xfId="97" quotePrefix="1" applyNumberFormat="1" applyFont="1" applyFill="1" applyBorder="1" applyAlignment="1">
      <alignment horizontal="left" vertical="center" wrapText="1"/>
    </xf>
    <xf numFmtId="0" fontId="59" fillId="7" borderId="11" xfId="102" applyNumberFormat="1" applyFont="1" applyFill="1" applyBorder="1" applyAlignment="1">
      <alignment horizontal="left"/>
    </xf>
    <xf numFmtId="0" fontId="59" fillId="7" borderId="27" xfId="102" applyNumberFormat="1" applyFont="1" applyFill="1" applyBorder="1" applyAlignment="1">
      <alignment horizontal="left"/>
    </xf>
    <xf numFmtId="0" fontId="59" fillId="7" borderId="25" xfId="102" applyNumberFormat="1" applyFont="1" applyFill="1" applyBorder="1" applyAlignment="1">
      <alignment horizontal="left"/>
    </xf>
    <xf numFmtId="0" fontId="81" fillId="33" borderId="22" xfId="0" applyFont="1" applyFill="1" applyBorder="1" applyAlignment="1">
      <alignment horizontal="left" vertical="top" wrapText="1"/>
    </xf>
    <xf numFmtId="0" fontId="81" fillId="33" borderId="0" xfId="0" applyFont="1" applyFill="1" applyBorder="1" applyAlignment="1">
      <alignment horizontal="left" vertical="top" wrapText="1"/>
    </xf>
    <xf numFmtId="0" fontId="81" fillId="33" borderId="15" xfId="0" applyFont="1" applyFill="1" applyBorder="1" applyAlignment="1">
      <alignment horizontal="left" vertical="top" wrapText="1"/>
    </xf>
    <xf numFmtId="0" fontId="81" fillId="0" borderId="31" xfId="0" applyFont="1" applyBorder="1" applyAlignment="1">
      <alignment horizontal="center" vertical="center" wrapText="1"/>
    </xf>
    <xf numFmtId="0" fontId="81" fillId="0" borderId="22" xfId="0" applyFont="1" applyBorder="1" applyAlignment="1">
      <alignment horizontal="center" vertical="center" wrapText="1"/>
    </xf>
    <xf numFmtId="0" fontId="81" fillId="0" borderId="57" xfId="0" applyFont="1" applyBorder="1" applyAlignment="1">
      <alignment horizontal="center" vertical="center" wrapText="1"/>
    </xf>
    <xf numFmtId="0" fontId="81" fillId="0" borderId="49" xfId="90" applyFont="1" applyBorder="1" applyAlignment="1">
      <alignment horizontal="center" vertical="center" wrapText="1"/>
    </xf>
    <xf numFmtId="0" fontId="81" fillId="0" borderId="45" xfId="90" applyFont="1" applyBorder="1" applyAlignment="1">
      <alignment horizontal="center" vertical="center" wrapText="1"/>
    </xf>
    <xf numFmtId="0" fontId="81" fillId="33" borderId="31" xfId="0" applyFont="1" applyFill="1" applyBorder="1" applyAlignment="1">
      <alignment horizontal="left" vertical="top" wrapText="1"/>
    </xf>
    <xf numFmtId="0" fontId="81" fillId="33" borderId="12" xfId="0" applyFont="1" applyFill="1" applyBorder="1" applyAlignment="1">
      <alignment horizontal="left" vertical="top" wrapText="1"/>
    </xf>
    <xf numFmtId="0" fontId="81" fillId="33" borderId="14" xfId="0" applyFont="1" applyFill="1" applyBorder="1" applyAlignment="1">
      <alignment horizontal="left" vertical="top" wrapText="1"/>
    </xf>
    <xf numFmtId="0" fontId="81" fillId="33" borderId="61" xfId="0" applyFont="1" applyFill="1" applyBorder="1" applyAlignment="1">
      <alignment horizontal="left" vertical="top" wrapText="1"/>
    </xf>
    <xf numFmtId="0" fontId="81" fillId="33" borderId="26" xfId="0" applyFont="1" applyFill="1" applyBorder="1" applyAlignment="1">
      <alignment horizontal="left" vertical="top" wrapText="1"/>
    </xf>
    <xf numFmtId="0" fontId="81" fillId="33" borderId="48" xfId="0" applyFont="1" applyFill="1" applyBorder="1" applyAlignment="1">
      <alignment horizontal="left" vertical="top" wrapText="1"/>
    </xf>
    <xf numFmtId="0" fontId="81" fillId="33" borderId="42" xfId="0" applyFont="1" applyFill="1" applyBorder="1" applyAlignment="1">
      <alignment horizontal="left" vertical="top" wrapText="1"/>
    </xf>
    <xf numFmtId="0" fontId="81" fillId="33" borderId="43" xfId="0" applyFont="1" applyFill="1" applyBorder="1" applyAlignment="1">
      <alignment horizontal="left" vertical="top" wrapText="1"/>
    </xf>
    <xf numFmtId="0" fontId="81" fillId="33" borderId="47" xfId="0" applyFont="1" applyFill="1" applyBorder="1" applyAlignment="1">
      <alignment horizontal="left" vertical="top" wrapText="1"/>
    </xf>
    <xf numFmtId="0" fontId="81" fillId="0" borderId="58" xfId="0" applyFont="1" applyBorder="1" applyAlignment="1">
      <alignment horizontal="left" vertical="top" wrapText="1"/>
    </xf>
    <xf numFmtId="0" fontId="81" fillId="0" borderId="59" xfId="0" applyFont="1" applyBorder="1" applyAlignment="1">
      <alignment horizontal="left" vertical="top" wrapText="1"/>
    </xf>
    <xf numFmtId="0" fontId="81" fillId="0" borderId="60" xfId="0" applyFont="1" applyBorder="1" applyAlignment="1">
      <alignment horizontal="left" vertical="top" wrapText="1"/>
    </xf>
    <xf numFmtId="0" fontId="81" fillId="0" borderId="53" xfId="0" applyFont="1" applyBorder="1" applyAlignment="1">
      <alignment horizontal="left" vertical="top"/>
    </xf>
    <xf numFmtId="0" fontId="81" fillId="0" borderId="27" xfId="0" applyFont="1" applyBorder="1" applyAlignment="1">
      <alignment horizontal="left" vertical="top"/>
    </xf>
    <xf numFmtId="0" fontId="81" fillId="0" borderId="54" xfId="0" applyFont="1" applyBorder="1" applyAlignment="1">
      <alignment horizontal="left" vertical="top"/>
    </xf>
    <xf numFmtId="0" fontId="81" fillId="0" borderId="49" xfId="0" applyFont="1" applyBorder="1" applyAlignment="1">
      <alignment horizontal="center" vertical="center" wrapText="1"/>
    </xf>
    <xf numFmtId="0" fontId="81" fillId="0" borderId="50" xfId="0" applyFont="1" applyBorder="1" applyAlignment="1">
      <alignment horizontal="center" vertical="center" wrapText="1"/>
    </xf>
    <xf numFmtId="0" fontId="81" fillId="33" borderId="58" xfId="0" applyFont="1" applyFill="1" applyBorder="1" applyAlignment="1">
      <alignment horizontal="left" vertical="top" wrapText="1"/>
    </xf>
    <xf numFmtId="0" fontId="81" fillId="33" borderId="59" xfId="0" applyFont="1" applyFill="1" applyBorder="1" applyAlignment="1">
      <alignment horizontal="left" vertical="top" wrapText="1"/>
    </xf>
    <xf numFmtId="0" fontId="81" fillId="33" borderId="60" xfId="0" applyFont="1" applyFill="1" applyBorder="1" applyAlignment="1">
      <alignment horizontal="left" vertical="top" wrapText="1"/>
    </xf>
    <xf numFmtId="0" fontId="81" fillId="33" borderId="23" xfId="0" applyFont="1" applyFill="1" applyBorder="1" applyAlignment="1">
      <alignment horizontal="left" vertical="top" wrapText="1"/>
    </xf>
    <xf numFmtId="0" fontId="81" fillId="33" borderId="13" xfId="0" applyFont="1" applyFill="1" applyBorder="1" applyAlignment="1">
      <alignment horizontal="left" vertical="top" wrapText="1"/>
    </xf>
    <xf numFmtId="0" fontId="81" fillId="33" borderId="16" xfId="0" applyFont="1" applyFill="1" applyBorder="1" applyAlignment="1">
      <alignment horizontal="left" vertical="top" wrapText="1"/>
    </xf>
    <xf numFmtId="0" fontId="81" fillId="0" borderId="52" xfId="0" applyFont="1" applyBorder="1" applyAlignment="1">
      <alignment horizontal="center" vertical="center" wrapText="1"/>
    </xf>
    <xf numFmtId="0" fontId="81" fillId="0" borderId="23" xfId="0" applyFont="1" applyBorder="1" applyAlignment="1">
      <alignment horizontal="left" vertical="top" wrapText="1"/>
    </xf>
    <xf numFmtId="0" fontId="81" fillId="0" borderId="13" xfId="0" applyFont="1" applyBorder="1" applyAlignment="1">
      <alignment horizontal="left" vertical="top" wrapText="1"/>
    </xf>
    <xf numFmtId="0" fontId="81" fillId="0" borderId="16" xfId="0" applyFont="1" applyBorder="1" applyAlignment="1">
      <alignment horizontal="left" vertical="top" wrapText="1"/>
    </xf>
    <xf numFmtId="0" fontId="81" fillId="0" borderId="46" xfId="0" applyFont="1" applyBorder="1" applyAlignment="1">
      <alignment horizontal="center" vertical="center" wrapText="1"/>
    </xf>
    <xf numFmtId="0" fontId="81" fillId="33" borderId="22" xfId="90" applyFont="1" applyFill="1" applyBorder="1" applyAlignment="1">
      <alignment horizontal="left" vertical="top" wrapText="1"/>
    </xf>
    <xf numFmtId="0" fontId="81" fillId="33" borderId="0" xfId="90" applyFont="1" applyFill="1" applyBorder="1" applyAlignment="1">
      <alignment horizontal="left" vertical="top" wrapText="1"/>
    </xf>
    <xf numFmtId="0" fontId="81" fillId="33" borderId="15" xfId="90" applyFont="1" applyFill="1" applyBorder="1" applyAlignment="1">
      <alignment horizontal="left" vertical="top" wrapText="1"/>
    </xf>
    <xf numFmtId="0" fontId="81" fillId="33" borderId="61" xfId="90" applyFont="1" applyFill="1" applyBorder="1" applyAlignment="1">
      <alignment horizontal="left" vertical="top" wrapText="1"/>
    </xf>
    <xf numFmtId="0" fontId="81" fillId="33" borderId="26" xfId="90" applyFont="1" applyFill="1" applyBorder="1" applyAlignment="1">
      <alignment horizontal="left" vertical="top" wrapText="1"/>
    </xf>
    <xf numFmtId="0" fontId="81" fillId="33" borderId="48" xfId="90" applyFont="1" applyFill="1" applyBorder="1" applyAlignment="1">
      <alignment horizontal="left" vertical="top" wrapText="1"/>
    </xf>
    <xf numFmtId="0" fontId="81" fillId="33" borderId="55" xfId="0" applyFont="1" applyFill="1" applyBorder="1" applyAlignment="1">
      <alignment horizontal="left" vertical="top" wrapText="1"/>
    </xf>
    <xf numFmtId="0" fontId="81" fillId="33" borderId="41" xfId="0" applyFont="1" applyFill="1" applyBorder="1" applyAlignment="1">
      <alignment horizontal="left" vertical="top" wrapText="1"/>
    </xf>
    <xf numFmtId="0" fontId="81" fillId="33" borderId="56" xfId="0" applyFont="1" applyFill="1" applyBorder="1" applyAlignment="1">
      <alignment horizontal="left" vertical="top" wrapText="1"/>
    </xf>
    <xf numFmtId="0" fontId="81" fillId="0" borderId="42" xfId="0" applyFont="1" applyFill="1" applyBorder="1" applyAlignment="1">
      <alignment horizontal="left" vertical="top" wrapText="1"/>
    </xf>
    <xf numFmtId="0" fontId="81" fillId="0" borderId="43" xfId="0" applyFont="1" applyFill="1" applyBorder="1" applyAlignment="1">
      <alignment horizontal="left" vertical="top" wrapText="1"/>
    </xf>
    <xf numFmtId="0" fontId="81" fillId="0" borderId="47" xfId="0" applyFont="1" applyFill="1" applyBorder="1" applyAlignment="1">
      <alignment horizontal="left" vertical="top" wrapText="1"/>
    </xf>
  </cellXfs>
  <cellStyles count="147">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38" xr:uid="{9126E70D-2679-48CA-ACA2-CE0202777AE2}"/>
    <cellStyle name="Comma 13" xfId="143" xr:uid="{1FAE3677-8CB5-49A7-BF4C-CC5EA9B2A1C4}"/>
    <cellStyle name="Comma 13 2" xfId="144" xr:uid="{AA586242-42D0-46D5-9E7D-8C0923E2A469}"/>
    <cellStyle name="Comma 2" xfId="62" xr:uid="{00000000-0005-0000-0000-00003F000000}"/>
    <cellStyle name="Comma 2 2" xfId="63" xr:uid="{00000000-0005-0000-0000-000040000000}"/>
    <cellStyle name="Comma 2 3" xfId="130" xr:uid="{00000000-0005-0000-0000-000041000000}"/>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6" xfId="135" xr:uid="{F7BC4A0E-EC0A-4F01-8BCF-5B33C242D631}"/>
    <cellStyle name="Comma 6 2" xfId="118" xr:uid="{00000000-0005-0000-0000-000047000000}"/>
    <cellStyle name="Comma 6 2 2 2 2" xfId="137" xr:uid="{80891126-D019-448E-BA6C-64334A628222}"/>
    <cellStyle name="Comma 6 5" xfId="136" xr:uid="{D59EC15A-E5AB-421D-9029-1BB77761A8C1}"/>
    <cellStyle name="Comma 8" xfId="141" xr:uid="{CF84A56E-FFEA-40AA-B2DB-D7538A03C3A4}"/>
    <cellStyle name="Currency 2" xfId="125" xr:uid="{00000000-0005-0000-0000-000048000000}"/>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xr:uid="{2F2A3F53-E0D7-49E5-B3CC-7A60ADDF5652}"/>
    <cellStyle name="Hyperlink 4" xfId="142" xr:uid="{14B8E79E-CF50-4A33-9E53-CD6D3BF09381}"/>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2" xfId="88" xr:uid="{00000000-0005-0000-0000-000062000000}"/>
    <cellStyle name="Normal 2 2" xfId="89" xr:uid="{00000000-0005-0000-0000-000063000000}"/>
    <cellStyle name="Normal 3" xfId="90" xr:uid="{00000000-0005-0000-0000-000064000000}"/>
    <cellStyle name="Normal 3 2" xfId="91" xr:uid="{00000000-0005-0000-0000-000065000000}"/>
    <cellStyle name="Normal 3 3" xfId="146" xr:uid="{06FCD5C9-FEB7-4DEB-B9AA-446C84BF3AB0}"/>
    <cellStyle name="Normal 4" xfId="92" xr:uid="{00000000-0005-0000-0000-000066000000}"/>
    <cellStyle name="Normal 4 2" xfId="120" xr:uid="{00000000-0005-0000-0000-000067000000}"/>
    <cellStyle name="Normal 5" xfId="123" xr:uid="{00000000-0005-0000-0000-000068000000}"/>
    <cellStyle name="Normal 6" xfId="127" xr:uid="{00000000-0005-0000-0000-000069000000}"/>
    <cellStyle name="Normal 7" xfId="145" xr:uid="{0E539940-290A-4B60-9A64-63064AFC8900}"/>
    <cellStyle name="Normal_2010 06 02 - Urgent RIN for Vic DNSPs revised proposals" xfId="93" xr:uid="{00000000-0005-0000-0000-00006A000000}"/>
    <cellStyle name="Normal_2010 06 22 - AA - Scheme Templates for data collection" xfId="94" xr:uid="{00000000-0005-0000-0000-00006B000000}"/>
    <cellStyle name="Normal_2010 06 22 - IE - Scheme Template for data collection" xfId="95" xr:uid="{00000000-0005-0000-0000-00006C000000}"/>
    <cellStyle name="Normal_Book1" xfId="96" xr:uid="{00000000-0005-0000-0000-00006D000000}"/>
    <cellStyle name="Normal_D11 2371025  Financial information - 2012 Draft RIN - Ausgrid" xfId="97" xr:uid="{00000000-0005-0000-0000-00006E000000}"/>
    <cellStyle name="Normal_D11 2371025  Financial information - 2012 Draft RIN - Ausgrid 2" xfId="98" xr:uid="{00000000-0005-0000-0000-00006F000000}"/>
    <cellStyle name="Normal_D12 1569  Opex, DMIS, EBSS - 2012 draft RIN - Ausgrid" xfId="99" xr:uid="{00000000-0005-0000-0000-000072000000}"/>
    <cellStyle name="Normal_D12 16703  Overheads, Avoided Cost, ACS, Demand and Revenue - 2012 draft RIN - Ausgrid" xfId="100" xr:uid="{00000000-0005-0000-0000-000073000000}"/>
    <cellStyle name="Normal_D12 16703  Overheads, Avoided Cost, ACS, Demand and Revenue - 2012 draft RIN - Ausgrid 2" xfId="101" xr:uid="{00000000-0005-0000-0000-000074000000}"/>
    <cellStyle name="Normal_Sheet1" xfId="102" xr:uid="{00000000-0005-0000-0000-000077000000}"/>
    <cellStyle name="Note" xfId="103" builtinId="10" customBuiltin="1"/>
    <cellStyle name="Note 2" xfId="104" xr:uid="{00000000-0005-0000-0000-00007A000000}"/>
    <cellStyle name="Output" xfId="105" builtinId="21" customBuiltin="1"/>
    <cellStyle name="Output 2" xfId="106" xr:uid="{00000000-0005-0000-0000-00007C000000}"/>
    <cellStyle name="Percent" xfId="107" builtinId="5"/>
    <cellStyle name="Percent 2" xfId="119" xr:uid="{00000000-0005-0000-0000-00007E000000}"/>
    <cellStyle name="Percent 2 2" xfId="131" xr:uid="{00000000-0005-0000-0000-00007F000000}"/>
    <cellStyle name="Percent 3" xfId="126" xr:uid="{00000000-0005-0000-0000-000080000000}"/>
    <cellStyle name="Percent 4" xfId="133" xr:uid="{00000000-0005-0000-0000-000081000000}"/>
    <cellStyle name="Percent 5" xfId="139" xr:uid="{EA897B49-BF55-4856-95BE-C3BAA20885C7}"/>
    <cellStyle name="Style 1" xfId="108" xr:uid="{00000000-0005-0000-0000-000082000000}"/>
    <cellStyle name="Style 1 2" xfId="109" xr:uid="{00000000-0005-0000-0000-000083000000}"/>
    <cellStyle name="Style 1 2 2" xfId="110" xr:uid="{00000000-0005-0000-0000-000084000000}"/>
    <cellStyle name="Style 1 3" xfId="111" xr:uid="{00000000-0005-0000-0000-000085000000}"/>
    <cellStyle name="Table Heading" xfId="112" xr:uid="{00000000-0005-0000-0000-000086000000}"/>
    <cellStyle name="Table Text With Lines" xfId="113" xr:uid="{00000000-0005-0000-0000-000087000000}"/>
    <cellStyle name="Table Total Row" xfId="114" xr:uid="{00000000-0005-0000-0000-000088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285944</xdr:colOff>
      <xdr:row>55</xdr:row>
      <xdr:rowOff>23812</xdr:rowOff>
    </xdr:to>
    <xdr:pic>
      <xdr:nvPicPr>
        <xdr:cNvPr id="3" name="Picture 2">
          <a:extLst>
            <a:ext uri="{FF2B5EF4-FFF2-40B4-BE49-F238E27FC236}">
              <a16:creationId xmlns:a16="http://schemas.microsoft.com/office/drawing/2014/main" id="{5282A52A-1275-4C6A-AD07-F1572F9DB476}"/>
            </a:ext>
          </a:extLst>
        </xdr:cNvPr>
        <xdr:cNvPicPr>
          <a:picLocks noChangeAspect="1"/>
        </xdr:cNvPicPr>
      </xdr:nvPicPr>
      <xdr:blipFill>
        <a:blip xmlns:r="http://schemas.openxmlformats.org/officeDocument/2006/relationships" r:embed="rId1"/>
        <a:stretch>
          <a:fillRect/>
        </a:stretch>
      </xdr:blipFill>
      <xdr:spPr>
        <a:xfrm>
          <a:off x="1" y="0"/>
          <a:ext cx="5477068" cy="8864203"/>
        </a:xfrm>
        <a:prstGeom prst="rect">
          <a:avLst/>
        </a:prstGeom>
      </xdr:spPr>
    </xdr:pic>
    <xdr:clientData/>
  </xdr:twoCellAnchor>
  <xdr:twoCellAnchor editAs="oneCell">
    <xdr:from>
      <xdr:col>8</xdr:col>
      <xdr:colOff>648890</xdr:colOff>
      <xdr:row>0</xdr:row>
      <xdr:rowOff>0</xdr:rowOff>
    </xdr:from>
    <xdr:to>
      <xdr:col>17</xdr:col>
      <xdr:colOff>478793</xdr:colOff>
      <xdr:row>55</xdr:row>
      <xdr:rowOff>5953</xdr:rowOff>
    </xdr:to>
    <xdr:pic>
      <xdr:nvPicPr>
        <xdr:cNvPr id="4" name="Picture 3">
          <a:extLst>
            <a:ext uri="{FF2B5EF4-FFF2-40B4-BE49-F238E27FC236}">
              <a16:creationId xmlns:a16="http://schemas.microsoft.com/office/drawing/2014/main" id="{BCCD99F0-A1A5-4614-89A7-5FA94AA9440D}"/>
            </a:ext>
          </a:extLst>
        </xdr:cNvPr>
        <xdr:cNvPicPr>
          <a:picLocks noChangeAspect="1"/>
        </xdr:cNvPicPr>
      </xdr:nvPicPr>
      <xdr:blipFill>
        <a:blip xmlns:r="http://schemas.openxmlformats.org/officeDocument/2006/relationships" r:embed="rId2"/>
        <a:stretch>
          <a:fillRect/>
        </a:stretch>
      </xdr:blipFill>
      <xdr:spPr>
        <a:xfrm>
          <a:off x="5840015" y="0"/>
          <a:ext cx="5669919" cy="8846344"/>
        </a:xfrm>
        <a:prstGeom prst="rect">
          <a:avLst/>
        </a:prstGeom>
      </xdr:spPr>
    </xdr:pic>
    <xdr:clientData/>
  </xdr:twoCellAnchor>
  <xdr:twoCellAnchor editAs="oneCell">
    <xdr:from>
      <xdr:col>18</xdr:col>
      <xdr:colOff>0</xdr:colOff>
      <xdr:row>0</xdr:row>
      <xdr:rowOff>0</xdr:rowOff>
    </xdr:from>
    <xdr:to>
      <xdr:col>26</xdr:col>
      <xdr:colOff>636985</xdr:colOff>
      <xdr:row>54</xdr:row>
      <xdr:rowOff>133185</xdr:rowOff>
    </xdr:to>
    <xdr:pic>
      <xdr:nvPicPr>
        <xdr:cNvPr id="6" name="Picture 5">
          <a:extLst>
            <a:ext uri="{FF2B5EF4-FFF2-40B4-BE49-F238E27FC236}">
              <a16:creationId xmlns:a16="http://schemas.microsoft.com/office/drawing/2014/main" id="{55A52077-C1B9-4E24-B0C2-AF1B2D0FB445}"/>
            </a:ext>
          </a:extLst>
        </xdr:cNvPr>
        <xdr:cNvPicPr>
          <a:picLocks noChangeAspect="1"/>
        </xdr:cNvPicPr>
      </xdr:nvPicPr>
      <xdr:blipFill>
        <a:blip xmlns:r="http://schemas.openxmlformats.org/officeDocument/2006/relationships" r:embed="rId3"/>
        <a:stretch>
          <a:fillRect/>
        </a:stretch>
      </xdr:blipFill>
      <xdr:spPr>
        <a:xfrm>
          <a:off x="11680031" y="0"/>
          <a:ext cx="5828110" cy="881284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226219</xdr:colOff>
      <xdr:row>54</xdr:row>
      <xdr:rowOff>117409</xdr:rowOff>
    </xdr:to>
    <xdr:pic>
      <xdr:nvPicPr>
        <xdr:cNvPr id="2" name="Picture 1">
          <a:extLst>
            <a:ext uri="{FF2B5EF4-FFF2-40B4-BE49-F238E27FC236}">
              <a16:creationId xmlns:a16="http://schemas.microsoft.com/office/drawing/2014/main" id="{4B2311F7-9060-4761-BD27-C5109C1AEE2B}"/>
            </a:ext>
          </a:extLst>
        </xdr:cNvPr>
        <xdr:cNvPicPr>
          <a:picLocks noChangeAspect="1"/>
        </xdr:cNvPicPr>
      </xdr:nvPicPr>
      <xdr:blipFill>
        <a:blip xmlns:r="http://schemas.openxmlformats.org/officeDocument/2006/relationships" r:embed="rId1"/>
        <a:stretch>
          <a:fillRect/>
        </a:stretch>
      </xdr:blipFill>
      <xdr:spPr>
        <a:xfrm>
          <a:off x="1" y="0"/>
          <a:ext cx="6066234" cy="8797065"/>
        </a:xfrm>
        <a:prstGeom prst="rect">
          <a:avLst/>
        </a:prstGeom>
      </xdr:spPr>
    </xdr:pic>
    <xdr:clientData/>
  </xdr:twoCellAnchor>
  <xdr:twoCellAnchor editAs="oneCell">
    <xdr:from>
      <xdr:col>10</xdr:col>
      <xdr:colOff>0</xdr:colOff>
      <xdr:row>0</xdr:row>
      <xdr:rowOff>0</xdr:rowOff>
    </xdr:from>
    <xdr:to>
      <xdr:col>19</xdr:col>
      <xdr:colOff>380999</xdr:colOff>
      <xdr:row>54</xdr:row>
      <xdr:rowOff>121064</xdr:rowOff>
    </xdr:to>
    <xdr:pic>
      <xdr:nvPicPr>
        <xdr:cNvPr id="3" name="Picture 2">
          <a:extLst>
            <a:ext uri="{FF2B5EF4-FFF2-40B4-BE49-F238E27FC236}">
              <a16:creationId xmlns:a16="http://schemas.microsoft.com/office/drawing/2014/main" id="{D8D648F6-7279-47F6-86EE-FEDA0D82B79D}"/>
            </a:ext>
          </a:extLst>
        </xdr:cNvPr>
        <xdr:cNvPicPr>
          <a:picLocks noChangeAspect="1"/>
        </xdr:cNvPicPr>
      </xdr:nvPicPr>
      <xdr:blipFill>
        <a:blip xmlns:r="http://schemas.openxmlformats.org/officeDocument/2006/relationships" r:embed="rId2"/>
        <a:stretch>
          <a:fillRect/>
        </a:stretch>
      </xdr:blipFill>
      <xdr:spPr>
        <a:xfrm>
          <a:off x="6488906" y="0"/>
          <a:ext cx="6221016" cy="880072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351863</xdr:colOff>
      <xdr:row>54</xdr:row>
      <xdr:rowOff>154781</xdr:rowOff>
    </xdr:to>
    <xdr:pic>
      <xdr:nvPicPr>
        <xdr:cNvPr id="2" name="Picture 1">
          <a:extLst>
            <a:ext uri="{FF2B5EF4-FFF2-40B4-BE49-F238E27FC236}">
              <a16:creationId xmlns:a16="http://schemas.microsoft.com/office/drawing/2014/main" id="{89588F4D-809B-4D73-9CB1-A30438B628FD}"/>
            </a:ext>
          </a:extLst>
        </xdr:cNvPr>
        <xdr:cNvPicPr>
          <a:picLocks noChangeAspect="1"/>
        </xdr:cNvPicPr>
      </xdr:nvPicPr>
      <xdr:blipFill>
        <a:blip xmlns:r="http://schemas.openxmlformats.org/officeDocument/2006/relationships" r:embed="rId1"/>
        <a:stretch>
          <a:fillRect/>
        </a:stretch>
      </xdr:blipFill>
      <xdr:spPr>
        <a:xfrm>
          <a:off x="1" y="0"/>
          <a:ext cx="6191878" cy="8834437"/>
        </a:xfrm>
        <a:prstGeom prst="rect">
          <a:avLst/>
        </a:prstGeom>
      </xdr:spPr>
    </xdr:pic>
    <xdr:clientData/>
  </xdr:twoCellAnchor>
  <xdr:twoCellAnchor editAs="oneCell">
    <xdr:from>
      <xdr:col>10</xdr:col>
      <xdr:colOff>1</xdr:colOff>
      <xdr:row>0</xdr:row>
      <xdr:rowOff>0</xdr:rowOff>
    </xdr:from>
    <xdr:to>
      <xdr:col>19</xdr:col>
      <xdr:colOff>525704</xdr:colOff>
      <xdr:row>54</xdr:row>
      <xdr:rowOff>136921</xdr:rowOff>
    </xdr:to>
    <xdr:pic>
      <xdr:nvPicPr>
        <xdr:cNvPr id="3" name="Picture 2">
          <a:extLst>
            <a:ext uri="{FF2B5EF4-FFF2-40B4-BE49-F238E27FC236}">
              <a16:creationId xmlns:a16="http://schemas.microsoft.com/office/drawing/2014/main" id="{80A3BD95-E69B-4109-BB34-7CD56BB2E7F7}"/>
            </a:ext>
          </a:extLst>
        </xdr:cNvPr>
        <xdr:cNvPicPr>
          <a:picLocks noChangeAspect="1"/>
        </xdr:cNvPicPr>
      </xdr:nvPicPr>
      <xdr:blipFill>
        <a:blip xmlns:r="http://schemas.openxmlformats.org/officeDocument/2006/relationships" r:embed="rId2"/>
        <a:stretch>
          <a:fillRect/>
        </a:stretch>
      </xdr:blipFill>
      <xdr:spPr>
        <a:xfrm>
          <a:off x="6488907" y="0"/>
          <a:ext cx="6365720" cy="881657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E33DD74F-5B97-4551-BF36-1F9181F2F0B7}"/>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C2A1DC1-49D7-4478-A5AC-1149FC5343E4}" name="Table13" displayName="Table13" ref="A2:G22" totalsRowShown="0" headerRowDxfId="16" dataDxfId="15" totalsRowDxfId="14" totalsRowCellStyle="Normal 4">
  <autoFilter ref="A2:G22" xr:uid="{00000000-0009-0000-0100-000001000000}"/>
  <tableColumns count="7">
    <tableColumn id="1" xr3:uid="{527BAAF0-76B5-4BCB-96B2-338A2966D9A7}" name="Date" dataDxfId="13" totalsRowDxfId="12" dataCellStyle="Normal 4"/>
    <tableColumn id="2" xr3:uid="{A7509C81-4BC3-4CD6-914A-4109E2998998}" name="APA amendment#" dataDxfId="11" totalsRowDxfId="10" dataCellStyle="Normal 4"/>
    <tableColumn id="3" xr3:uid="{AA468D60-68B0-4D32-854A-90A0D49967A9}" name="Worksheet" dataDxfId="9" totalsRowDxfId="8"/>
    <tableColumn id="4" xr3:uid="{76C32037-C800-4CF9-A63A-FF30C7732CED}" name="Table" dataDxfId="7" totalsRowDxfId="6"/>
    <tableColumn id="5" xr3:uid="{DC40AA99-183E-4FC0-A597-80E265600ECB}" name="Cell" dataDxfId="5" totalsRowDxfId="4"/>
    <tableColumn id="6" xr3:uid="{DBB7E9E7-82B5-4757-9F6D-DA2FF7DB9D62}" name="Change" dataDxfId="3" totalsRowDxfId="2"/>
    <tableColumn id="7" xr3:uid="{7CFA6057-21FD-4401-9FE1-C6A0AE735DCC}"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9765625" style="2" customWidth="1"/>
    <col min="2" max="2" width="23.59765625" style="2" customWidth="1"/>
    <col min="3" max="5" width="13.86328125" style="2" customWidth="1"/>
    <col min="6" max="8" width="11.1328125" style="2" customWidth="1"/>
    <col min="9" max="11" width="12.86328125" style="2" customWidth="1"/>
    <col min="12" max="16384" width="9.1328125" style="2"/>
  </cols>
  <sheetData>
    <row r="1" spans="1:10" ht="20.65" x14ac:dyDescent="0.6">
      <c r="A1" s="1" t="s">
        <v>27</v>
      </c>
    </row>
    <row r="2" spans="1:10" ht="20.65" x14ac:dyDescent="0.6">
      <c r="A2" s="1" t="s">
        <v>159</v>
      </c>
    </row>
    <row r="4" spans="1:10" ht="13.15" x14ac:dyDescent="0.4">
      <c r="A4" s="3" t="s">
        <v>28</v>
      </c>
    </row>
    <row r="5" spans="1:10" ht="13.15" thickBot="1" x14ac:dyDescent="0.4"/>
    <row r="6" spans="1:10" ht="15" x14ac:dyDescent="0.4">
      <c r="A6" s="430" t="s">
        <v>3</v>
      </c>
      <c r="B6" s="431"/>
      <c r="C6" s="431"/>
      <c r="D6" s="431"/>
      <c r="E6" s="431"/>
      <c r="F6" s="431"/>
      <c r="G6" s="431"/>
      <c r="H6" s="431"/>
      <c r="I6" s="432"/>
    </row>
    <row r="7" spans="1:10" ht="13.15" x14ac:dyDescent="0.4">
      <c r="A7" s="175" t="s">
        <v>321</v>
      </c>
      <c r="B7" s="173"/>
      <c r="C7" s="173"/>
      <c r="D7" s="173"/>
      <c r="E7" s="173"/>
      <c r="F7" s="173"/>
      <c r="G7" s="173"/>
      <c r="H7" s="173"/>
      <c r="I7" s="174"/>
    </row>
    <row r="8" spans="1:10" ht="13.15" x14ac:dyDescent="0.4">
      <c r="A8" s="172" t="s">
        <v>4</v>
      </c>
      <c r="B8" s="168"/>
      <c r="C8" s="168"/>
      <c r="D8" s="168"/>
      <c r="E8" s="168"/>
      <c r="F8" s="168"/>
      <c r="G8" s="168"/>
      <c r="H8" s="168"/>
      <c r="I8" s="169"/>
    </row>
    <row r="9" spans="1:10" ht="13.5" thickBot="1" x14ac:dyDescent="0.45">
      <c r="A9" s="176" t="s">
        <v>5</v>
      </c>
      <c r="B9" s="170"/>
      <c r="C9" s="170"/>
      <c r="D9" s="170"/>
      <c r="E9" s="170"/>
      <c r="F9" s="170"/>
      <c r="G9" s="170"/>
      <c r="H9" s="170"/>
      <c r="I9" s="171"/>
    </row>
    <row r="10" spans="1:10" x14ac:dyDescent="0.35">
      <c r="A10" s="450"/>
      <c r="B10" s="451"/>
      <c r="C10" s="451"/>
      <c r="D10" s="451"/>
      <c r="E10" s="451"/>
      <c r="F10" s="451"/>
      <c r="G10" s="451"/>
      <c r="H10" s="451"/>
      <c r="I10" s="451"/>
    </row>
    <row r="11" spans="1:10" x14ac:dyDescent="0.35">
      <c r="A11" s="4" t="s">
        <v>6</v>
      </c>
      <c r="B11" s="5"/>
      <c r="C11" s="5"/>
      <c r="D11" s="6"/>
      <c r="E11" s="6"/>
      <c r="F11" s="6"/>
      <c r="G11" s="6"/>
    </row>
    <row r="12" spans="1:10" x14ac:dyDescent="0.35">
      <c r="A12" s="7" t="s">
        <v>7</v>
      </c>
    </row>
    <row r="14" spans="1:10" x14ac:dyDescent="0.35">
      <c r="J14" s="8"/>
    </row>
    <row r="15" spans="1:10" ht="17.649999999999999" x14ac:dyDescent="0.5">
      <c r="A15" s="178" t="s">
        <v>215</v>
      </c>
      <c r="B15" s="165"/>
      <c r="C15" s="452" t="s">
        <v>598</v>
      </c>
      <c r="D15" s="453"/>
      <c r="E15" s="453"/>
    </row>
    <row r="16" spans="1:10" ht="17.649999999999999" x14ac:dyDescent="0.5">
      <c r="A16" s="179"/>
      <c r="B16" s="166"/>
    </row>
    <row r="17" spans="1:11" ht="17.649999999999999" x14ac:dyDescent="0.5">
      <c r="A17" s="178" t="s">
        <v>29</v>
      </c>
      <c r="B17" s="165"/>
      <c r="C17" s="452" t="s">
        <v>599</v>
      </c>
      <c r="D17" s="454"/>
      <c r="E17" s="454"/>
    </row>
    <row r="18" spans="1:11" ht="17.649999999999999" x14ac:dyDescent="0.5">
      <c r="A18" s="179"/>
      <c r="B18" s="166"/>
      <c r="C18" s="455"/>
      <c r="D18" s="456"/>
      <c r="E18" s="456"/>
    </row>
    <row r="19" spans="1:11" ht="17.649999999999999" x14ac:dyDescent="0.5">
      <c r="A19" s="178" t="s">
        <v>216</v>
      </c>
      <c r="B19" s="165"/>
      <c r="C19" s="433" t="s">
        <v>590</v>
      </c>
      <c r="D19" s="434"/>
      <c r="E19" s="435"/>
      <c r="H19" s="50"/>
    </row>
    <row r="20" spans="1:11" x14ac:dyDescent="0.35">
      <c r="A20" s="180"/>
      <c r="B20" s="167"/>
    </row>
    <row r="21" spans="1:11" ht="17.649999999999999" x14ac:dyDescent="0.5">
      <c r="A21" s="178" t="s">
        <v>160</v>
      </c>
      <c r="B21" s="165"/>
      <c r="C21" s="436">
        <v>44013</v>
      </c>
      <c r="D21" s="437"/>
      <c r="E21" s="438"/>
    </row>
    <row r="22" spans="1:11" x14ac:dyDescent="0.35">
      <c r="A22" s="180"/>
      <c r="B22" s="167"/>
    </row>
    <row r="23" spans="1:11" ht="17.649999999999999" x14ac:dyDescent="0.5">
      <c r="A23" s="178" t="s">
        <v>161</v>
      </c>
      <c r="B23" s="165"/>
      <c r="C23" s="436">
        <v>44377</v>
      </c>
      <c r="D23" s="437"/>
      <c r="E23" s="438"/>
    </row>
    <row r="25" spans="1:11" ht="17.649999999999999" x14ac:dyDescent="0.5">
      <c r="A25" s="178" t="s">
        <v>420</v>
      </c>
      <c r="B25" s="165"/>
      <c r="C25" s="436">
        <v>44501</v>
      </c>
      <c r="D25" s="437"/>
      <c r="E25" s="438"/>
    </row>
    <row r="26" spans="1:11" ht="13.5" customHeight="1" x14ac:dyDescent="0.5">
      <c r="A26" s="324"/>
      <c r="B26" s="325"/>
      <c r="C26" s="206"/>
      <c r="D26" s="206"/>
      <c r="E26" s="206"/>
    </row>
    <row r="27" spans="1:11" ht="17.649999999999999" x14ac:dyDescent="0.5">
      <c r="A27" s="178" t="s">
        <v>421</v>
      </c>
      <c r="B27" s="165"/>
      <c r="C27" s="436">
        <v>44377</v>
      </c>
      <c r="D27" s="437"/>
      <c r="E27" s="438"/>
    </row>
    <row r="28" spans="1:11" ht="17.25" x14ac:dyDescent="0.45">
      <c r="A28" s="326"/>
      <c r="B28" s="326"/>
    </row>
    <row r="29" spans="1:11" ht="58.5" customHeight="1" x14ac:dyDescent="0.35">
      <c r="A29" s="439" t="s">
        <v>422</v>
      </c>
      <c r="B29" s="440"/>
      <c r="C29" s="441" t="s">
        <v>659</v>
      </c>
      <c r="D29" s="442"/>
      <c r="E29" s="443"/>
      <c r="F29" s="444" t="s">
        <v>423</v>
      </c>
      <c r="G29" s="445"/>
      <c r="H29" s="446"/>
      <c r="I29" s="447" t="s">
        <v>670</v>
      </c>
      <c r="J29" s="448"/>
      <c r="K29" s="449"/>
    </row>
    <row r="31" spans="1:11" ht="13.15" thickBot="1" x14ac:dyDescent="0.4"/>
    <row r="32" spans="1:11" x14ac:dyDescent="0.35">
      <c r="A32" s="161"/>
      <c r="B32" s="60"/>
      <c r="C32" s="60"/>
      <c r="D32" s="60"/>
      <c r="E32" s="64"/>
      <c r="F32" s="64"/>
      <c r="G32" s="64"/>
      <c r="H32" s="65"/>
    </row>
    <row r="33" spans="1:8" ht="15" x14ac:dyDescent="0.4">
      <c r="A33" s="177" t="s">
        <v>8</v>
      </c>
      <c r="B33" s="424" t="s">
        <v>9</v>
      </c>
      <c r="C33" s="425"/>
      <c r="D33" s="427" t="s">
        <v>553</v>
      </c>
      <c r="E33" s="422"/>
      <c r="F33" s="422"/>
      <c r="G33" s="423"/>
      <c r="H33" s="66"/>
    </row>
    <row r="34" spans="1:8" ht="13.15" x14ac:dyDescent="0.4">
      <c r="A34" s="162"/>
      <c r="B34" s="424" t="s">
        <v>10</v>
      </c>
      <c r="C34" s="425"/>
      <c r="D34" s="427" t="s">
        <v>554</v>
      </c>
      <c r="E34" s="422"/>
      <c r="F34" s="422"/>
      <c r="G34" s="423"/>
      <c r="H34" s="66"/>
    </row>
    <row r="35" spans="1:8" ht="13.15" x14ac:dyDescent="0.4">
      <c r="A35" s="162"/>
      <c r="B35" s="61"/>
      <c r="C35" s="62" t="s">
        <v>11</v>
      </c>
      <c r="D35" s="98" t="s">
        <v>557</v>
      </c>
      <c r="E35" s="62" t="s">
        <v>12</v>
      </c>
      <c r="F35" s="98">
        <v>2000</v>
      </c>
      <c r="G35" s="61"/>
      <c r="H35" s="67"/>
    </row>
    <row r="36" spans="1:8" ht="13.15" x14ac:dyDescent="0.4">
      <c r="A36" s="162"/>
      <c r="B36" s="61"/>
      <c r="C36" s="61"/>
      <c r="D36" s="61"/>
      <c r="E36" s="71"/>
      <c r="F36" s="61"/>
      <c r="G36" s="61"/>
      <c r="H36" s="68"/>
    </row>
    <row r="37" spans="1:8" ht="15" x14ac:dyDescent="0.4">
      <c r="A37" s="177" t="s">
        <v>13</v>
      </c>
      <c r="B37" s="424" t="s">
        <v>9</v>
      </c>
      <c r="C37" s="425"/>
      <c r="D37" s="426" t="s">
        <v>555</v>
      </c>
      <c r="E37" s="426"/>
      <c r="F37" s="426"/>
      <c r="G37" s="426"/>
      <c r="H37" s="69"/>
    </row>
    <row r="38" spans="1:8" ht="13.15" x14ac:dyDescent="0.4">
      <c r="A38" s="162"/>
      <c r="B38" s="424" t="s">
        <v>10</v>
      </c>
      <c r="C38" s="425"/>
      <c r="D38" s="426" t="s">
        <v>556</v>
      </c>
      <c r="E38" s="426"/>
      <c r="F38" s="426"/>
      <c r="G38" s="426"/>
      <c r="H38" s="69"/>
    </row>
    <row r="39" spans="1:8" x14ac:dyDescent="0.35">
      <c r="A39" s="163"/>
      <c r="B39" s="61"/>
      <c r="C39" s="62" t="s">
        <v>11</v>
      </c>
      <c r="D39" s="98" t="s">
        <v>557</v>
      </c>
      <c r="E39" s="62" t="s">
        <v>12</v>
      </c>
      <c r="F39" s="98">
        <v>1225</v>
      </c>
      <c r="G39" s="61"/>
      <c r="H39" s="67"/>
    </row>
    <row r="40" spans="1:8" ht="13.15" thickBot="1" x14ac:dyDescent="0.4">
      <c r="A40" s="164"/>
      <c r="B40" s="63"/>
      <c r="C40" s="63"/>
      <c r="D40" s="63"/>
      <c r="E40" s="72"/>
      <c r="F40" s="72"/>
      <c r="G40" s="63"/>
      <c r="H40" s="70"/>
    </row>
    <row r="41" spans="1:8" x14ac:dyDescent="0.35">
      <c r="A41" s="161"/>
      <c r="B41" s="60"/>
      <c r="C41" s="60"/>
      <c r="D41" s="60"/>
      <c r="E41" s="64"/>
      <c r="F41" s="64"/>
      <c r="G41" s="61"/>
      <c r="H41" s="65"/>
    </row>
    <row r="42" spans="1:8" x14ac:dyDescent="0.35">
      <c r="A42" s="163" t="s">
        <v>14</v>
      </c>
      <c r="B42" s="427" t="s">
        <v>669</v>
      </c>
      <c r="C42" s="422"/>
      <c r="D42" s="428"/>
      <c r="E42" s="428"/>
      <c r="F42" s="429"/>
      <c r="G42" s="61"/>
      <c r="H42" s="68"/>
    </row>
    <row r="43" spans="1:8" x14ac:dyDescent="0.35">
      <c r="A43" s="163" t="s">
        <v>15</v>
      </c>
      <c r="B43" s="427" t="s">
        <v>673</v>
      </c>
      <c r="C43" s="422"/>
      <c r="D43" s="422"/>
      <c r="E43" s="422"/>
      <c r="F43" s="423"/>
      <c r="G43" s="61"/>
      <c r="H43" s="68"/>
    </row>
    <row r="44" spans="1:8" x14ac:dyDescent="0.35">
      <c r="A44" s="163" t="s">
        <v>16</v>
      </c>
      <c r="B44" s="421" t="s">
        <v>558</v>
      </c>
      <c r="C44" s="422"/>
      <c r="D44" s="422"/>
      <c r="E44" s="422"/>
      <c r="F44" s="423"/>
      <c r="G44" s="61"/>
      <c r="H44" s="68"/>
    </row>
    <row r="45" spans="1:8" ht="13.15" thickBot="1" x14ac:dyDescent="0.4">
      <c r="A45" s="164"/>
      <c r="B45" s="63"/>
      <c r="C45" s="63"/>
      <c r="D45" s="63"/>
      <c r="E45" s="72"/>
      <c r="F45" s="72"/>
      <c r="G45" s="63"/>
      <c r="H45" s="70"/>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9" type="noConversion"/>
  <dataValidations count="1">
    <dataValidation type="list" allowBlank="1" showInputMessage="1" showErrorMessage="1" sqref="C29:E29" xr:uid="{00000000-0002-0000-0100-000000000000}">
      <formula1>"Yes,No"</formula1>
    </dataValidation>
  </dataValidations>
  <hyperlinks>
    <hyperlink ref="B44" r:id="rId1" xr:uid="{737FCD79-E547-4694-9549-AFA20DD57787}"/>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17</v>
      </c>
    </row>
    <row r="2" spans="1:19" ht="15" customHeight="1" x14ac:dyDescent="0.55000000000000004">
      <c r="B2" s="81"/>
      <c r="C2" s="73"/>
      <c r="D2" s="73"/>
      <c r="E2" s="73"/>
      <c r="F2" s="73"/>
      <c r="G2" s="73"/>
      <c r="H2" s="73"/>
      <c r="I2" s="73"/>
      <c r="J2" s="74"/>
      <c r="K2" s="10"/>
      <c r="L2" s="10"/>
      <c r="M2" s="10"/>
      <c r="N2" s="10"/>
      <c r="O2" s="10"/>
      <c r="P2" s="10"/>
      <c r="Q2" s="10"/>
      <c r="R2" s="10"/>
      <c r="S2" s="11"/>
    </row>
    <row r="3" spans="1:19" ht="21" customHeight="1" x14ac:dyDescent="0.55000000000000004">
      <c r="B3" s="82"/>
      <c r="C3" s="75"/>
      <c r="D3" s="76"/>
      <c r="E3" s="75"/>
      <c r="F3" s="76" t="s">
        <v>18</v>
      </c>
      <c r="G3" s="75"/>
      <c r="H3" s="76"/>
      <c r="I3" s="75"/>
      <c r="J3" s="77"/>
      <c r="K3" s="12"/>
      <c r="L3" s="12"/>
      <c r="M3" s="12"/>
      <c r="N3" s="12"/>
      <c r="O3" s="12"/>
      <c r="P3" s="12"/>
      <c r="Q3" s="12"/>
      <c r="R3" s="13"/>
      <c r="S3" s="11"/>
    </row>
    <row r="4" spans="1:19" ht="15" customHeight="1" thickBot="1" x14ac:dyDescent="0.65">
      <c r="B4" s="82"/>
      <c r="C4" s="78"/>
      <c r="D4" s="79"/>
      <c r="E4" s="78"/>
      <c r="F4" s="78"/>
      <c r="G4" s="78"/>
      <c r="H4" s="80"/>
      <c r="I4" s="78"/>
      <c r="J4" s="77"/>
      <c r="K4" s="14"/>
      <c r="L4" s="14"/>
      <c r="M4" s="14"/>
      <c r="N4" s="14"/>
      <c r="O4" s="14"/>
      <c r="P4" s="14"/>
      <c r="Q4" s="14"/>
      <c r="R4" s="10"/>
      <c r="S4" s="11"/>
    </row>
    <row r="5" spans="1:19" s="15" customFormat="1" ht="19.899999999999999" customHeight="1" x14ac:dyDescent="0.35">
      <c r="B5" s="83"/>
      <c r="C5" s="84"/>
      <c r="D5" s="84"/>
      <c r="E5" s="84"/>
      <c r="F5" s="84"/>
      <c r="G5" s="84"/>
      <c r="H5" s="84"/>
      <c r="I5" s="84"/>
      <c r="J5" s="85"/>
      <c r="K5" s="16"/>
      <c r="L5" s="14"/>
      <c r="M5" s="14"/>
      <c r="N5" s="14"/>
      <c r="O5" s="14"/>
      <c r="P5" s="14"/>
      <c r="Q5" s="14"/>
      <c r="R5" s="12"/>
      <c r="S5" s="17"/>
    </row>
    <row r="6" spans="1:19" s="48" customFormat="1" ht="15" customHeight="1" x14ac:dyDescent="0.35">
      <c r="B6" s="86"/>
      <c r="C6" s="87"/>
      <c r="D6" s="87"/>
      <c r="E6" s="87"/>
      <c r="F6" s="87"/>
      <c r="G6" s="87"/>
      <c r="H6" s="87"/>
      <c r="I6" s="87"/>
      <c r="J6" s="88"/>
      <c r="K6" s="16"/>
      <c r="L6" s="14"/>
      <c r="M6" s="14"/>
      <c r="N6" s="14"/>
      <c r="O6" s="14"/>
      <c r="P6" s="14"/>
      <c r="Q6" s="14"/>
      <c r="R6" s="12"/>
      <c r="S6" s="14"/>
    </row>
    <row r="7" spans="1:19" s="48" customFormat="1" ht="15" customHeight="1" x14ac:dyDescent="0.35">
      <c r="B7" s="86"/>
      <c r="C7" s="87"/>
      <c r="D7" s="87"/>
      <c r="E7" s="87"/>
      <c r="F7" s="87"/>
      <c r="G7" s="87"/>
      <c r="H7" s="87"/>
      <c r="I7" s="87"/>
      <c r="J7" s="88"/>
      <c r="K7" s="16"/>
      <c r="L7" s="14"/>
      <c r="M7" s="14"/>
      <c r="N7" s="14"/>
      <c r="O7" s="14"/>
      <c r="P7" s="14"/>
      <c r="Q7" s="14"/>
      <c r="R7" s="12"/>
      <c r="S7" s="14"/>
    </row>
    <row r="8" spans="1:19" s="48" customFormat="1" ht="15" customHeight="1" x14ac:dyDescent="0.35">
      <c r="B8" s="86"/>
      <c r="C8" s="87"/>
      <c r="D8" s="87"/>
      <c r="E8" s="87"/>
      <c r="F8" s="87"/>
      <c r="G8" s="87"/>
      <c r="H8" s="87"/>
      <c r="I8" s="87"/>
      <c r="J8" s="88"/>
      <c r="K8" s="16"/>
      <c r="L8" s="14"/>
      <c r="M8" s="14"/>
      <c r="N8" s="14"/>
      <c r="O8" s="14"/>
      <c r="P8" s="14"/>
      <c r="Q8" s="14"/>
      <c r="R8" s="12"/>
      <c r="S8" s="14"/>
    </row>
    <row r="9" spans="1:19" s="48" customFormat="1" ht="15" customHeight="1" x14ac:dyDescent="0.35">
      <c r="B9" s="86"/>
      <c r="C9" s="87"/>
      <c r="D9" s="87"/>
      <c r="E9" s="87"/>
      <c r="F9" s="87"/>
      <c r="G9" s="87"/>
      <c r="H9" s="87"/>
      <c r="I9" s="87"/>
      <c r="J9" s="88"/>
      <c r="K9" s="16"/>
      <c r="L9" s="14"/>
      <c r="M9" s="14"/>
      <c r="N9" s="14"/>
      <c r="O9" s="14"/>
      <c r="P9" s="14"/>
      <c r="Q9" s="14"/>
      <c r="R9" s="12"/>
      <c r="S9" s="14"/>
    </row>
    <row r="10" spans="1:19" s="48" customFormat="1" ht="15" customHeight="1" x14ac:dyDescent="0.35">
      <c r="B10" s="86"/>
      <c r="C10" s="87"/>
      <c r="D10" s="87"/>
      <c r="E10" s="87"/>
      <c r="F10" s="87"/>
      <c r="G10" s="87"/>
      <c r="H10" s="87"/>
      <c r="I10" s="87"/>
      <c r="J10" s="88"/>
      <c r="K10" s="16"/>
      <c r="L10" s="14"/>
      <c r="M10" s="14"/>
      <c r="N10" s="14"/>
      <c r="O10" s="14"/>
      <c r="P10" s="14"/>
      <c r="Q10" s="14"/>
      <c r="R10" s="12"/>
      <c r="S10" s="14"/>
    </row>
    <row r="11" spans="1:19" s="48" customFormat="1" ht="15" customHeight="1" x14ac:dyDescent="0.35">
      <c r="B11" s="86"/>
      <c r="C11" s="87"/>
      <c r="D11" s="87"/>
      <c r="E11" s="87"/>
      <c r="F11" s="87"/>
      <c r="G11" s="87"/>
      <c r="H11" s="87"/>
      <c r="I11" s="87"/>
      <c r="J11" s="88"/>
      <c r="K11" s="16"/>
      <c r="L11" s="14"/>
      <c r="M11" s="14"/>
      <c r="N11" s="14"/>
      <c r="O11" s="14"/>
      <c r="P11" s="14"/>
      <c r="Q11" s="14"/>
      <c r="R11" s="12"/>
      <c r="S11" s="14"/>
    </row>
    <row r="12" spans="1:19" s="48" customFormat="1" ht="15" customHeight="1" x14ac:dyDescent="0.35">
      <c r="B12" s="86"/>
      <c r="C12" s="87"/>
      <c r="D12" s="87"/>
      <c r="E12" s="87"/>
      <c r="F12" s="87"/>
      <c r="G12" s="87"/>
      <c r="H12" s="87"/>
      <c r="I12" s="87"/>
      <c r="J12" s="88"/>
      <c r="K12" s="16"/>
      <c r="L12" s="14"/>
      <c r="M12" s="14"/>
      <c r="N12" s="14"/>
      <c r="O12" s="14"/>
      <c r="P12" s="14"/>
      <c r="Q12" s="14"/>
      <c r="R12" s="12"/>
      <c r="S12" s="14"/>
    </row>
    <row r="13" spans="1:19" s="48" customFormat="1" ht="15" customHeight="1" x14ac:dyDescent="0.35">
      <c r="B13" s="86"/>
      <c r="C13" s="87"/>
      <c r="D13" s="87"/>
      <c r="E13" s="87"/>
      <c r="F13" s="87"/>
      <c r="G13" s="87"/>
      <c r="H13" s="87"/>
      <c r="I13" s="87"/>
      <c r="J13" s="88"/>
      <c r="K13" s="16"/>
      <c r="L13" s="14"/>
      <c r="M13" s="14"/>
      <c r="N13" s="14"/>
      <c r="O13" s="14"/>
      <c r="P13" s="14"/>
      <c r="Q13" s="14"/>
      <c r="R13" s="12"/>
      <c r="S13" s="14"/>
    </row>
    <row r="14" spans="1:19" s="48" customFormat="1" ht="15" customHeight="1" x14ac:dyDescent="0.35">
      <c r="B14" s="86"/>
      <c r="C14" s="87"/>
      <c r="D14" s="87"/>
      <c r="E14" s="87"/>
      <c r="F14" s="87"/>
      <c r="G14" s="87"/>
      <c r="H14" s="87"/>
      <c r="I14" s="87"/>
      <c r="J14" s="88"/>
      <c r="K14" s="16"/>
      <c r="L14" s="14"/>
      <c r="M14" s="14"/>
      <c r="N14" s="14"/>
      <c r="O14" s="14"/>
      <c r="P14" s="14"/>
      <c r="Q14" s="14"/>
      <c r="R14" s="12"/>
      <c r="S14" s="14"/>
    </row>
    <row r="15" spans="1:19" s="48" customFormat="1" ht="15" customHeight="1" x14ac:dyDescent="0.35">
      <c r="B15" s="86"/>
      <c r="C15" s="87"/>
      <c r="D15" s="87"/>
      <c r="E15" s="87"/>
      <c r="F15" s="87"/>
      <c r="G15" s="87"/>
      <c r="H15" s="87"/>
      <c r="I15" s="87"/>
      <c r="J15" s="88"/>
      <c r="K15" s="16"/>
      <c r="L15" s="14"/>
      <c r="M15" s="14"/>
      <c r="N15" s="14"/>
      <c r="O15" s="14"/>
      <c r="P15" s="14"/>
      <c r="Q15" s="14"/>
      <c r="R15" s="12"/>
      <c r="S15" s="14"/>
    </row>
    <row r="16" spans="1:19" s="48" customFormat="1" ht="15" customHeight="1" x14ac:dyDescent="0.35">
      <c r="B16" s="86"/>
      <c r="C16" s="87"/>
      <c r="D16" s="87"/>
      <c r="E16" s="87"/>
      <c r="F16" s="87"/>
      <c r="G16" s="87"/>
      <c r="H16" s="87"/>
      <c r="I16" s="87"/>
      <c r="J16" s="88"/>
      <c r="K16" s="16"/>
      <c r="L16" s="14"/>
      <c r="M16" s="14"/>
      <c r="N16" s="14"/>
      <c r="O16" s="14"/>
      <c r="P16" s="14"/>
      <c r="Q16" s="14"/>
      <c r="R16" s="12"/>
      <c r="S16" s="14"/>
    </row>
    <row r="17" spans="1:19" s="48" customFormat="1" ht="15" customHeight="1" x14ac:dyDescent="0.35">
      <c r="B17" s="86"/>
      <c r="C17" s="87"/>
      <c r="D17" s="87"/>
      <c r="E17" s="87"/>
      <c r="F17" s="87"/>
      <c r="G17" s="87"/>
      <c r="H17" s="87"/>
      <c r="I17" s="87"/>
      <c r="J17" s="88"/>
      <c r="K17" s="16"/>
      <c r="L17" s="14"/>
      <c r="M17" s="14"/>
      <c r="N17" s="14"/>
      <c r="O17" s="14"/>
      <c r="P17" s="14"/>
      <c r="Q17" s="14"/>
      <c r="R17" s="12"/>
      <c r="S17" s="14"/>
    </row>
    <row r="18" spans="1:19" s="48" customFormat="1" ht="15" customHeight="1" x14ac:dyDescent="0.35">
      <c r="B18" s="86"/>
      <c r="C18" s="457"/>
      <c r="D18" s="457"/>
      <c r="E18" s="457"/>
      <c r="F18" s="87"/>
      <c r="G18" s="87"/>
      <c r="H18" s="87"/>
      <c r="I18" s="87"/>
      <c r="J18" s="88"/>
      <c r="K18" s="16"/>
      <c r="L18" s="14"/>
      <c r="M18" s="14"/>
      <c r="N18" s="14"/>
      <c r="O18" s="14"/>
      <c r="P18" s="14"/>
      <c r="Q18" s="14"/>
      <c r="R18" s="12"/>
      <c r="S18" s="14"/>
    </row>
    <row r="19" spans="1:19" s="48" customFormat="1" ht="15" customHeight="1" x14ac:dyDescent="0.35">
      <c r="B19" s="86"/>
      <c r="C19" s="87"/>
      <c r="D19" s="87"/>
      <c r="E19" s="87"/>
      <c r="F19" s="87"/>
      <c r="G19" s="87"/>
      <c r="H19" s="87"/>
      <c r="I19" s="87"/>
      <c r="J19" s="88"/>
      <c r="K19" s="16"/>
      <c r="L19" s="49"/>
      <c r="M19" s="14"/>
      <c r="N19" s="14"/>
      <c r="O19" s="14"/>
      <c r="P19" s="14"/>
      <c r="Q19" s="14"/>
      <c r="R19" s="12"/>
      <c r="S19" s="14"/>
    </row>
    <row r="20" spans="1:19" s="48" customFormat="1" ht="15" customHeight="1" x14ac:dyDescent="0.35">
      <c r="B20" s="86"/>
      <c r="C20" s="87"/>
      <c r="D20" s="87"/>
      <c r="E20" s="87"/>
      <c r="F20" s="87"/>
      <c r="G20" s="87"/>
      <c r="H20" s="87"/>
      <c r="I20" s="87"/>
      <c r="J20" s="88"/>
      <c r="K20" s="16"/>
      <c r="L20" s="14"/>
      <c r="M20" s="14"/>
      <c r="N20" s="14"/>
      <c r="O20" s="14"/>
      <c r="P20" s="14"/>
      <c r="Q20" s="14"/>
      <c r="R20" s="12"/>
      <c r="S20" s="14"/>
    </row>
    <row r="21" spans="1:19" s="48" customFormat="1" ht="15" customHeight="1" x14ac:dyDescent="0.35">
      <c r="B21" s="86"/>
      <c r="C21" s="87"/>
      <c r="D21" s="87"/>
      <c r="E21" s="87"/>
      <c r="F21" s="87"/>
      <c r="G21" s="87"/>
      <c r="H21" s="87"/>
      <c r="I21" s="87"/>
      <c r="J21" s="88"/>
      <c r="K21" s="16"/>
      <c r="L21" s="14"/>
      <c r="M21" s="14"/>
      <c r="N21" s="14"/>
      <c r="O21" s="14"/>
      <c r="P21" s="14"/>
      <c r="Q21" s="14"/>
      <c r="R21" s="12"/>
      <c r="S21" s="14"/>
    </row>
    <row r="22" spans="1:19" s="48" customFormat="1" ht="15" customHeight="1" x14ac:dyDescent="0.35">
      <c r="B22" s="86"/>
      <c r="C22" s="87"/>
      <c r="D22" s="87"/>
      <c r="E22" s="87"/>
      <c r="F22" s="87"/>
      <c r="G22" s="87"/>
      <c r="H22" s="87"/>
      <c r="I22" s="87"/>
      <c r="J22" s="88"/>
      <c r="K22" s="16"/>
      <c r="L22" s="14"/>
      <c r="M22" s="14"/>
      <c r="N22" s="14"/>
      <c r="O22" s="14"/>
      <c r="P22" s="14"/>
      <c r="Q22" s="14"/>
      <c r="R22" s="12"/>
      <c r="S22" s="14"/>
    </row>
    <row r="23" spans="1:19" s="48" customFormat="1" ht="15" customHeight="1" x14ac:dyDescent="0.35">
      <c r="B23" s="86"/>
      <c r="C23" s="87"/>
      <c r="D23" s="87"/>
      <c r="E23" s="87"/>
      <c r="F23" s="87"/>
      <c r="G23" s="87"/>
      <c r="H23" s="87"/>
      <c r="I23" s="87"/>
      <c r="J23" s="88"/>
      <c r="K23" s="16"/>
      <c r="L23" s="14"/>
      <c r="M23" s="14"/>
      <c r="N23" s="14"/>
      <c r="O23" s="14"/>
      <c r="P23" s="14"/>
      <c r="Q23" s="14"/>
      <c r="R23" s="12"/>
      <c r="S23" s="14"/>
    </row>
    <row r="24" spans="1:19" s="48" customFormat="1" ht="15" customHeight="1" x14ac:dyDescent="0.35">
      <c r="B24" s="86"/>
      <c r="C24" s="87"/>
      <c r="D24" s="87"/>
      <c r="E24" s="87"/>
      <c r="F24" s="87"/>
      <c r="G24" s="87"/>
      <c r="H24" s="87"/>
      <c r="I24" s="87"/>
      <c r="J24" s="88"/>
      <c r="K24" s="16"/>
      <c r="L24" s="14"/>
      <c r="M24" s="14"/>
      <c r="N24" s="14"/>
      <c r="O24" s="14"/>
      <c r="P24" s="14"/>
      <c r="Q24" s="14"/>
      <c r="R24" s="12"/>
      <c r="S24" s="14"/>
    </row>
    <row r="25" spans="1:19" s="48" customFormat="1" ht="15.75" customHeight="1" x14ac:dyDescent="0.35">
      <c r="B25" s="86"/>
      <c r="C25" s="87"/>
      <c r="D25" s="87"/>
      <c r="E25" s="87"/>
      <c r="F25" s="87"/>
      <c r="G25" s="87"/>
      <c r="H25" s="87"/>
      <c r="I25" s="87"/>
      <c r="J25" s="88"/>
      <c r="K25" s="16"/>
      <c r="L25" s="14"/>
      <c r="M25" s="14"/>
      <c r="N25" s="14"/>
      <c r="O25" s="14"/>
      <c r="P25" s="14"/>
      <c r="Q25" s="14"/>
      <c r="R25" s="12"/>
      <c r="S25" s="14"/>
    </row>
    <row r="26" spans="1:19" s="48" customFormat="1" ht="15.75" customHeight="1" x14ac:dyDescent="0.35">
      <c r="B26" s="86"/>
      <c r="C26" s="87"/>
      <c r="D26" s="87"/>
      <c r="E26" s="87"/>
      <c r="F26" s="87"/>
      <c r="G26" s="87"/>
      <c r="H26" s="87"/>
      <c r="I26" s="87"/>
      <c r="J26" s="88"/>
      <c r="K26" s="16"/>
      <c r="L26" s="14"/>
      <c r="M26" s="14"/>
      <c r="N26" s="14"/>
      <c r="O26" s="14"/>
      <c r="P26" s="14"/>
      <c r="Q26" s="14"/>
      <c r="R26" s="12"/>
      <c r="S26" s="14"/>
    </row>
    <row r="27" spans="1:19" s="48" customFormat="1" ht="15" customHeight="1" x14ac:dyDescent="0.35">
      <c r="B27" s="86"/>
      <c r="C27" s="87"/>
      <c r="D27" s="87"/>
      <c r="E27" s="87"/>
      <c r="F27" s="87"/>
      <c r="G27" s="87"/>
      <c r="H27" s="87"/>
      <c r="I27" s="87"/>
      <c r="J27" s="88"/>
      <c r="K27" s="16"/>
      <c r="L27" s="14"/>
      <c r="M27" s="14"/>
      <c r="N27" s="14"/>
      <c r="O27" s="14"/>
      <c r="P27" s="14"/>
      <c r="Q27" s="14"/>
      <c r="R27" s="12"/>
      <c r="S27" s="14"/>
    </row>
    <row r="28" spans="1:19" s="48" customFormat="1" ht="15" customHeight="1" x14ac:dyDescent="0.35">
      <c r="B28" s="86"/>
      <c r="C28" s="87"/>
      <c r="D28" s="87"/>
      <c r="E28" s="87"/>
      <c r="F28" s="87"/>
      <c r="G28" s="87"/>
      <c r="H28" s="87"/>
      <c r="I28" s="87"/>
      <c r="J28" s="88"/>
      <c r="K28" s="16"/>
      <c r="L28" s="14"/>
      <c r="M28" s="14"/>
      <c r="N28" s="14"/>
      <c r="O28" s="14"/>
      <c r="P28" s="14"/>
      <c r="Q28" s="14"/>
      <c r="R28" s="12"/>
      <c r="S28" s="14"/>
    </row>
    <row r="29" spans="1:19" s="48" customFormat="1" ht="15" customHeight="1" x14ac:dyDescent="0.35">
      <c r="B29" s="86"/>
      <c r="C29" s="87"/>
      <c r="D29" s="87"/>
      <c r="E29" s="87"/>
      <c r="F29" s="87"/>
      <c r="G29" s="87"/>
      <c r="H29" s="87"/>
      <c r="I29" s="87"/>
      <c r="J29" s="88"/>
      <c r="K29" s="16"/>
      <c r="L29" s="14"/>
      <c r="M29" s="14"/>
      <c r="N29" s="14"/>
      <c r="O29" s="14"/>
      <c r="P29" s="14"/>
      <c r="Q29" s="14"/>
      <c r="R29" s="12"/>
      <c r="S29" s="14"/>
    </row>
    <row r="30" spans="1:19" s="48" customFormat="1" ht="15" customHeight="1" x14ac:dyDescent="0.35">
      <c r="B30" s="86"/>
      <c r="C30" s="87"/>
      <c r="D30" s="89"/>
      <c r="E30" s="87"/>
      <c r="F30" s="87"/>
      <c r="G30" s="87"/>
      <c r="H30" s="87"/>
      <c r="I30" s="87"/>
      <c r="J30" s="88"/>
      <c r="K30" s="16"/>
      <c r="L30" s="14"/>
      <c r="M30" s="14"/>
      <c r="N30" s="14"/>
      <c r="O30" s="14"/>
      <c r="P30" s="14"/>
      <c r="Q30" s="14"/>
      <c r="R30" s="12"/>
      <c r="S30" s="14"/>
    </row>
    <row r="31" spans="1:19" s="48" customFormat="1" ht="15" customHeight="1" x14ac:dyDescent="0.35">
      <c r="A31" s="14"/>
      <c r="B31" s="86"/>
      <c r="C31" s="89"/>
      <c r="D31" s="89"/>
      <c r="E31" s="87"/>
      <c r="F31" s="87"/>
      <c r="G31" s="87"/>
      <c r="H31" s="87"/>
      <c r="I31" s="87"/>
      <c r="J31" s="88"/>
      <c r="K31" s="16"/>
      <c r="L31" s="14"/>
      <c r="M31" s="14"/>
      <c r="N31" s="14"/>
      <c r="O31" s="14"/>
      <c r="P31" s="14"/>
      <c r="Q31" s="14"/>
      <c r="R31" s="12"/>
      <c r="S31" s="14"/>
    </row>
    <row r="32" spans="1:19" s="48" customFormat="1" ht="15" customHeight="1" x14ac:dyDescent="0.35">
      <c r="A32" s="14"/>
      <c r="B32" s="86"/>
      <c r="C32" s="89"/>
      <c r="D32" s="89"/>
      <c r="E32" s="87"/>
      <c r="F32" s="87"/>
      <c r="G32" s="87"/>
      <c r="H32" s="87"/>
      <c r="I32" s="87"/>
      <c r="J32" s="88"/>
      <c r="K32" s="16"/>
      <c r="L32" s="14"/>
      <c r="M32" s="14"/>
      <c r="N32" s="14"/>
      <c r="O32" s="14"/>
      <c r="P32" s="14"/>
      <c r="Q32" s="14"/>
      <c r="R32" s="12"/>
      <c r="S32" s="14"/>
    </row>
    <row r="33" spans="1:19" s="48" customFormat="1" ht="15" customHeight="1" x14ac:dyDescent="0.35">
      <c r="A33" s="14"/>
      <c r="B33" s="86"/>
      <c r="C33" s="89"/>
      <c r="D33" s="89"/>
      <c r="E33" s="87"/>
      <c r="F33" s="87"/>
      <c r="G33" s="87"/>
      <c r="H33" s="87"/>
      <c r="I33" s="87"/>
      <c r="J33" s="88"/>
      <c r="K33" s="16"/>
      <c r="L33" s="14"/>
      <c r="M33" s="14"/>
      <c r="N33" s="14"/>
      <c r="O33" s="14"/>
      <c r="P33" s="14"/>
      <c r="Q33" s="14"/>
      <c r="R33" s="12"/>
      <c r="S33" s="14"/>
    </row>
    <row r="34" spans="1:19" s="48" customFormat="1" ht="15" customHeight="1" x14ac:dyDescent="0.35">
      <c r="A34" s="14"/>
      <c r="B34" s="86"/>
      <c r="C34" s="87"/>
      <c r="D34" s="87"/>
      <c r="E34" s="87"/>
      <c r="F34" s="87"/>
      <c r="G34" s="87"/>
      <c r="H34" s="87"/>
      <c r="I34" s="87"/>
      <c r="J34" s="88"/>
      <c r="K34" s="16"/>
      <c r="L34" s="14"/>
      <c r="M34" s="14"/>
      <c r="N34" s="14"/>
      <c r="O34" s="14"/>
      <c r="P34" s="14"/>
      <c r="Q34" s="14"/>
      <c r="R34" s="12"/>
      <c r="S34" s="14"/>
    </row>
    <row r="35" spans="1:19" s="48" customFormat="1" ht="15" customHeight="1" x14ac:dyDescent="0.35">
      <c r="A35" s="14"/>
      <c r="B35" s="86"/>
      <c r="C35" s="87"/>
      <c r="D35" s="87"/>
      <c r="E35" s="87"/>
      <c r="F35" s="87"/>
      <c r="G35" s="87"/>
      <c r="H35" s="87"/>
      <c r="I35" s="87"/>
      <c r="J35" s="88"/>
      <c r="K35" s="18"/>
      <c r="L35" s="12"/>
      <c r="M35" s="12"/>
      <c r="N35" s="12"/>
      <c r="O35" s="12"/>
      <c r="P35" s="12"/>
      <c r="Q35" s="12"/>
      <c r="R35" s="12"/>
      <c r="S35" s="14"/>
    </row>
    <row r="36" spans="1:19" s="48" customFormat="1" ht="15" customHeight="1" x14ac:dyDescent="0.35">
      <c r="A36" s="14"/>
      <c r="B36" s="86"/>
      <c r="C36" s="87"/>
      <c r="D36" s="87"/>
      <c r="E36" s="87"/>
      <c r="F36" s="87"/>
      <c r="G36" s="87"/>
      <c r="H36" s="87"/>
      <c r="I36" s="87"/>
      <c r="J36" s="88"/>
      <c r="K36" s="18"/>
      <c r="L36" s="12"/>
      <c r="M36" s="12"/>
      <c r="N36" s="12"/>
      <c r="O36" s="12"/>
      <c r="P36" s="12"/>
      <c r="Q36" s="12"/>
      <c r="R36" s="12"/>
      <c r="S36" s="14"/>
    </row>
    <row r="37" spans="1:19" s="48" customFormat="1" ht="15" customHeight="1" x14ac:dyDescent="0.35">
      <c r="A37" s="14"/>
      <c r="B37" s="86"/>
      <c r="C37" s="87"/>
      <c r="D37" s="87"/>
      <c r="E37" s="87"/>
      <c r="F37" s="87"/>
      <c r="G37" s="87"/>
      <c r="H37" s="87"/>
      <c r="I37" s="87"/>
      <c r="J37" s="88"/>
      <c r="K37" s="18"/>
      <c r="L37" s="12"/>
      <c r="M37" s="12"/>
      <c r="N37" s="12"/>
      <c r="O37" s="12"/>
      <c r="P37" s="12"/>
      <c r="Q37" s="12"/>
      <c r="R37" s="12"/>
      <c r="S37" s="14"/>
    </row>
    <row r="38" spans="1:19" s="48" customFormat="1" ht="15" customHeight="1" x14ac:dyDescent="0.35">
      <c r="A38" s="14"/>
      <c r="B38" s="86"/>
      <c r="C38" s="87"/>
      <c r="D38" s="87"/>
      <c r="E38" s="87"/>
      <c r="F38" s="87"/>
      <c r="G38" s="87"/>
      <c r="H38" s="87"/>
      <c r="I38" s="87"/>
      <c r="J38" s="88"/>
      <c r="K38" s="18"/>
      <c r="L38" s="12"/>
      <c r="M38" s="12"/>
      <c r="N38" s="12"/>
      <c r="O38" s="12"/>
      <c r="P38" s="12"/>
      <c r="Q38" s="12"/>
      <c r="R38" s="12"/>
      <c r="S38" s="14"/>
    </row>
    <row r="39" spans="1:19" s="48" customFormat="1" ht="15" customHeight="1" x14ac:dyDescent="0.35">
      <c r="A39" s="14"/>
      <c r="B39" s="86"/>
      <c r="C39" s="87"/>
      <c r="D39" s="87"/>
      <c r="E39" s="87"/>
      <c r="F39" s="87"/>
      <c r="G39" s="87"/>
      <c r="H39" s="87"/>
      <c r="I39" s="87"/>
      <c r="J39" s="88"/>
      <c r="K39" s="18"/>
      <c r="L39" s="12"/>
      <c r="M39" s="12"/>
      <c r="N39" s="12"/>
      <c r="O39" s="12"/>
      <c r="P39" s="12"/>
      <c r="Q39" s="12"/>
      <c r="R39" s="12"/>
      <c r="S39" s="14"/>
    </row>
    <row r="40" spans="1:19" s="48" customFormat="1" ht="15" customHeight="1" x14ac:dyDescent="0.35">
      <c r="A40" s="14"/>
      <c r="B40" s="86"/>
      <c r="C40" s="87"/>
      <c r="D40" s="87"/>
      <c r="E40" s="87"/>
      <c r="F40" s="87"/>
      <c r="G40" s="87"/>
      <c r="H40" s="87"/>
      <c r="I40" s="87"/>
      <c r="J40" s="88"/>
      <c r="K40" s="18"/>
      <c r="L40" s="12"/>
      <c r="M40" s="12"/>
      <c r="N40" s="12"/>
      <c r="O40" s="12"/>
      <c r="P40" s="12"/>
      <c r="Q40" s="12"/>
      <c r="R40" s="12"/>
      <c r="S40" s="14"/>
    </row>
    <row r="41" spans="1:19" s="48" customFormat="1" ht="15" customHeight="1" x14ac:dyDescent="0.35">
      <c r="A41" s="14"/>
      <c r="B41" s="86"/>
      <c r="C41" s="87"/>
      <c r="D41" s="87"/>
      <c r="E41" s="87"/>
      <c r="F41" s="87"/>
      <c r="G41" s="87"/>
      <c r="H41" s="87"/>
      <c r="I41" s="87"/>
      <c r="J41" s="88"/>
      <c r="K41" s="18"/>
      <c r="L41" s="12"/>
      <c r="M41" s="12"/>
      <c r="N41" s="12"/>
      <c r="O41" s="12"/>
      <c r="P41" s="12"/>
      <c r="Q41" s="12"/>
      <c r="R41" s="12"/>
      <c r="S41" s="14"/>
    </row>
    <row r="42" spans="1:19" s="48" customFormat="1" ht="15" customHeight="1" x14ac:dyDescent="0.35">
      <c r="A42" s="14"/>
      <c r="B42" s="86"/>
      <c r="C42" s="87"/>
      <c r="D42" s="87"/>
      <c r="E42" s="87"/>
      <c r="F42" s="87"/>
      <c r="G42" s="87"/>
      <c r="H42" s="87"/>
      <c r="I42" s="87"/>
      <c r="J42" s="88"/>
      <c r="K42" s="18"/>
      <c r="L42" s="12"/>
      <c r="M42" s="12"/>
      <c r="N42" s="12"/>
      <c r="O42" s="12"/>
      <c r="P42" s="12"/>
      <c r="Q42" s="12"/>
      <c r="R42" s="12"/>
      <c r="S42" s="14"/>
    </row>
    <row r="43" spans="1:19" s="48" customFormat="1" ht="15" customHeight="1" x14ac:dyDescent="0.35">
      <c r="A43" s="14"/>
      <c r="B43" s="86"/>
      <c r="C43" s="87"/>
      <c r="D43" s="87"/>
      <c r="E43" s="87"/>
      <c r="F43" s="90"/>
      <c r="G43" s="87"/>
      <c r="H43" s="87"/>
      <c r="I43" s="87"/>
      <c r="J43" s="88"/>
      <c r="K43" s="18"/>
      <c r="L43" s="12"/>
      <c r="M43" s="12"/>
      <c r="N43" s="12"/>
      <c r="O43" s="12"/>
      <c r="P43" s="12"/>
      <c r="Q43" s="12"/>
      <c r="R43" s="12"/>
      <c r="S43" s="14"/>
    </row>
    <row r="44" spans="1:19" s="48" customFormat="1" ht="15" customHeight="1" x14ac:dyDescent="0.35">
      <c r="A44" s="14"/>
      <c r="B44" s="86"/>
      <c r="C44" s="87"/>
      <c r="D44" s="87"/>
      <c r="E44" s="87"/>
      <c r="F44" s="90"/>
      <c r="G44" s="87"/>
      <c r="H44" s="214"/>
      <c r="I44" s="214"/>
      <c r="J44" s="88"/>
      <c r="K44" s="18"/>
      <c r="L44" s="12"/>
      <c r="M44" s="12"/>
      <c r="N44" s="12"/>
      <c r="O44" s="12"/>
      <c r="P44" s="12"/>
      <c r="Q44" s="12"/>
      <c r="R44" s="12"/>
      <c r="S44" s="14"/>
    </row>
    <row r="45" spans="1:19" s="48" customFormat="1" ht="15" customHeight="1" x14ac:dyDescent="0.35">
      <c r="A45" s="14"/>
      <c r="B45" s="86"/>
      <c r="C45" s="87"/>
      <c r="D45" s="87"/>
      <c r="E45" s="87"/>
      <c r="F45" s="90"/>
      <c r="G45" s="87"/>
      <c r="H45" s="87"/>
      <c r="I45" s="87"/>
      <c r="J45" s="88"/>
      <c r="K45" s="18"/>
      <c r="L45" s="12"/>
      <c r="M45" s="12"/>
      <c r="N45" s="12"/>
      <c r="O45" s="12"/>
      <c r="P45" s="12"/>
      <c r="Q45" s="12"/>
      <c r="R45" s="12"/>
      <c r="S45" s="14"/>
    </row>
    <row r="46" spans="1:19" s="48" customFormat="1" ht="15" customHeight="1" x14ac:dyDescent="0.35">
      <c r="A46" s="14"/>
      <c r="B46" s="86"/>
      <c r="C46" s="87"/>
      <c r="D46" s="87"/>
      <c r="E46" s="87"/>
      <c r="F46" s="90"/>
      <c r="G46" s="87"/>
      <c r="H46" s="87"/>
      <c r="I46" s="87"/>
      <c r="J46" s="88"/>
      <c r="K46" s="18"/>
      <c r="L46" s="12"/>
      <c r="M46" s="12"/>
      <c r="N46" s="12"/>
      <c r="O46" s="12"/>
      <c r="P46" s="12"/>
      <c r="Q46" s="12"/>
      <c r="R46" s="12"/>
      <c r="S46" s="14"/>
    </row>
    <row r="47" spans="1:19" s="48" customFormat="1" ht="15" customHeight="1" x14ac:dyDescent="0.35">
      <c r="A47" s="14"/>
      <c r="B47" s="86"/>
      <c r="C47" s="87"/>
      <c r="D47" s="87"/>
      <c r="E47" s="87"/>
      <c r="F47" s="90"/>
      <c r="G47" s="87"/>
      <c r="H47" s="87"/>
      <c r="I47" s="87"/>
      <c r="J47" s="88"/>
      <c r="K47" s="18"/>
      <c r="L47" s="12"/>
      <c r="M47" s="12"/>
      <c r="N47" s="12"/>
      <c r="O47" s="12"/>
      <c r="P47" s="12"/>
      <c r="Q47" s="12"/>
      <c r="R47" s="12"/>
      <c r="S47" s="14"/>
    </row>
    <row r="48" spans="1:19" s="48" customFormat="1" ht="15" customHeight="1" x14ac:dyDescent="0.35">
      <c r="A48" s="14"/>
      <c r="B48" s="86"/>
      <c r="C48" s="87"/>
      <c r="D48" s="87"/>
      <c r="E48" s="87"/>
      <c r="F48" s="90"/>
      <c r="G48" s="87"/>
      <c r="H48" s="87"/>
      <c r="I48" s="87"/>
      <c r="J48" s="88"/>
      <c r="K48" s="18"/>
      <c r="L48" s="12"/>
      <c r="M48" s="12"/>
      <c r="N48" s="12"/>
      <c r="O48" s="12"/>
      <c r="P48" s="12"/>
      <c r="Q48" s="12"/>
      <c r="R48" s="12"/>
      <c r="S48" s="14"/>
    </row>
    <row r="49" spans="1:19" s="48" customFormat="1" ht="15" customHeight="1" x14ac:dyDescent="0.35">
      <c r="A49" s="14"/>
      <c r="B49" s="86"/>
      <c r="C49" s="87"/>
      <c r="D49" s="87"/>
      <c r="E49" s="87"/>
      <c r="F49" s="90"/>
      <c r="G49" s="87"/>
      <c r="H49" s="87"/>
      <c r="I49" s="87"/>
      <c r="J49" s="88"/>
      <c r="K49" s="18"/>
      <c r="L49" s="12"/>
      <c r="M49" s="12"/>
      <c r="N49" s="12"/>
      <c r="O49" s="12"/>
      <c r="P49" s="12"/>
      <c r="Q49" s="12"/>
      <c r="R49" s="12"/>
      <c r="S49" s="14"/>
    </row>
    <row r="50" spans="1:19" s="48" customFormat="1" ht="15" customHeight="1" x14ac:dyDescent="0.35">
      <c r="A50" s="14"/>
      <c r="B50" s="86"/>
      <c r="C50" s="87"/>
      <c r="D50" s="87"/>
      <c r="E50" s="87"/>
      <c r="F50" s="90"/>
      <c r="G50" s="87"/>
      <c r="H50" s="87"/>
      <c r="I50" s="87"/>
      <c r="J50" s="88"/>
      <c r="K50" s="18"/>
      <c r="L50" s="12"/>
      <c r="M50" s="12"/>
      <c r="N50" s="12"/>
      <c r="O50" s="12"/>
      <c r="P50" s="12"/>
      <c r="Q50" s="12"/>
      <c r="R50" s="12"/>
      <c r="S50" s="14"/>
    </row>
    <row r="51" spans="1:19" s="48" customFormat="1" ht="15" customHeight="1" x14ac:dyDescent="0.35">
      <c r="A51" s="14"/>
      <c r="B51" s="86"/>
      <c r="C51" s="87"/>
      <c r="D51" s="87"/>
      <c r="E51" s="87"/>
      <c r="F51" s="90"/>
      <c r="G51" s="87"/>
      <c r="H51" s="87"/>
      <c r="I51" s="87"/>
      <c r="J51" s="88"/>
      <c r="K51" s="18"/>
      <c r="L51" s="12"/>
      <c r="M51" s="12"/>
      <c r="N51" s="12"/>
      <c r="O51" s="12"/>
      <c r="P51" s="12"/>
      <c r="Q51" s="12"/>
      <c r="R51" s="12"/>
      <c r="S51" s="14"/>
    </row>
    <row r="52" spans="1:19" s="48" customFormat="1" ht="15" customHeight="1" x14ac:dyDescent="0.35">
      <c r="A52" s="14"/>
      <c r="B52" s="86"/>
      <c r="C52" s="87"/>
      <c r="D52" s="87"/>
      <c r="E52" s="87"/>
      <c r="F52" s="90"/>
      <c r="G52" s="87"/>
      <c r="H52" s="87"/>
      <c r="I52" s="87"/>
      <c r="J52" s="88"/>
      <c r="K52" s="18"/>
      <c r="L52" s="12"/>
      <c r="M52" s="12"/>
      <c r="N52" s="12"/>
      <c r="O52" s="12"/>
      <c r="P52" s="12"/>
      <c r="Q52" s="12"/>
      <c r="R52" s="12"/>
      <c r="S52" s="14"/>
    </row>
    <row r="53" spans="1:19" s="48" customFormat="1" ht="15" customHeight="1" x14ac:dyDescent="0.35">
      <c r="A53" s="14"/>
      <c r="B53" s="86"/>
      <c r="C53" s="87"/>
      <c r="D53" s="87"/>
      <c r="E53" s="87"/>
      <c r="F53" s="90"/>
      <c r="G53" s="87"/>
      <c r="H53" s="87"/>
      <c r="I53" s="87"/>
      <c r="J53" s="88"/>
      <c r="K53" s="18"/>
      <c r="L53" s="12"/>
      <c r="M53" s="12"/>
      <c r="N53" s="12"/>
      <c r="O53" s="12"/>
      <c r="P53" s="12"/>
      <c r="Q53" s="12"/>
      <c r="R53" s="12"/>
      <c r="S53" s="14"/>
    </row>
    <row r="54" spans="1:19" s="48" customFormat="1" ht="15" customHeight="1" x14ac:dyDescent="0.35">
      <c r="A54" s="14"/>
      <c r="B54" s="86"/>
      <c r="C54" s="87"/>
      <c r="D54" s="87"/>
      <c r="E54" s="87"/>
      <c r="F54" s="90"/>
      <c r="G54" s="87"/>
      <c r="H54" s="87"/>
      <c r="I54" s="87"/>
      <c r="J54" s="88"/>
      <c r="K54" s="18"/>
      <c r="L54" s="12"/>
      <c r="M54" s="12"/>
      <c r="N54" s="12"/>
      <c r="O54" s="12"/>
      <c r="P54" s="12"/>
      <c r="Q54" s="12"/>
      <c r="R54" s="12"/>
      <c r="S54" s="14"/>
    </row>
    <row r="55" spans="1:19" s="48" customFormat="1" ht="15" customHeight="1" x14ac:dyDescent="0.35">
      <c r="A55" s="14"/>
      <c r="B55" s="86"/>
      <c r="C55" s="87"/>
      <c r="D55" s="87"/>
      <c r="E55" s="87"/>
      <c r="F55" s="90"/>
      <c r="G55" s="87"/>
      <c r="H55" s="87"/>
      <c r="I55" s="87"/>
      <c r="J55" s="88"/>
      <c r="K55" s="18"/>
      <c r="L55" s="12"/>
      <c r="M55" s="12"/>
      <c r="N55" s="12"/>
      <c r="O55" s="12"/>
      <c r="P55" s="12"/>
      <c r="Q55" s="12"/>
      <c r="R55" s="12"/>
      <c r="S55" s="14"/>
    </row>
    <row r="56" spans="1:19" ht="22.5" thickBot="1" x14ac:dyDescent="0.6">
      <c r="A56" s="11"/>
      <c r="B56" s="91"/>
      <c r="C56" s="92"/>
      <c r="D56" s="92"/>
      <c r="E56" s="93"/>
      <c r="F56" s="93"/>
      <c r="G56" s="93"/>
      <c r="H56" s="93"/>
      <c r="I56" s="93"/>
      <c r="J56" s="94"/>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9765625" style="372" customWidth="1"/>
    <col min="2" max="2" width="51" style="372" customWidth="1"/>
    <col min="3" max="5" width="30.86328125" style="372" customWidth="1"/>
    <col min="6" max="8" width="23" style="372" customWidth="1"/>
    <col min="9" max="16384" width="8.86328125" style="372"/>
  </cols>
  <sheetData>
    <row r="1" spans="1:7" ht="20.65" x14ac:dyDescent="0.6">
      <c r="A1" s="370"/>
      <c r="B1" s="371" t="s">
        <v>345</v>
      </c>
    </row>
    <row r="2" spans="1:7" ht="13.9" x14ac:dyDescent="0.4">
      <c r="A2" s="370"/>
      <c r="B2" s="207" t="str">
        <f>Tradingname</f>
        <v>APA OPERATIONS PTY LIMITED</v>
      </c>
      <c r="C2" s="208"/>
    </row>
    <row r="3" spans="1:7" ht="13.9" x14ac:dyDescent="0.4">
      <c r="B3" s="209" t="s">
        <v>180</v>
      </c>
      <c r="C3" s="210" t="str">
        <f>TEXT(Yearstart,"dd/mm/yyyy")&amp;" to "&amp;TEXT(Yearending,"dd/mm/yyyy")</f>
        <v>01/07/2020 to 30/06/2021</v>
      </c>
    </row>
    <row r="4" spans="1:7" x14ac:dyDescent="0.35">
      <c r="B4" s="45" t="s">
        <v>424</v>
      </c>
      <c r="C4" s="45"/>
      <c r="F4" s="45"/>
      <c r="G4" s="45"/>
    </row>
    <row r="5" spans="1:7" ht="15" x14ac:dyDescent="0.4">
      <c r="B5" s="374"/>
      <c r="C5" s="45"/>
    </row>
    <row r="6" spans="1:7" ht="15" x14ac:dyDescent="0.4">
      <c r="B6" s="375"/>
    </row>
    <row r="8" spans="1:7" s="373" customFormat="1" ht="26.25" x14ac:dyDescent="0.35">
      <c r="B8" s="241" t="s">
        <v>425</v>
      </c>
      <c r="C8" s="241" t="s">
        <v>57</v>
      </c>
      <c r="D8" s="241" t="s">
        <v>58</v>
      </c>
      <c r="E8" s="241" t="s">
        <v>25</v>
      </c>
    </row>
    <row r="9" spans="1:7" x14ac:dyDescent="0.35">
      <c r="B9" s="136" t="s">
        <v>45</v>
      </c>
      <c r="C9" s="285">
        <f>'2. Revenues and expenses'!D16</f>
        <v>6571910.6299999515</v>
      </c>
      <c r="D9" s="285">
        <f>'2. Revenues and expenses'!E16</f>
        <v>5422666.9500000011</v>
      </c>
      <c r="E9" s="285">
        <f>'2. Revenues and expenses'!F16</f>
        <v>11994577.579999954</v>
      </c>
    </row>
    <row r="10" spans="1:7" x14ac:dyDescent="0.35">
      <c r="B10" s="136" t="s">
        <v>53</v>
      </c>
      <c r="C10" s="285">
        <f>'2. Revenues and expenses'!D19</f>
        <v>0</v>
      </c>
      <c r="D10" s="285">
        <f>'2. Revenues and expenses'!E19</f>
        <v>0</v>
      </c>
      <c r="E10" s="285">
        <f>'2. Revenues and expenses'!F19</f>
        <v>0</v>
      </c>
    </row>
    <row r="11" spans="1:7" ht="13.9" x14ac:dyDescent="0.4">
      <c r="B11" s="242" t="s">
        <v>22</v>
      </c>
      <c r="C11" s="285">
        <f>'2. Revenues and expenses'!D20</f>
        <v>6571910.6299999515</v>
      </c>
      <c r="D11" s="285">
        <f>'2. Revenues and expenses'!E20</f>
        <v>5422666.9500000011</v>
      </c>
      <c r="E11" s="285">
        <f>'2. Revenues and expenses'!F20</f>
        <v>11994577.579999954</v>
      </c>
    </row>
    <row r="12" spans="1:7" x14ac:dyDescent="0.35">
      <c r="B12" s="136" t="s">
        <v>59</v>
      </c>
      <c r="C12" s="285">
        <f>'2. Revenues and expenses'!D30</f>
        <v>-2431594.1059491532</v>
      </c>
      <c r="D12" s="285">
        <f>'2. Revenues and expenses'!E30</f>
        <v>-2006376.1874597147</v>
      </c>
      <c r="E12" s="285">
        <f>'2. Revenues and expenses'!F30</f>
        <v>-4437970.2934088679</v>
      </c>
    </row>
    <row r="13" spans="1:7" x14ac:dyDescent="0.35">
      <c r="B13" s="136" t="s">
        <v>426</v>
      </c>
      <c r="C13" s="285">
        <f>'2. Revenues and expenses'!D41</f>
        <v>-1062324.9033867302</v>
      </c>
      <c r="D13" s="285">
        <f>'2. Revenues and expenses'!E41</f>
        <v>0</v>
      </c>
      <c r="E13" s="285">
        <f>'2. Revenues and expenses'!F41</f>
        <v>-1062324.9033867302</v>
      </c>
    </row>
    <row r="14" spans="1:7" ht="13.9" x14ac:dyDescent="0.4">
      <c r="B14" s="242" t="s">
        <v>61</v>
      </c>
      <c r="C14" s="285">
        <f>'2. Revenues and expenses'!D42</f>
        <v>-3493919.0093358834</v>
      </c>
      <c r="D14" s="285">
        <f>'2. Revenues and expenses'!E42</f>
        <v>-2006376.1874597147</v>
      </c>
      <c r="E14" s="285">
        <f>'2. Revenues and expenses'!F42</f>
        <v>-5500295.1967955977</v>
      </c>
    </row>
    <row r="15" spans="1:7" ht="13.9" x14ac:dyDescent="0.4">
      <c r="B15" s="242" t="s">
        <v>427</v>
      </c>
      <c r="C15" s="285">
        <f>'2. Revenues and expenses'!D43</f>
        <v>3077991.620664068</v>
      </c>
      <c r="D15" s="285">
        <f>'2. Revenues and expenses'!E43</f>
        <v>3416290.7625402864</v>
      </c>
      <c r="E15" s="285">
        <f>'2. Revenues and expenses'!F43</f>
        <v>6494282.3832043558</v>
      </c>
    </row>
    <row r="16" spans="1:7" x14ac:dyDescent="0.35">
      <c r="B16" s="376"/>
      <c r="C16" s="377"/>
      <c r="D16" s="377"/>
      <c r="E16" s="377"/>
    </row>
    <row r="17" spans="2:4" x14ac:dyDescent="0.35">
      <c r="B17" s="378"/>
      <c r="C17" s="379"/>
    </row>
    <row r="18" spans="2:4" s="373" customFormat="1" ht="24.6" customHeight="1" x14ac:dyDescent="0.35">
      <c r="B18" s="241" t="s">
        <v>428</v>
      </c>
      <c r="C18" s="241" t="s">
        <v>429</v>
      </c>
      <c r="D18" s="241" t="s">
        <v>430</v>
      </c>
    </row>
    <row r="19" spans="2:4" x14ac:dyDescent="0.35">
      <c r="B19" s="136" t="s">
        <v>142</v>
      </c>
      <c r="C19" s="286">
        <f>'3. Statement of pipeline assets'!D16</f>
        <v>28908118.615535852</v>
      </c>
      <c r="D19" s="286">
        <f>'3. Statement of pipeline assets'!E16</f>
        <v>12803906.391299367</v>
      </c>
    </row>
    <row r="20" spans="2:4" x14ac:dyDescent="0.35">
      <c r="B20" s="136" t="s">
        <v>85</v>
      </c>
      <c r="C20" s="286">
        <f>'3. Statement of pipeline assets'!D23</f>
        <v>31033379.879098468</v>
      </c>
      <c r="D20" s="286">
        <f>'3. Statement of pipeline assets'!E23</f>
        <v>31993019.131653473</v>
      </c>
    </row>
    <row r="21" spans="2:4" x14ac:dyDescent="0.35">
      <c r="B21" s="136" t="s">
        <v>143</v>
      </c>
      <c r="C21" s="286">
        <f>'3. Statement of pipeline assets'!D30</f>
        <v>2995424.3820878775</v>
      </c>
      <c r="D21" s="286">
        <f>'3. Statement of pipeline assets'!E30</f>
        <v>3057363.571185756</v>
      </c>
    </row>
    <row r="22" spans="2:4" x14ac:dyDescent="0.35">
      <c r="B22" s="136" t="s">
        <v>145</v>
      </c>
      <c r="C22" s="286">
        <f>'3. Statement of pipeline assets'!D37</f>
        <v>1097280.4461407177</v>
      </c>
      <c r="D22" s="286">
        <f>'3. Statement of pipeline assets'!E37</f>
        <v>1121270.3564952693</v>
      </c>
    </row>
    <row r="23" spans="2:4" x14ac:dyDescent="0.35">
      <c r="B23" s="136" t="s">
        <v>87</v>
      </c>
      <c r="C23" s="286">
        <f>'3. Statement of pipeline assets'!D44</f>
        <v>0</v>
      </c>
      <c r="D23" s="286">
        <f>'3. Statement of pipeline assets'!E44</f>
        <v>0</v>
      </c>
    </row>
    <row r="24" spans="2:4" x14ac:dyDescent="0.35">
      <c r="B24" s="136" t="s">
        <v>147</v>
      </c>
      <c r="C24" s="286">
        <f>'3. Statement of pipeline assets'!D51</f>
        <v>41612.24740999315</v>
      </c>
      <c r="D24" s="286">
        <f>'3. Statement of pipeline assets'!E51</f>
        <v>40344.925620807662</v>
      </c>
    </row>
    <row r="25" spans="2:4" x14ac:dyDescent="0.35">
      <c r="B25" s="136" t="s">
        <v>1</v>
      </c>
      <c r="C25" s="286">
        <f>'3. Statement of pipeline assets'!D58</f>
        <v>433395.59795448318</v>
      </c>
      <c r="D25" s="286">
        <f>'3. Statement of pipeline assets'!E58</f>
        <v>438924.18262765225</v>
      </c>
    </row>
    <row r="26" spans="2:4" x14ac:dyDescent="0.35">
      <c r="B26" s="136" t="s">
        <v>149</v>
      </c>
      <c r="C26" s="286">
        <f>'3. Statement of pipeline assets'!D64</f>
        <v>0</v>
      </c>
      <c r="D26" s="286">
        <f>'3. Statement of pipeline assets'!E64</f>
        <v>0</v>
      </c>
    </row>
    <row r="27" spans="2:4" x14ac:dyDescent="0.35">
      <c r="B27" s="136" t="s">
        <v>232</v>
      </c>
      <c r="C27" s="286">
        <f>'3. Statement of pipeline assets'!D71</f>
        <v>967540.26602539513</v>
      </c>
      <c r="D27" s="286">
        <f>'3. Statement of pipeline assets'!E71</f>
        <v>925091.65611266415</v>
      </c>
    </row>
    <row r="28" spans="2:4" x14ac:dyDescent="0.35">
      <c r="B28" s="136" t="s">
        <v>311</v>
      </c>
      <c r="C28" s="286">
        <f>'3. Statement of pipeline assets'!D78</f>
        <v>1982.5695999999989</v>
      </c>
      <c r="D28" s="286">
        <f>'3. Statement of pipeline assets'!E78</f>
        <v>16688.042799999999</v>
      </c>
    </row>
    <row r="29" spans="2:4" x14ac:dyDescent="0.35">
      <c r="B29" s="136" t="s">
        <v>151</v>
      </c>
      <c r="C29" s="286">
        <f>'3. Statement of pipeline assets'!D79</f>
        <v>6891119.2999999989</v>
      </c>
      <c r="D29" s="286">
        <f>'3. Statement of pipeline assets'!E79</f>
        <v>11340386.49</v>
      </c>
    </row>
    <row r="30" spans="2:4" ht="13.9" x14ac:dyDescent="0.4">
      <c r="B30" s="244" t="s">
        <v>431</v>
      </c>
      <c r="C30" s="287">
        <f>'3. Statement of pipeline assets'!D80</f>
        <v>72369853.303852782</v>
      </c>
      <c r="D30" s="287">
        <f>'3. Statement of pipeline assets'!E80</f>
        <v>61736994.747794993</v>
      </c>
    </row>
    <row r="31" spans="2:4" x14ac:dyDescent="0.35">
      <c r="B31" s="136" t="s">
        <v>432</v>
      </c>
      <c r="C31" s="286">
        <f>'3. Statement of pipeline assets'!D88</f>
        <v>592961.81253844046</v>
      </c>
      <c r="D31" s="286">
        <f>'3. Statement of pipeline assets'!E88</f>
        <v>569359.56176762446</v>
      </c>
    </row>
    <row r="32" spans="2:4" x14ac:dyDescent="0.35">
      <c r="B32" s="136" t="s">
        <v>433</v>
      </c>
      <c r="C32" s="286">
        <f>'3. Statement of pipeline assets'!D95</f>
        <v>170663.28703798976</v>
      </c>
      <c r="D32" s="286">
        <f>'3. Statement of pipeline assets'!E95</f>
        <v>183505.14574400909</v>
      </c>
    </row>
    <row r="33" spans="1:4" x14ac:dyDescent="0.35">
      <c r="A33" s="45"/>
      <c r="B33" s="136" t="s">
        <v>434</v>
      </c>
      <c r="C33" s="286">
        <f>'3. Statement of pipeline assets'!D96</f>
        <v>0</v>
      </c>
      <c r="D33" s="286">
        <f>'3. Statement of pipeline assets'!E96</f>
        <v>0</v>
      </c>
    </row>
    <row r="34" spans="1:4" x14ac:dyDescent="0.35">
      <c r="A34" s="45"/>
      <c r="B34" s="136" t="s">
        <v>435</v>
      </c>
      <c r="C34" s="286">
        <f>'3. Statement of pipeline assets'!D97</f>
        <v>0</v>
      </c>
      <c r="D34" s="286">
        <f>'3. Statement of pipeline assets'!E97</f>
        <v>0</v>
      </c>
    </row>
    <row r="35" spans="1:4" x14ac:dyDescent="0.35">
      <c r="B35" s="136" t="s">
        <v>436</v>
      </c>
      <c r="C35" s="286">
        <f>'3. Statement of pipeline assets'!D98</f>
        <v>0</v>
      </c>
      <c r="D35" s="286">
        <f>'3. Statement of pipeline assets'!E98</f>
        <v>0</v>
      </c>
    </row>
    <row r="36" spans="1:4" ht="13.9" x14ac:dyDescent="0.4">
      <c r="B36" s="245" t="s">
        <v>437</v>
      </c>
      <c r="C36" s="287">
        <f>'3. Statement of pipeline assets'!D99</f>
        <v>763625.09957643016</v>
      </c>
      <c r="D36" s="287">
        <f>'3. Statement of pipeline assets'!E99</f>
        <v>752864.70751163352</v>
      </c>
    </row>
    <row r="37" spans="1:4" ht="13.9" x14ac:dyDescent="0.4">
      <c r="B37" s="246" t="s">
        <v>438</v>
      </c>
      <c r="C37" s="287">
        <f>'3. Statement of pipeline assets'!D100</f>
        <v>73133478.40342921</v>
      </c>
      <c r="D37" s="287">
        <f>'3. Statement of pipeline assets'!E100</f>
        <v>62489859.455306627</v>
      </c>
    </row>
    <row r="38" spans="1:4" ht="13.9" x14ac:dyDescent="0.4">
      <c r="B38" s="243" t="s">
        <v>439</v>
      </c>
      <c r="C38" s="248">
        <f>'1.1 Financial performance'!C10</f>
        <v>8.8800403385432852E-2</v>
      </c>
      <c r="D38" s="247"/>
    </row>
    <row r="39" spans="1:4" x14ac:dyDescent="0.35">
      <c r="B39" s="378"/>
    </row>
    <row r="40" spans="1:4" x14ac:dyDescent="0.35">
      <c r="B40" s="378"/>
    </row>
    <row r="41" spans="1:4" s="373" customFormat="1" ht="26.25" x14ac:dyDescent="0.35">
      <c r="B41" s="240" t="s">
        <v>440</v>
      </c>
      <c r="C41" s="241" t="s">
        <v>429</v>
      </c>
      <c r="D41" s="252">
        <f>VALUE(RIGHT(TEXT(Yearending,"dd/mm/yyyy"),4))</f>
        <v>2021</v>
      </c>
    </row>
    <row r="42" spans="1:4" x14ac:dyDescent="0.35">
      <c r="B42" s="249" t="s">
        <v>441</v>
      </c>
      <c r="C42" s="286">
        <f>'4. Recovered capital'!E16</f>
        <v>76658475.206874505</v>
      </c>
      <c r="D42" s="212"/>
    </row>
    <row r="43" spans="1:4" x14ac:dyDescent="0.35">
      <c r="B43" s="249" t="s">
        <v>442</v>
      </c>
      <c r="C43" s="286">
        <f>'4. Recovered capital'!E23</f>
        <v>1481791.5247739546</v>
      </c>
      <c r="D43" s="212"/>
    </row>
    <row r="44" spans="1:4" ht="13.9" x14ac:dyDescent="0.4">
      <c r="B44" s="211" t="s">
        <v>96</v>
      </c>
      <c r="C44" s="287">
        <f>'4. Recovered capital'!E24</f>
        <v>78140266.73164846</v>
      </c>
      <c r="D44" s="320"/>
    </row>
    <row r="45" spans="1:4" x14ac:dyDescent="0.35">
      <c r="B45" s="254" t="s">
        <v>203</v>
      </c>
      <c r="C45" s="251"/>
      <c r="D45" s="241"/>
    </row>
    <row r="46" spans="1:4" x14ac:dyDescent="0.35">
      <c r="B46" s="136" t="s">
        <v>117</v>
      </c>
      <c r="C46" s="288">
        <f>'4. Recovered capital'!E26</f>
        <v>81540611.379939377</v>
      </c>
      <c r="D46" s="286">
        <f>IFERROR(INDEX('4. Recovered capital'!$F$8:$BH$34,MATCH($B46,'4. Recovered capital'!$D$8:$D$34,0),MATCH(D$41,'4. Recovered capital'!$F$8:$BH$8,0)),)</f>
        <v>11994577.579999952</v>
      </c>
    </row>
    <row r="47" spans="1:4" x14ac:dyDescent="0.35">
      <c r="B47" s="136" t="s">
        <v>118</v>
      </c>
      <c r="C47" s="288">
        <f>'4. Recovered capital'!E27</f>
        <v>-17130949.696542263</v>
      </c>
      <c r="D47" s="286">
        <f>IFERROR(INDEX('4. Recovered capital'!$F$8:$BH$34,MATCH($B47,'4. Recovered capital'!$D$8:$D$34,0),MATCH(D$41,'4. Recovered capital'!$F$8:$BH$8,0)),)</f>
        <v>-3882516.3095327434</v>
      </c>
    </row>
    <row r="48" spans="1:4" x14ac:dyDescent="0.35">
      <c r="B48" s="136" t="s">
        <v>119</v>
      </c>
      <c r="C48" s="288">
        <f>'4. Recovered capital'!E28</f>
        <v>-6044127.2803722704</v>
      </c>
      <c r="D48" s="286">
        <f>IFERROR(INDEX('4. Recovered capital'!$F$8:$BH$34,MATCH($B48,'4. Recovered capital'!$D$8:$D$34,0),MATCH(D$41,'4. Recovered capital'!$F$8:$BH$8,0)),)</f>
        <v>-1171221.2033336761</v>
      </c>
    </row>
    <row r="49" spans="2:82" x14ac:dyDescent="0.35">
      <c r="B49" s="136" t="s">
        <v>317</v>
      </c>
      <c r="C49" s="288">
        <f>'4. Recovered capital'!E29</f>
        <v>-16894.895809084315</v>
      </c>
      <c r="D49" s="286">
        <f>IFERROR(INDEX('4. Recovered capital'!$F$8:$BH$34,MATCH($B49,'4. Recovered capital'!$D$8:$D$34,0),MATCH(D$41,'4. Recovered capital'!$F$8:$BH$8,0)),)</f>
        <v>-7824.5591621198782</v>
      </c>
    </row>
    <row r="50" spans="2:82" x14ac:dyDescent="0.35">
      <c r="B50" s="136" t="s">
        <v>164</v>
      </c>
      <c r="C50" s="288">
        <f>'4. Recovered capital'!E30</f>
        <v>-40595545.894214928</v>
      </c>
      <c r="D50" s="286">
        <f>IFERROR(INDEX('4. Recovered capital'!$F$8:$BH$34,MATCH($B50,'4. Recovered capital'!$D$8:$D$34,0),MATCH(D$41,'4. Recovered capital'!$F$8:$BH$8,0)),)</f>
        <v>-3167709.8968219263</v>
      </c>
    </row>
    <row r="51" spans="2:82" x14ac:dyDescent="0.35">
      <c r="B51" s="254" t="s">
        <v>443</v>
      </c>
      <c r="C51" s="288">
        <f>'4. Recovered capital'!E31</f>
        <v>17753093.613000821</v>
      </c>
      <c r="D51" s="286">
        <f>IFERROR(INDEX('4. Recovered capital'!$F$8:$BH$34,MATCH($B51,'4. Recovered capital'!$D$8:$D$34,0),MATCH(D$41,'4. Recovered capital'!$F$8:$BH$8,0)),)</f>
        <v>3765305.6111494862</v>
      </c>
    </row>
    <row r="52" spans="2:82" ht="13.9" x14ac:dyDescent="0.4">
      <c r="B52" s="246" t="s">
        <v>204</v>
      </c>
      <c r="C52" s="289">
        <f>'4. Recovered capital'!E32</f>
        <v>60387173.11864765</v>
      </c>
      <c r="D52" s="287">
        <f>IFERROR(INDEX('4. Recovered capital'!$F$8:$BH$34,MATCH($B52,'4. Recovered capital'!$D$8:$D$34,0),MATCH(D$41,'4. Recovered capital'!$F$8:$BH$8,0)),)</f>
        <v>13548552.696259182</v>
      </c>
    </row>
    <row r="53" spans="2:82" x14ac:dyDescent="0.35">
      <c r="B53" s="254" t="s">
        <v>444</v>
      </c>
      <c r="C53" s="380"/>
      <c r="D53" s="286">
        <f>IFERROR(INDEX('4. Recovered capital'!$F$8:$BH$34,MATCH($B53,'4. Recovered capital'!$D$8:$D$34,0),MATCH(D$41,'4. Recovered capital'!$F$8:$BH$8,0)),)</f>
        <v>46838620.422388457</v>
      </c>
    </row>
    <row r="54" spans="2:82" x14ac:dyDescent="0.35">
      <c r="B54" s="254" t="s">
        <v>445</v>
      </c>
      <c r="C54" s="381"/>
      <c r="D54" s="250">
        <f>IFERROR(INDEX('4. Recovered capital'!$F$8:$BH$34,MATCH($B54,'4. Recovered capital'!$D$8:$D$34,0),MATCH(D$41,'4. Recovered capital'!$F$8:$BH$8,0)),)</f>
        <v>6.7630298848592646E-2</v>
      </c>
    </row>
    <row r="55" spans="2:82" x14ac:dyDescent="0.35">
      <c r="B55" s="378"/>
    </row>
    <row r="56" spans="2:82" x14ac:dyDescent="0.35">
      <c r="B56" s="382"/>
    </row>
    <row r="57" spans="2:82" x14ac:dyDescent="0.35">
      <c r="B57" s="241" t="s">
        <v>446</v>
      </c>
      <c r="C57" s="252">
        <f>D57-1</f>
        <v>2017</v>
      </c>
      <c r="D57" s="252">
        <f>E57-1</f>
        <v>2018</v>
      </c>
      <c r="E57" s="252">
        <f>F57-1</f>
        <v>2019</v>
      </c>
      <c r="F57" s="252">
        <f>G57-1</f>
        <v>2020</v>
      </c>
      <c r="G57" s="252">
        <f>VALUE(RIGHT(TEXT(Yearending,"dd/mm/yyyy"),4))</f>
        <v>2021</v>
      </c>
      <c r="BQ57" s="384"/>
      <c r="BR57" s="384"/>
      <c r="BS57" s="384"/>
      <c r="BT57" s="384"/>
      <c r="BU57" s="384"/>
      <c r="BV57" s="384"/>
      <c r="BW57" s="384"/>
      <c r="BX57" s="384"/>
      <c r="BY57" s="384"/>
      <c r="BZ57" s="384"/>
      <c r="CA57" s="384"/>
      <c r="CB57" s="384"/>
      <c r="CC57" s="384"/>
      <c r="CD57" s="384"/>
    </row>
    <row r="58" spans="2:82" x14ac:dyDescent="0.35">
      <c r="B58" s="136" t="s">
        <v>117</v>
      </c>
      <c r="C58" s="253">
        <f>IFERROR(INDEX('4. Recovered capital'!$F$8:$BH$32,MATCH($B58,'4. Recovered capital'!$D$8:$D$32,0),MATCH(C$57,'4. Recovered capital'!$F$8:$BH$8,0))/INDEX('4. Recovered capital'!$F$8:$BH$32,MATCH($B58,'4. Recovered capital'!$D$8:$D$32,0),MATCH(C$57-1,'4. Recovered capital'!$F$8:$BH$8,0))-1,"NA")</f>
        <v>0.48204004157932356</v>
      </c>
      <c r="D58" s="253">
        <f>IFERROR(INDEX('4. Recovered capital'!$F$8:$BH$32,MATCH($B58,'4. Recovered capital'!$D$8:$D$32,0),MATCH(D$57,'4. Recovered capital'!$F$8:$BH$8,0))/INDEX('4. Recovered capital'!$F$8:$BH$32,MATCH($B58,'4. Recovered capital'!$D$8:$D$32,0),MATCH(D$57-1,'4. Recovered capital'!$F$8:$BH$8,0))-1,"NA")</f>
        <v>-7.8347130996573089E-2</v>
      </c>
      <c r="E58" s="253">
        <f>IFERROR(INDEX('4. Recovered capital'!$F$8:$BH$32,MATCH($B58,'4. Recovered capital'!$D$8:$D$32,0),MATCH(E$57,'4. Recovered capital'!$F$8:$BH$8,0))/INDEX('4. Recovered capital'!$F$8:$BH$32,MATCH($B58,'4. Recovered capital'!$D$8:$D$32,0),MATCH(E$57-1,'4. Recovered capital'!$F$8:$BH$8,0))-1,"NA")</f>
        <v>0.59778794881587594</v>
      </c>
      <c r="F58" s="253">
        <f>IFERROR(INDEX('4. Recovered capital'!$F$8:$BH$32,MATCH($B58,'4. Recovered capital'!$D$8:$D$32,0),MATCH(F$57,'4. Recovered capital'!$F$8:$BH$8,0))/INDEX('4. Recovered capital'!$F$8:$BH$32,MATCH($B58,'4. Recovered capital'!$D$8:$D$32,0),MATCH(F$57-1,'4. Recovered capital'!$F$8:$BH$8,0))-1,"NA")</f>
        <v>0.5339190978689945</v>
      </c>
      <c r="G58" s="253">
        <f>IFERROR(INDEX('4. Recovered capital'!$F$8:$BH$32,MATCH($B58,'4. Recovered capital'!$D$8:$D$32,0),MATCH(G$57,'4. Recovered capital'!$F$8:$BH$8,0))/INDEX('4. Recovered capital'!$F$8:$BH$32,MATCH($B58,'4. Recovered capital'!$D$8:$D$32,0),MATCH(G$57-1,'4. Recovered capital'!$F$8:$BH$8,0))-1,"NA")</f>
        <v>3.4235633799234888E-2</v>
      </c>
    </row>
    <row r="59" spans="2:82" x14ac:dyDescent="0.35">
      <c r="B59" s="136" t="s">
        <v>118</v>
      </c>
      <c r="C59" s="253">
        <f>IFERROR(INDEX('4. Recovered capital'!$F$8:$BH$32,MATCH($B59,'4. Recovered capital'!$D$8:$D$32,0),MATCH(C$57,'4. Recovered capital'!$F$8:$BH$8,0))/INDEX('4. Recovered capital'!$F$8:$BH$32,MATCH($B59,'4. Recovered capital'!$D$8:$D$32,0),MATCH(C$57-1,'4. Recovered capital'!$F$8:$BH$8,0))-1,"NA")</f>
        <v>0.3864749099513396</v>
      </c>
      <c r="D59" s="253">
        <f>IFERROR(INDEX('4. Recovered capital'!$F$8:$BH$32,MATCH($B59,'4. Recovered capital'!$D$8:$D$32,0),MATCH(D$57,'4. Recovered capital'!$F$8:$BH$8,0))/INDEX('4. Recovered capital'!$F$8:$BH$32,MATCH($B59,'4. Recovered capital'!$D$8:$D$32,0),MATCH(D$57-1,'4. Recovered capital'!$F$8:$BH$8,0))-1,"NA")</f>
        <v>0.12109343257800242</v>
      </c>
      <c r="E59" s="253">
        <f>IFERROR(INDEX('4. Recovered capital'!$F$8:$BH$32,MATCH($B59,'4. Recovered capital'!$D$8:$D$32,0),MATCH(E$57,'4. Recovered capital'!$F$8:$BH$8,0))/INDEX('4. Recovered capital'!$F$8:$BH$32,MATCH($B59,'4. Recovered capital'!$D$8:$D$32,0),MATCH(E$57-1,'4. Recovered capital'!$F$8:$BH$8,0))-1,"NA")</f>
        <v>1.5443384671492981</v>
      </c>
      <c r="F59" s="253">
        <f>IFERROR(INDEX('4. Recovered capital'!$F$8:$BH$32,MATCH($B59,'4. Recovered capital'!$D$8:$D$32,0),MATCH(F$57,'4. Recovered capital'!$F$8:$BH$8,0))/INDEX('4. Recovered capital'!$F$8:$BH$32,MATCH($B59,'4. Recovered capital'!$D$8:$D$32,0),MATCH(F$57-1,'4. Recovered capital'!$F$8:$BH$8,0))-1,"NA")</f>
        <v>0.61701162006682519</v>
      </c>
      <c r="G59" s="253">
        <f>IFERROR(INDEX('4. Recovered capital'!$F$8:$BH$32,MATCH($B59,'4. Recovered capital'!$D$8:$D$32,0),MATCH(G$57,'4. Recovered capital'!$F$8:$BH$8,0))/INDEX('4. Recovered capital'!$F$8:$BH$32,MATCH($B59,'4. Recovered capital'!$D$8:$D$32,0),MATCH(G$57-1,'4. Recovered capital'!$F$8:$BH$8,0))-1,"NA")</f>
        <v>-7.6818621244114205E-2</v>
      </c>
    </row>
    <row r="60" spans="2:82" x14ac:dyDescent="0.35">
      <c r="B60" s="136" t="s">
        <v>119</v>
      </c>
      <c r="C60" s="253">
        <f>IFERROR(INDEX('4. Recovered capital'!$F$8:$BH$32,MATCH($B60,'4. Recovered capital'!$D$8:$D$32,0),MATCH(C$57,'4. Recovered capital'!$F$8:$BH$8,0))/INDEX('4. Recovered capital'!$F$8:$BH$32,MATCH($B60,'4. Recovered capital'!$D$8:$D$32,0),MATCH(C$57-1,'4. Recovered capital'!$F$8:$BH$8,0))-1,"NA")</f>
        <v>1.2664572640304477</v>
      </c>
      <c r="D60" s="253">
        <f>IFERROR(INDEX('4. Recovered capital'!$F$8:$BH$32,MATCH($B60,'4. Recovered capital'!$D$8:$D$32,0),MATCH(D$57,'4. Recovered capital'!$F$8:$BH$8,0))/INDEX('4. Recovered capital'!$F$8:$BH$32,MATCH($B60,'4. Recovered capital'!$D$8:$D$32,0),MATCH(D$57-1,'4. Recovered capital'!$F$8:$BH$8,0))-1,"NA")</f>
        <v>0.16230224905096358</v>
      </c>
      <c r="E60" s="253">
        <f>IFERROR(INDEX('4. Recovered capital'!$F$8:$BH$32,MATCH($B60,'4. Recovered capital'!$D$8:$D$32,0),MATCH(E$57,'4. Recovered capital'!$F$8:$BH$8,0))/INDEX('4. Recovered capital'!$F$8:$BH$32,MATCH($B60,'4. Recovered capital'!$D$8:$D$32,0),MATCH(E$57-1,'4. Recovered capital'!$F$8:$BH$8,0))-1,"NA")</f>
        <v>0.16760084002159314</v>
      </c>
      <c r="F60" s="253">
        <f>IFERROR(INDEX('4. Recovered capital'!$F$8:$BH$32,MATCH($B60,'4. Recovered capital'!$D$8:$D$32,0),MATCH(F$57,'4. Recovered capital'!$F$8:$BH$8,0))/INDEX('4. Recovered capital'!$F$8:$BH$32,MATCH($B60,'4. Recovered capital'!$D$8:$D$32,0),MATCH(F$57-1,'4. Recovered capital'!$F$8:$BH$8,0))-1,"NA")</f>
        <v>6.689740437909153E-2</v>
      </c>
      <c r="G60" s="253">
        <f>IFERROR(INDEX('4. Recovered capital'!$F$8:$BH$32,MATCH($B60,'4. Recovered capital'!$D$8:$D$32,0),MATCH(G$57,'4. Recovered capital'!$F$8:$BH$8,0))/INDEX('4. Recovered capital'!$F$8:$BH$32,MATCH($B60,'4. Recovered capital'!$D$8:$D$32,0),MATCH(G$57-1,'4. Recovered capital'!$F$8:$BH$8,0))-1,"NA")</f>
        <v>5.4464682486783378E-2</v>
      </c>
    </row>
    <row r="61" spans="2:82" x14ac:dyDescent="0.35">
      <c r="B61" s="136" t="s">
        <v>317</v>
      </c>
      <c r="C61" s="253" t="str">
        <f>IFERROR(INDEX('4. Recovered capital'!$F$8:$BH$32,MATCH($B61,'4. Recovered capital'!$D$8:$D$32,0),MATCH(C$57,'4. Recovered capital'!$F$8:$BH$8,0))/INDEX('4. Recovered capital'!$F$8:$BH$32,MATCH($B61,'4. Recovered capital'!$D$8:$D$32,0),MATCH(C$57-1,'4. Recovered capital'!$F$8:$BH$8,0))-1,"NA")</f>
        <v>NA</v>
      </c>
      <c r="D61" s="253" t="str">
        <f>IFERROR(INDEX('4. Recovered capital'!$F$8:$BH$32,MATCH($B61,'4. Recovered capital'!$D$8:$D$32,0),MATCH(D$57,'4. Recovered capital'!$F$8:$BH$8,0))/INDEX('4. Recovered capital'!$F$8:$BH$32,MATCH($B61,'4. Recovered capital'!$D$8:$D$32,0),MATCH(D$57-1,'4. Recovered capital'!$F$8:$BH$8,0))-1,"NA")</f>
        <v>NA</v>
      </c>
      <c r="E61" s="253" t="str">
        <f>IFERROR(INDEX('4. Recovered capital'!$F$8:$BH$32,MATCH($B61,'4. Recovered capital'!$D$8:$D$32,0),MATCH(E$57,'4. Recovered capital'!$F$8:$BH$8,0))/INDEX('4. Recovered capital'!$F$8:$BH$32,MATCH($B61,'4. Recovered capital'!$D$8:$D$32,0),MATCH(E$57-1,'4. Recovered capital'!$F$8:$BH$8,0))-1,"NA")</f>
        <v>NA</v>
      </c>
      <c r="F61" s="253" t="str">
        <f>IFERROR(INDEX('4. Recovered capital'!$F$8:$BH$32,MATCH($B61,'4. Recovered capital'!$D$8:$D$32,0),MATCH(F$57,'4. Recovered capital'!$F$8:$BH$8,0))/INDEX('4. Recovered capital'!$F$8:$BH$32,MATCH($B61,'4. Recovered capital'!$D$8:$D$32,0),MATCH(F$57-1,'4. Recovered capital'!$F$8:$BH$8,0))-1,"NA")</f>
        <v>NA</v>
      </c>
      <c r="G61" s="253">
        <f>IFERROR(INDEX('4. Recovered capital'!$F$8:$BH$32,MATCH($B61,'4. Recovered capital'!$D$8:$D$32,0),MATCH(G$57,'4. Recovered capital'!$F$8:$BH$8,0))/INDEX('4. Recovered capital'!$F$8:$BH$32,MATCH($B61,'4. Recovered capital'!$D$8:$D$32,0),MATCH(G$57-1,'4. Recovered capital'!$F$8:$BH$8,0))-1,"NA")</f>
        <v>-0.137346333805756</v>
      </c>
    </row>
    <row r="62" spans="2:82" x14ac:dyDescent="0.35">
      <c r="B62" s="136" t="s">
        <v>164</v>
      </c>
      <c r="C62" s="253">
        <f>IFERROR(INDEX('4. Recovered capital'!$F$8:$BH$32,MATCH($B62,'4. Recovered capital'!$D$8:$D$32,0),MATCH(C$57,'4. Recovered capital'!$F$8:$BH$8,0))/INDEX('4. Recovered capital'!$F$8:$BH$32,MATCH($B62,'4. Recovered capital'!$D$8:$D$32,0),MATCH(C$57-1,'4. Recovered capital'!$F$8:$BH$8,0))-1,"NA")</f>
        <v>-6.0549445554982428E-2</v>
      </c>
      <c r="D62" s="253">
        <f>IFERROR(INDEX('4. Recovered capital'!$F$8:$BH$32,MATCH($B62,'4. Recovered capital'!$D$8:$D$32,0),MATCH(D$57,'4. Recovered capital'!$F$8:$BH$8,0))/INDEX('4. Recovered capital'!$F$8:$BH$32,MATCH($B62,'4. Recovered capital'!$D$8:$D$32,0),MATCH(D$57-1,'4. Recovered capital'!$F$8:$BH$8,0))-1,"NA")</f>
        <v>-9.1075439165861471E-2</v>
      </c>
      <c r="E62" s="253">
        <f>IFERROR(INDEX('4. Recovered capital'!$F$8:$BH$32,MATCH($B62,'4. Recovered capital'!$D$8:$D$32,0),MATCH(E$57,'4. Recovered capital'!$F$8:$BH$8,0))/INDEX('4. Recovered capital'!$F$8:$BH$32,MATCH($B62,'4. Recovered capital'!$D$8:$D$32,0),MATCH(E$57-1,'4. Recovered capital'!$F$8:$BH$8,0))-1,"NA")</f>
        <v>-0.20552740378666723</v>
      </c>
      <c r="F62" s="253">
        <f>IFERROR(INDEX('4. Recovered capital'!$F$8:$BH$32,MATCH($B62,'4. Recovered capital'!$D$8:$D$32,0),MATCH(F$57,'4. Recovered capital'!$F$8:$BH$8,0))/INDEX('4. Recovered capital'!$F$8:$BH$32,MATCH($B62,'4. Recovered capital'!$D$8:$D$32,0),MATCH(F$57-1,'4. Recovered capital'!$F$8:$BH$8,0))-1,"NA")</f>
        <v>2.2545111932898729</v>
      </c>
      <c r="G62" s="253">
        <f>IFERROR(INDEX('4. Recovered capital'!$F$8:$BH$32,MATCH($B62,'4. Recovered capital'!$D$8:$D$32,0),MATCH(G$57,'4. Recovered capital'!$F$8:$BH$8,0))/INDEX('4. Recovered capital'!$F$8:$BH$32,MATCH($B62,'4. Recovered capital'!$D$8:$D$32,0),MATCH(G$57-1,'4. Recovered capital'!$F$8:$BH$8,0))-1,"NA")</f>
        <v>4.2460100301141779E-2</v>
      </c>
    </row>
    <row r="63" spans="2:82" x14ac:dyDescent="0.35">
      <c r="B63" s="136" t="s">
        <v>165</v>
      </c>
      <c r="C63" s="253">
        <f>IFERROR(INDEX('4. Recovered capital'!$F$8:$BH$32,MATCH($B63,'4. Recovered capital'!$D$8:$D$32,0),MATCH(C$57,'4. Recovered capital'!$F$8:$BH$8,0))/INDEX('4. Recovered capital'!$F$8:$BH$32,MATCH($B63,'4. Recovered capital'!$D$8:$D$32,0),MATCH(C$57-1,'4. Recovered capital'!$F$8:$BH$8,0))-1,"NA")</f>
        <v>0.98037270829993051</v>
      </c>
      <c r="D63" s="253">
        <f>IFERROR(INDEX('4. Recovered capital'!$F$8:$BH$32,MATCH($B63,'4. Recovered capital'!$D$8:$D$32,0),MATCH(D$57,'4. Recovered capital'!$F$8:$BH$8,0))/INDEX('4. Recovered capital'!$F$8:$BH$32,MATCH($B63,'4. Recovered capital'!$D$8:$D$32,0),MATCH(D$57-1,'4. Recovered capital'!$F$8:$BH$8,0))-1,"NA")</f>
        <v>-0.24020993247922251</v>
      </c>
      <c r="E63" s="253">
        <f>IFERROR(INDEX('4. Recovered capital'!$F$8:$BH$32,MATCH($B63,'4. Recovered capital'!$D$8:$D$32,0),MATCH(E$57,'4. Recovered capital'!$F$8:$BH$8,0))/INDEX('4. Recovered capital'!$F$8:$BH$32,MATCH($B63,'4. Recovered capital'!$D$8:$D$32,0),MATCH(E$57-1,'4. Recovered capital'!$F$8:$BH$8,0))-1,"NA")</f>
        <v>0.8169588230650191</v>
      </c>
      <c r="F63" s="253">
        <f>IFERROR(INDEX('4. Recovered capital'!$F$8:$BH$32,MATCH($B63,'4. Recovered capital'!$D$8:$D$32,0),MATCH(F$57,'4. Recovered capital'!$F$8:$BH$8,0))/INDEX('4. Recovered capital'!$F$8:$BH$32,MATCH($B63,'4. Recovered capital'!$D$8:$D$32,0),MATCH(F$57-1,'4. Recovered capital'!$F$8:$BH$8,0))-1,"NA")</f>
        <v>8.3194964161046547E-2</v>
      </c>
      <c r="G63" s="253">
        <f>IFERROR(INDEX('4. Recovered capital'!$F$8:$BH$32,MATCH($B63,'4. Recovered capital'!$D$8:$D$32,0),MATCH(G$57,'4. Recovered capital'!$F$8:$BH$8,0))/INDEX('4. Recovered capital'!$F$8:$BH$32,MATCH($B63,'4. Recovered capital'!$D$8:$D$32,0),MATCH(G$57-1,'4. Recovered capital'!$F$8:$BH$8,0))-1,"NA")</f>
        <v>0.16448108036132902</v>
      </c>
    </row>
    <row r="64" spans="2:82" x14ac:dyDescent="0.35">
      <c r="B64" s="378"/>
    </row>
    <row r="65" spans="2:8" x14ac:dyDescent="0.35">
      <c r="B65" s="378"/>
    </row>
    <row r="66" spans="2:8" s="373" customFormat="1" x14ac:dyDescent="0.35">
      <c r="B66" s="241" t="s">
        <v>447</v>
      </c>
      <c r="C66" s="458" t="s">
        <v>112</v>
      </c>
      <c r="D66" s="458"/>
      <c r="E66" s="458"/>
      <c r="F66" s="459" t="s">
        <v>113</v>
      </c>
      <c r="G66" s="459"/>
      <c r="H66" s="459"/>
    </row>
    <row r="67" spans="2:8" s="373" customFormat="1" ht="26.25" x14ac:dyDescent="0.35">
      <c r="B67" s="241" t="s">
        <v>33</v>
      </c>
      <c r="C67" s="241" t="s">
        <v>448</v>
      </c>
      <c r="D67" s="241" t="s">
        <v>449</v>
      </c>
      <c r="E67" s="241" t="s">
        <v>450</v>
      </c>
      <c r="F67" s="241" t="s">
        <v>448</v>
      </c>
      <c r="G67" s="241" t="s">
        <v>451</v>
      </c>
      <c r="H67" s="241" t="s">
        <v>450</v>
      </c>
    </row>
    <row r="68" spans="2:8" x14ac:dyDescent="0.35">
      <c r="B68" s="256" t="s">
        <v>34</v>
      </c>
      <c r="C68" s="136"/>
      <c r="D68" s="241"/>
      <c r="E68" s="241"/>
      <c r="F68" s="241"/>
      <c r="G68" s="241"/>
      <c r="H68" s="241"/>
    </row>
    <row r="69" spans="2:8" x14ac:dyDescent="0.35">
      <c r="B69" s="136" t="s">
        <v>153</v>
      </c>
      <c r="C69" s="241"/>
      <c r="D69" s="241"/>
      <c r="E69" s="241"/>
      <c r="F69" s="241"/>
      <c r="G69" s="241"/>
      <c r="H69" s="241"/>
    </row>
    <row r="70" spans="2:8" x14ac:dyDescent="0.35">
      <c r="B70" s="255" t="s">
        <v>452</v>
      </c>
      <c r="C70" s="286">
        <f>'5. Weighted average price'!M12</f>
        <v>11224.928412536639</v>
      </c>
      <c r="D70" s="286">
        <f>'5. Weighted average price'!N12</f>
        <v>20044.287500000002</v>
      </c>
      <c r="E70" s="318">
        <f>'5. Weighted average price'!O12</f>
        <v>0.56000635655104414</v>
      </c>
      <c r="F70" s="286">
        <f>'5. Weighted average price'!P12</f>
        <v>365.19024145491881</v>
      </c>
      <c r="G70" s="286">
        <f>'5. Weighted average price'!Q12</f>
        <v>10289.137499999999</v>
      </c>
      <c r="H70" s="318">
        <f>'5. Weighted average price'!R12</f>
        <v>3.5492794362493342E-2</v>
      </c>
    </row>
    <row r="71" spans="2:8" x14ac:dyDescent="0.35">
      <c r="B71" s="255" t="s">
        <v>453</v>
      </c>
      <c r="C71" s="286">
        <f>'5. Weighted average price'!T12</f>
        <v>0</v>
      </c>
      <c r="D71" s="286">
        <f>'5. Weighted average price'!U12</f>
        <v>0</v>
      </c>
      <c r="E71" s="318">
        <f>'5. Weighted average price'!V12</f>
        <v>0</v>
      </c>
      <c r="F71" s="286">
        <f>'5. Weighted average price'!W12</f>
        <v>0</v>
      </c>
      <c r="G71" s="286">
        <f>'5. Weighted average price'!X12</f>
        <v>0</v>
      </c>
      <c r="H71" s="318">
        <f>'5. Weighted average price'!Y12</f>
        <v>0</v>
      </c>
    </row>
    <row r="72" spans="2:8" x14ac:dyDescent="0.35">
      <c r="B72" s="255" t="s">
        <v>454</v>
      </c>
      <c r="C72" s="286">
        <f>'5. Weighted average price'!Z12</f>
        <v>0</v>
      </c>
      <c r="D72" s="286">
        <f>'5. Weighted average price'!AA12</f>
        <v>0</v>
      </c>
      <c r="E72" s="318">
        <f>'5. Weighted average price'!AB12</f>
        <v>0</v>
      </c>
      <c r="F72" s="286">
        <f>'5. Weighted average price'!AC12</f>
        <v>0</v>
      </c>
      <c r="G72" s="286">
        <f>'5. Weighted average price'!AD12</f>
        <v>0</v>
      </c>
      <c r="H72" s="318">
        <f>'5. Weighted average price'!AE12</f>
        <v>0</v>
      </c>
    </row>
    <row r="73" spans="2:8" x14ac:dyDescent="0.35">
      <c r="B73" s="255" t="s">
        <v>455</v>
      </c>
      <c r="C73" s="286">
        <f>'5. Weighted average price'!AF12</f>
        <v>0</v>
      </c>
      <c r="D73" s="286">
        <f>'5. Weighted average price'!AG12</f>
        <v>0</v>
      </c>
      <c r="E73" s="318">
        <f>'5. Weighted average price'!AH12</f>
        <v>0</v>
      </c>
      <c r="F73" s="286">
        <f>'5. Weighted average price'!AI12</f>
        <v>0</v>
      </c>
      <c r="G73" s="286">
        <f>'5. Weighted average price'!AJ12</f>
        <v>0</v>
      </c>
      <c r="H73" s="318">
        <f>'5. Weighted average price'!AK12</f>
        <v>0</v>
      </c>
    </row>
    <row r="74" spans="2:8" x14ac:dyDescent="0.35">
      <c r="B74" s="255" t="s">
        <v>456</v>
      </c>
      <c r="C74" s="286">
        <f>'5. Weighted average price'!AM12</f>
        <v>0</v>
      </c>
      <c r="D74" s="286">
        <f>'5. Weighted average price'!AN12</f>
        <v>0</v>
      </c>
      <c r="E74" s="318">
        <f>'5. Weighted average price'!AO12</f>
        <v>0</v>
      </c>
      <c r="F74" s="286">
        <f>'5. Weighted average price'!AP12</f>
        <v>0</v>
      </c>
      <c r="G74" s="286">
        <f>'5. Weighted average price'!AQ12</f>
        <v>0</v>
      </c>
      <c r="H74" s="318">
        <f>'5. Weighted average price'!AR12</f>
        <v>0</v>
      </c>
    </row>
    <row r="75" spans="2:8" x14ac:dyDescent="0.35">
      <c r="B75" s="255" t="s">
        <v>457</v>
      </c>
      <c r="C75" s="286">
        <f>'5. Weighted average price'!AS12</f>
        <v>0</v>
      </c>
      <c r="D75" s="286">
        <f>'5. Weighted average price'!AT12</f>
        <v>0</v>
      </c>
      <c r="E75" s="318">
        <f>'5. Weighted average price'!AU12</f>
        <v>0</v>
      </c>
      <c r="F75" s="286">
        <f>'5. Weighted average price'!AV12</f>
        <v>0</v>
      </c>
      <c r="G75" s="286">
        <f>'5. Weighted average price'!AW12</f>
        <v>0</v>
      </c>
      <c r="H75" s="318">
        <f>'5. Weighted average price'!AX12</f>
        <v>0</v>
      </c>
    </row>
    <row r="76" spans="2:8" x14ac:dyDescent="0.35">
      <c r="B76" s="255" t="s">
        <v>458</v>
      </c>
      <c r="C76" s="286">
        <f>'5. Weighted average price'!AY12</f>
        <v>0</v>
      </c>
      <c r="D76" s="286">
        <f>'5. Weighted average price'!AZ12</f>
        <v>0</v>
      </c>
      <c r="E76" s="318">
        <f>'5. Weighted average price'!BA12</f>
        <v>0</v>
      </c>
      <c r="F76" s="286">
        <f>'5. Weighted average price'!BB12</f>
        <v>0</v>
      </c>
      <c r="G76" s="286">
        <f>'5. Weighted average price'!BC12</f>
        <v>0</v>
      </c>
      <c r="H76" s="318">
        <f>'5. Weighted average price'!BD12</f>
        <v>0</v>
      </c>
    </row>
    <row r="77" spans="2:8" x14ac:dyDescent="0.35">
      <c r="B77" s="255" t="s">
        <v>459</v>
      </c>
      <c r="C77" s="286">
        <f>'5. Weighted average price'!BE12</f>
        <v>0</v>
      </c>
      <c r="D77" s="286">
        <f>'5. Weighted average price'!BF12</f>
        <v>0</v>
      </c>
      <c r="E77" s="318">
        <f>'5. Weighted average price'!BG12</f>
        <v>0</v>
      </c>
      <c r="F77" s="286">
        <f>'5. Weighted average price'!BH12</f>
        <v>0</v>
      </c>
      <c r="G77" s="286">
        <f>'5. Weighted average price'!BI12</f>
        <v>0</v>
      </c>
      <c r="H77" s="318">
        <f>'5. Weighted average price'!BJ12</f>
        <v>0</v>
      </c>
    </row>
    <row r="78" spans="2:8" x14ac:dyDescent="0.35">
      <c r="B78" s="136" t="s">
        <v>201</v>
      </c>
      <c r="C78" s="136"/>
      <c r="D78" s="136"/>
      <c r="E78" s="319"/>
      <c r="F78" s="136"/>
      <c r="G78" s="136"/>
      <c r="H78" s="319"/>
    </row>
    <row r="79" spans="2:8" x14ac:dyDescent="0.35">
      <c r="B79" s="255" t="s">
        <v>452</v>
      </c>
      <c r="C79" s="414">
        <f>'5. Weighted average price'!M13</f>
        <v>119.64032195416894</v>
      </c>
      <c r="D79" s="414">
        <f>'5. Weighted average price'!N13</f>
        <v>730</v>
      </c>
      <c r="E79" s="415">
        <f>'5. Weighted average price'!O13</f>
        <v>0.16389085199201225</v>
      </c>
      <c r="F79" s="414">
        <f>'5. Weighted average price'!P13</f>
        <v>106.44963537537616</v>
      </c>
      <c r="G79" s="414">
        <f>'5. Weighted average price'!Q13</f>
        <v>539.03300000000002</v>
      </c>
      <c r="H79" s="415">
        <f>'5. Weighted average price'!R13</f>
        <v>0.19748259452645045</v>
      </c>
    </row>
    <row r="80" spans="2:8" x14ac:dyDescent="0.35">
      <c r="B80" s="255" t="s">
        <v>453</v>
      </c>
      <c r="C80" s="414">
        <f>'5. Weighted average price'!T13</f>
        <v>0</v>
      </c>
      <c r="D80" s="414">
        <f>'5. Weighted average price'!U13</f>
        <v>0</v>
      </c>
      <c r="E80" s="415">
        <f>'5. Weighted average price'!V13</f>
        <v>0</v>
      </c>
      <c r="F80" s="414">
        <f>'5. Weighted average price'!W13</f>
        <v>0</v>
      </c>
      <c r="G80" s="414">
        <f>'5. Weighted average price'!X13</f>
        <v>0</v>
      </c>
      <c r="H80" s="415">
        <f>'5. Weighted average price'!Y13</f>
        <v>0</v>
      </c>
    </row>
    <row r="81" spans="2:8" x14ac:dyDescent="0.35">
      <c r="B81" s="255" t="s">
        <v>454</v>
      </c>
      <c r="C81" s="414">
        <f>'5. Weighted average price'!Z13</f>
        <v>0</v>
      </c>
      <c r="D81" s="414">
        <f>'5. Weighted average price'!AA13</f>
        <v>0</v>
      </c>
      <c r="E81" s="415">
        <f>'5. Weighted average price'!AB13</f>
        <v>0</v>
      </c>
      <c r="F81" s="414">
        <f>'5. Weighted average price'!AC13</f>
        <v>0</v>
      </c>
      <c r="G81" s="414">
        <f>'5. Weighted average price'!AD13</f>
        <v>0</v>
      </c>
      <c r="H81" s="415">
        <f>'5. Weighted average price'!AE13</f>
        <v>0</v>
      </c>
    </row>
    <row r="82" spans="2:8" x14ac:dyDescent="0.35">
      <c r="B82" s="255" t="s">
        <v>455</v>
      </c>
      <c r="C82" s="414">
        <f>'5. Weighted average price'!AF13</f>
        <v>0</v>
      </c>
      <c r="D82" s="414">
        <f>'5. Weighted average price'!AG13</f>
        <v>0</v>
      </c>
      <c r="E82" s="415">
        <f>'5. Weighted average price'!AH13</f>
        <v>0</v>
      </c>
      <c r="F82" s="414">
        <f>'5. Weighted average price'!AI13</f>
        <v>0</v>
      </c>
      <c r="G82" s="414">
        <f>'5. Weighted average price'!AJ13</f>
        <v>0</v>
      </c>
      <c r="H82" s="415">
        <f>'5. Weighted average price'!AK13</f>
        <v>0</v>
      </c>
    </row>
    <row r="83" spans="2:8" x14ac:dyDescent="0.35">
      <c r="B83" s="255" t="s">
        <v>456</v>
      </c>
      <c r="C83" s="414">
        <f>'5. Weighted average price'!AM13</f>
        <v>0</v>
      </c>
      <c r="D83" s="414">
        <f>'5. Weighted average price'!AN13</f>
        <v>0</v>
      </c>
      <c r="E83" s="415">
        <f>'5. Weighted average price'!AO13</f>
        <v>0</v>
      </c>
      <c r="F83" s="414">
        <f>'5. Weighted average price'!AP13</f>
        <v>0</v>
      </c>
      <c r="G83" s="414">
        <f>'5. Weighted average price'!AQ13</f>
        <v>0</v>
      </c>
      <c r="H83" s="415">
        <f>'5. Weighted average price'!AR13</f>
        <v>0</v>
      </c>
    </row>
    <row r="84" spans="2:8" x14ac:dyDescent="0.35">
      <c r="B84" s="255" t="s">
        <v>457</v>
      </c>
      <c r="C84" s="414">
        <f>'5. Weighted average price'!AS13</f>
        <v>0</v>
      </c>
      <c r="D84" s="414">
        <f>'5. Weighted average price'!AT13</f>
        <v>0</v>
      </c>
      <c r="E84" s="415">
        <f>'5. Weighted average price'!AU13</f>
        <v>0</v>
      </c>
      <c r="F84" s="414">
        <f>'5. Weighted average price'!AV13</f>
        <v>0</v>
      </c>
      <c r="G84" s="414">
        <f>'5. Weighted average price'!AW13</f>
        <v>0</v>
      </c>
      <c r="H84" s="415">
        <f>'5. Weighted average price'!AX13</f>
        <v>0</v>
      </c>
    </row>
    <row r="85" spans="2:8" x14ac:dyDescent="0.35">
      <c r="B85" s="255" t="s">
        <v>458</v>
      </c>
      <c r="C85" s="414">
        <f>'5. Weighted average price'!AY13</f>
        <v>0</v>
      </c>
      <c r="D85" s="414">
        <f>'5. Weighted average price'!AZ13</f>
        <v>0</v>
      </c>
      <c r="E85" s="415">
        <f>'5. Weighted average price'!BA13</f>
        <v>0</v>
      </c>
      <c r="F85" s="414">
        <f>'5. Weighted average price'!BB13</f>
        <v>0</v>
      </c>
      <c r="G85" s="414">
        <f>'5. Weighted average price'!BC13</f>
        <v>0</v>
      </c>
      <c r="H85" s="415">
        <f>'5. Weighted average price'!BD13</f>
        <v>0</v>
      </c>
    </row>
    <row r="86" spans="2:8" x14ac:dyDescent="0.35">
      <c r="B86" s="255" t="s">
        <v>459</v>
      </c>
      <c r="C86" s="414">
        <f>'5. Weighted average price'!BE13</f>
        <v>0</v>
      </c>
      <c r="D86" s="414">
        <f>'5. Weighted average price'!BF13</f>
        <v>0</v>
      </c>
      <c r="E86" s="415">
        <f>'5. Weighted average price'!BG13</f>
        <v>0</v>
      </c>
      <c r="F86" s="414">
        <f>'5. Weighted average price'!BH13</f>
        <v>0</v>
      </c>
      <c r="G86" s="414">
        <f>'5. Weighted average price'!BI13</f>
        <v>0</v>
      </c>
      <c r="H86" s="415">
        <f>'5. Weighted average price'!BJ13</f>
        <v>0</v>
      </c>
    </row>
    <row r="87" spans="2:8" x14ac:dyDescent="0.35">
      <c r="B87" s="136" t="s">
        <v>36</v>
      </c>
      <c r="C87" s="136"/>
      <c r="D87" s="136"/>
      <c r="E87" s="319"/>
      <c r="F87" s="136"/>
      <c r="G87" s="136"/>
      <c r="H87" s="319"/>
    </row>
    <row r="88" spans="2:8" x14ac:dyDescent="0.35">
      <c r="B88" s="255" t="s">
        <v>452</v>
      </c>
      <c r="C88" s="286">
        <f>'5. Weighted average price'!M14</f>
        <v>0</v>
      </c>
      <c r="D88" s="286">
        <f>'5. Weighted average price'!N14</f>
        <v>0</v>
      </c>
      <c r="E88" s="416">
        <f>'5. Weighted average price'!O14</f>
        <v>0</v>
      </c>
      <c r="F88" s="286">
        <f>'5. Weighted average price'!P14</f>
        <v>0</v>
      </c>
      <c r="G88" s="286">
        <f>'5. Weighted average price'!Q14</f>
        <v>0</v>
      </c>
      <c r="H88" s="318">
        <f>'5. Weighted average price'!R14</f>
        <v>0</v>
      </c>
    </row>
    <row r="89" spans="2:8" x14ac:dyDescent="0.35">
      <c r="B89" s="255" t="s">
        <v>453</v>
      </c>
      <c r="C89" s="286">
        <f>'5. Weighted average price'!T14</f>
        <v>0</v>
      </c>
      <c r="D89" s="286">
        <f>'5. Weighted average price'!U14</f>
        <v>0</v>
      </c>
      <c r="E89" s="416">
        <f>'5. Weighted average price'!V14</f>
        <v>0</v>
      </c>
      <c r="F89" s="286">
        <f>'5. Weighted average price'!W14</f>
        <v>0</v>
      </c>
      <c r="G89" s="286">
        <f>'5. Weighted average price'!X14</f>
        <v>0</v>
      </c>
      <c r="H89" s="318">
        <f>'5. Weighted average price'!Y14</f>
        <v>0</v>
      </c>
    </row>
    <row r="90" spans="2:8" x14ac:dyDescent="0.35">
      <c r="B90" s="255" t="s">
        <v>454</v>
      </c>
      <c r="C90" s="286">
        <f>'5. Weighted average price'!Z14</f>
        <v>0</v>
      </c>
      <c r="D90" s="286">
        <f>'5. Weighted average price'!AA14</f>
        <v>0</v>
      </c>
      <c r="E90" s="416">
        <f>'5. Weighted average price'!AB14</f>
        <v>0</v>
      </c>
      <c r="F90" s="286">
        <f>'5. Weighted average price'!AC14</f>
        <v>0</v>
      </c>
      <c r="G90" s="286">
        <f>'5. Weighted average price'!AD14</f>
        <v>0</v>
      </c>
      <c r="H90" s="318">
        <f>'5. Weighted average price'!AE14</f>
        <v>0</v>
      </c>
    </row>
    <row r="91" spans="2:8" x14ac:dyDescent="0.35">
      <c r="B91" s="255" t="s">
        <v>455</v>
      </c>
      <c r="C91" s="286">
        <f>'5. Weighted average price'!AF14</f>
        <v>0</v>
      </c>
      <c r="D91" s="286">
        <f>'5. Weighted average price'!AG14</f>
        <v>0</v>
      </c>
      <c r="E91" s="416">
        <f>'5. Weighted average price'!AH14</f>
        <v>0</v>
      </c>
      <c r="F91" s="286">
        <f>'5. Weighted average price'!AI14</f>
        <v>0</v>
      </c>
      <c r="G91" s="286">
        <f>'5. Weighted average price'!AJ14</f>
        <v>0</v>
      </c>
      <c r="H91" s="318">
        <f>'5. Weighted average price'!AK14</f>
        <v>0</v>
      </c>
    </row>
    <row r="92" spans="2:8" x14ac:dyDescent="0.35">
      <c r="B92" s="255" t="s">
        <v>456</v>
      </c>
      <c r="C92" s="286">
        <f>'5. Weighted average price'!AM14</f>
        <v>0</v>
      </c>
      <c r="D92" s="286">
        <f>'5. Weighted average price'!AN14</f>
        <v>0</v>
      </c>
      <c r="E92" s="416">
        <f>'5. Weighted average price'!AO14</f>
        <v>0</v>
      </c>
      <c r="F92" s="286">
        <f>'5. Weighted average price'!AP14</f>
        <v>0</v>
      </c>
      <c r="G92" s="286">
        <f>'5. Weighted average price'!AQ14</f>
        <v>0</v>
      </c>
      <c r="H92" s="318">
        <f>'5. Weighted average price'!AR14</f>
        <v>0</v>
      </c>
    </row>
    <row r="93" spans="2:8" x14ac:dyDescent="0.35">
      <c r="B93" s="255" t="s">
        <v>457</v>
      </c>
      <c r="C93" s="286">
        <f>'5. Weighted average price'!AS14</f>
        <v>0</v>
      </c>
      <c r="D93" s="286">
        <f>'5. Weighted average price'!AT14</f>
        <v>0</v>
      </c>
      <c r="E93" s="416">
        <f>'5. Weighted average price'!AU14</f>
        <v>0</v>
      </c>
      <c r="F93" s="286">
        <f>'5. Weighted average price'!AV14</f>
        <v>0</v>
      </c>
      <c r="G93" s="286">
        <f>'5. Weighted average price'!AW14</f>
        <v>0</v>
      </c>
      <c r="H93" s="318">
        <f>'5. Weighted average price'!AX14</f>
        <v>0</v>
      </c>
    </row>
    <row r="94" spans="2:8" x14ac:dyDescent="0.35">
      <c r="B94" s="255" t="s">
        <v>458</v>
      </c>
      <c r="C94" s="286">
        <f>'5. Weighted average price'!AY14</f>
        <v>0</v>
      </c>
      <c r="D94" s="286">
        <f>'5. Weighted average price'!AZ14</f>
        <v>0</v>
      </c>
      <c r="E94" s="416">
        <f>'5. Weighted average price'!BA14</f>
        <v>0</v>
      </c>
      <c r="F94" s="286">
        <f>'5. Weighted average price'!BB14</f>
        <v>0</v>
      </c>
      <c r="G94" s="286">
        <f>'5. Weighted average price'!BC14</f>
        <v>0</v>
      </c>
      <c r="H94" s="318">
        <f>'5. Weighted average price'!BD14</f>
        <v>0</v>
      </c>
    </row>
    <row r="95" spans="2:8" x14ac:dyDescent="0.35">
      <c r="B95" s="255" t="s">
        <v>459</v>
      </c>
      <c r="C95" s="286">
        <f>'5. Weighted average price'!BE14</f>
        <v>0</v>
      </c>
      <c r="D95" s="286">
        <f>'5. Weighted average price'!BF14</f>
        <v>0</v>
      </c>
      <c r="E95" s="416">
        <f>'5. Weighted average price'!BG14</f>
        <v>0</v>
      </c>
      <c r="F95" s="286">
        <f>'5. Weighted average price'!BH14</f>
        <v>0</v>
      </c>
      <c r="G95" s="286">
        <f>'5. Weighted average price'!BI14</f>
        <v>0</v>
      </c>
      <c r="H95" s="318">
        <f>'5. Weighted average price'!BJ14</f>
        <v>0</v>
      </c>
    </row>
    <row r="96" spans="2:8" x14ac:dyDescent="0.35">
      <c r="B96" s="256" t="s">
        <v>228</v>
      </c>
      <c r="C96" s="136"/>
      <c r="D96" s="136"/>
      <c r="E96" s="319"/>
      <c r="F96" s="136"/>
      <c r="G96" s="136"/>
      <c r="H96" s="319"/>
    </row>
    <row r="97" spans="2:8" x14ac:dyDescent="0.35">
      <c r="B97" s="257" t="s">
        <v>226</v>
      </c>
      <c r="C97" s="286">
        <f>'5. Weighted average price'!F16</f>
        <v>0</v>
      </c>
      <c r="D97" s="286">
        <f>'5. Weighted average price'!G16</f>
        <v>0</v>
      </c>
      <c r="E97" s="416">
        <f>'5. Weighted average price'!H16</f>
        <v>0</v>
      </c>
      <c r="F97" s="286">
        <f>'5. Weighted average price'!I16</f>
        <v>0</v>
      </c>
      <c r="G97" s="286">
        <f>'5. Weighted average price'!J16</f>
        <v>0</v>
      </c>
      <c r="H97" s="318">
        <f>'5. Weighted average price'!K16</f>
        <v>0</v>
      </c>
    </row>
    <row r="98" spans="2:8" x14ac:dyDescent="0.35">
      <c r="B98" s="256" t="s">
        <v>37</v>
      </c>
      <c r="C98" s="136"/>
      <c r="D98" s="136"/>
      <c r="E98" s="319"/>
      <c r="F98" s="136"/>
      <c r="G98" s="136"/>
      <c r="H98" s="319"/>
    </row>
    <row r="99" spans="2:8" x14ac:dyDescent="0.35">
      <c r="B99" s="257" t="s">
        <v>227</v>
      </c>
      <c r="C99" s="286">
        <f>'5. Weighted average price'!F18</f>
        <v>0</v>
      </c>
      <c r="D99" s="286">
        <f>'5. Weighted average price'!G18</f>
        <v>0</v>
      </c>
      <c r="E99" s="416">
        <f>'5. Weighted average price'!H18</f>
        <v>0</v>
      </c>
      <c r="F99" s="286">
        <f>'5. Weighted average price'!I18</f>
        <v>0</v>
      </c>
      <c r="G99" s="286">
        <f>'5. Weighted average price'!J18</f>
        <v>0</v>
      </c>
      <c r="H99" s="318">
        <f>'5. Weighted average price'!K18</f>
        <v>0</v>
      </c>
    </row>
    <row r="100" spans="2:8" x14ac:dyDescent="0.35">
      <c r="B100" s="256" t="s">
        <v>460</v>
      </c>
      <c r="C100" s="286">
        <f>'5. Weighted average price'!F19</f>
        <v>0</v>
      </c>
      <c r="D100" s="383"/>
      <c r="E100" s="383"/>
      <c r="F100" s="286">
        <f>'5. Weighted average price'!I19</f>
        <v>0</v>
      </c>
      <c r="G100" s="383"/>
      <c r="H100" s="383"/>
    </row>
    <row r="101" spans="2:8" x14ac:dyDescent="0.35">
      <c r="B101" s="378"/>
      <c r="F101" s="45"/>
    </row>
    <row r="102" spans="2:8" x14ac:dyDescent="0.35">
      <c r="B102" s="378"/>
      <c r="C102" s="382"/>
    </row>
    <row r="103" spans="2:8" ht="26.25" x14ac:dyDescent="0.35">
      <c r="B103" s="241" t="s">
        <v>461</v>
      </c>
      <c r="C103" s="241" t="s">
        <v>462</v>
      </c>
      <c r="D103" s="241" t="s">
        <v>533</v>
      </c>
    </row>
    <row r="104" spans="2:8" ht="25.5" x14ac:dyDescent="0.35">
      <c r="B104" s="136" t="s">
        <v>463</v>
      </c>
      <c r="C104" s="286">
        <f>C37</f>
        <v>73133478.40342921</v>
      </c>
      <c r="D104" s="286">
        <f>C52</f>
        <v>60387173.11864765</v>
      </c>
    </row>
    <row r="105" spans="2:8" x14ac:dyDescent="0.35">
      <c r="B105" s="136" t="s">
        <v>464</v>
      </c>
      <c r="C105" s="258">
        <f>IFERROR('3. Statement of pipeline assets'!D99/'3. Statement of pipeline assets'!D100,0)</f>
        <v>1.0441525772424137E-2</v>
      </c>
      <c r="D105" s="258">
        <f>IFERROR('4. Recovered capital'!E23/'4. Recovered capital'!E24,0)</f>
        <v>1.8963225834162628E-2</v>
      </c>
    </row>
    <row r="106" spans="2:8" x14ac:dyDescent="0.35">
      <c r="B106" s="136" t="s">
        <v>465</v>
      </c>
      <c r="C106" s="258">
        <f>IFERROR('3. Statement of pipeline assets'!D80/'3. Statement of pipeline assets'!D100,0)</f>
        <v>0.98955847422757592</v>
      </c>
      <c r="D106" s="258">
        <f>IFERROR('4. Recovered capital'!E16/'4. Recovered capital'!E24,0)</f>
        <v>0.98103677416583734</v>
      </c>
    </row>
    <row r="107" spans="2:8" ht="26.25" x14ac:dyDescent="0.35">
      <c r="B107" s="136"/>
      <c r="C107" s="241" t="s">
        <v>466</v>
      </c>
      <c r="D107" s="381"/>
    </row>
    <row r="108" spans="2:8" x14ac:dyDescent="0.35">
      <c r="B108" s="136" t="s">
        <v>467</v>
      </c>
      <c r="C108" s="259">
        <f>IFERROR('2. Revenues and expenses'!D16/'2. Revenues and expenses'!D20,0)</f>
        <v>1</v>
      </c>
      <c r="D108" s="381"/>
    </row>
    <row r="109" spans="2:8" x14ac:dyDescent="0.35">
      <c r="B109" s="136" t="s">
        <v>468</v>
      </c>
      <c r="C109" s="259">
        <f>IFERROR('2. Revenues and expenses'!D19/'2. Revenues and expenses'!D20,0)</f>
        <v>0</v>
      </c>
      <c r="D109" s="381"/>
    </row>
    <row r="110" spans="2:8" x14ac:dyDescent="0.35">
      <c r="B110" s="136" t="s">
        <v>469</v>
      </c>
      <c r="C110" s="259">
        <f>IFERROR('2. Revenues and expenses'!D30/'2. Revenues and expenses'!D42,0)</f>
        <v>0.69595033526874606</v>
      </c>
      <c r="D110" s="381"/>
    </row>
    <row r="111" spans="2:8" x14ac:dyDescent="0.35">
      <c r="B111" s="136" t="s">
        <v>470</v>
      </c>
      <c r="C111" s="259">
        <f>IFERROR('2. Revenues and expenses'!D41/'2. Revenues and expenses'!D42,0)</f>
        <v>0.30404966473125394</v>
      </c>
      <c r="D111" s="381"/>
    </row>
    <row r="112" spans="2:8" x14ac:dyDescent="0.35">
      <c r="B112" s="378"/>
    </row>
    <row r="113" spans="2:4" x14ac:dyDescent="0.35">
      <c r="B113" s="378"/>
    </row>
    <row r="114" spans="2:4" ht="26.25" x14ac:dyDescent="0.35">
      <c r="B114" s="241" t="s">
        <v>471</v>
      </c>
      <c r="C114" s="241" t="s">
        <v>466</v>
      </c>
      <c r="D114" s="241" t="s">
        <v>472</v>
      </c>
    </row>
    <row r="115" spans="2:4" x14ac:dyDescent="0.35">
      <c r="B115" s="136" t="s">
        <v>473</v>
      </c>
      <c r="C115" s="285">
        <f>'2. Revenues and expenses'!F24</f>
        <v>-1391848.1983422015</v>
      </c>
      <c r="D115" s="285">
        <f>'3.3 Depreciation amortisation'!N53</f>
        <v>-1391848.1983422015</v>
      </c>
    </row>
    <row r="116" spans="2:4" x14ac:dyDescent="0.35">
      <c r="B116" s="136" t="s">
        <v>474</v>
      </c>
      <c r="C116" s="285">
        <f>'2. Revenues and expenses'!F35+'2.4 Shared costs'!H20</f>
        <v>-218106.12975853382</v>
      </c>
      <c r="D116" s="285">
        <f>'3.3 Depreciation amortisation'!M78</f>
        <v>-218106.12975853385</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68" t="s">
        <v>100</v>
      </c>
      <c r="C1" s="21"/>
      <c r="D1" s="21"/>
      <c r="E1" s="21"/>
      <c r="F1" s="21"/>
      <c r="G1" s="21"/>
    </row>
    <row r="2" spans="2:8" ht="13.9" x14ac:dyDescent="0.4">
      <c r="B2" s="51" t="str">
        <f>Tradingname</f>
        <v>APA OPERATIONS PTY LIMITED</v>
      </c>
      <c r="C2" s="52"/>
    </row>
    <row r="3" spans="2:8" ht="13.9" x14ac:dyDescent="0.4">
      <c r="B3" s="53" t="s">
        <v>239</v>
      </c>
      <c r="C3" s="54" t="str">
        <f>TEXT(Yearstart,"dd/mm/yyyy")&amp;" to "&amp;TEXT(Yearending,"dd/mm/yyyy")</f>
        <v>01/07/2020 to 30/06/2021</v>
      </c>
    </row>
    <row r="4" spans="2:8" ht="20.65" x14ac:dyDescent="0.6">
      <c r="B4" s="20"/>
    </row>
    <row r="5" spans="2:8" ht="15" x14ac:dyDescent="0.4">
      <c r="B5" s="32" t="s">
        <v>183</v>
      </c>
    </row>
    <row r="6" spans="2:8" ht="13.15" x14ac:dyDescent="0.4">
      <c r="B6" s="24"/>
      <c r="C6" s="27"/>
      <c r="D6" s="27"/>
      <c r="E6" s="28"/>
      <c r="F6" s="33"/>
      <c r="G6" s="29"/>
      <c r="H6" s="29"/>
    </row>
    <row r="7" spans="2:8" ht="13.5" customHeight="1" x14ac:dyDescent="0.35">
      <c r="B7" s="136" t="s">
        <v>30</v>
      </c>
      <c r="C7" s="99" t="s">
        <v>586</v>
      </c>
    </row>
    <row r="8" spans="2:8" ht="13.5" customHeight="1" x14ac:dyDescent="0.35">
      <c r="B8" s="136" t="s">
        <v>179</v>
      </c>
      <c r="C8" s="356">
        <v>85</v>
      </c>
    </row>
    <row r="9" spans="2:8" ht="13.5" customHeight="1" x14ac:dyDescent="0.35">
      <c r="B9" s="136" t="s">
        <v>31</v>
      </c>
      <c r="C9" s="356">
        <v>6</v>
      </c>
    </row>
    <row r="10" spans="2:8" ht="13.5" customHeight="1" x14ac:dyDescent="0.35">
      <c r="B10" s="136" t="s">
        <v>32</v>
      </c>
      <c r="C10" s="100" t="s">
        <v>560</v>
      </c>
    </row>
    <row r="12" spans="2:8" ht="15" x14ac:dyDescent="0.4">
      <c r="B12" s="32" t="s">
        <v>184</v>
      </c>
    </row>
    <row r="14" spans="2:8" ht="13.15" x14ac:dyDescent="0.35">
      <c r="B14" s="96" t="s">
        <v>33</v>
      </c>
      <c r="C14" s="97" t="s">
        <v>130</v>
      </c>
      <c r="D14" s="97" t="s">
        <v>44</v>
      </c>
    </row>
    <row r="15" spans="2:8" ht="13.5" x14ac:dyDescent="0.35">
      <c r="B15" s="133" t="s">
        <v>34</v>
      </c>
      <c r="C15" s="134"/>
      <c r="D15" s="135"/>
    </row>
    <row r="16" spans="2:8" x14ac:dyDescent="0.35">
      <c r="B16" s="257" t="s">
        <v>475</v>
      </c>
      <c r="C16" s="101" t="s">
        <v>659</v>
      </c>
      <c r="D16" s="101" t="s">
        <v>659</v>
      </c>
    </row>
    <row r="17" spans="2:4" x14ac:dyDescent="0.35">
      <c r="B17" s="136" t="s">
        <v>35</v>
      </c>
      <c r="C17" s="101" t="s">
        <v>659</v>
      </c>
      <c r="D17" s="101" t="s">
        <v>498</v>
      </c>
    </row>
    <row r="18" spans="2:4" x14ac:dyDescent="0.35">
      <c r="B18" s="136" t="s">
        <v>36</v>
      </c>
      <c r="C18" s="101" t="s">
        <v>498</v>
      </c>
      <c r="D18" s="101" t="s">
        <v>498</v>
      </c>
    </row>
    <row r="19" spans="2:4" ht="13.5" x14ac:dyDescent="0.35">
      <c r="B19" s="133" t="s">
        <v>236</v>
      </c>
      <c r="C19" s="134"/>
      <c r="D19" s="135"/>
    </row>
    <row r="20" spans="2:4" x14ac:dyDescent="0.35">
      <c r="B20" s="257" t="s">
        <v>476</v>
      </c>
      <c r="C20" s="101" t="s">
        <v>498</v>
      </c>
      <c r="D20" s="101" t="s">
        <v>498</v>
      </c>
    </row>
    <row r="21" spans="2:4" x14ac:dyDescent="0.35">
      <c r="B21" s="257" t="s">
        <v>477</v>
      </c>
      <c r="C21" s="101" t="s">
        <v>498</v>
      </c>
      <c r="D21" s="101" t="s">
        <v>498</v>
      </c>
    </row>
    <row r="22" spans="2:4" ht="13.5" x14ac:dyDescent="0.35">
      <c r="B22" s="133" t="s">
        <v>37</v>
      </c>
      <c r="C22" s="134"/>
      <c r="D22" s="135"/>
    </row>
    <row r="23" spans="2:4" x14ac:dyDescent="0.35">
      <c r="B23" s="136" t="s">
        <v>38</v>
      </c>
      <c r="C23" s="101" t="s">
        <v>498</v>
      </c>
      <c r="D23" s="101" t="s">
        <v>498</v>
      </c>
    </row>
    <row r="24" spans="2:4" x14ac:dyDescent="0.35">
      <c r="B24" s="136" t="s">
        <v>39</v>
      </c>
      <c r="C24" s="101" t="s">
        <v>498</v>
      </c>
      <c r="D24" s="101" t="s">
        <v>498</v>
      </c>
    </row>
    <row r="25" spans="2:4" ht="13.5" x14ac:dyDescent="0.35">
      <c r="B25" s="133" t="s">
        <v>40</v>
      </c>
      <c r="C25" s="134"/>
      <c r="D25" s="135"/>
    </row>
    <row r="26" spans="2:4" x14ac:dyDescent="0.35">
      <c r="B26" s="136" t="s">
        <v>41</v>
      </c>
      <c r="C26" s="101" t="s">
        <v>498</v>
      </c>
      <c r="D26" s="101" t="s">
        <v>498</v>
      </c>
    </row>
    <row r="27" spans="2:4" x14ac:dyDescent="0.35">
      <c r="B27" s="136" t="s">
        <v>42</v>
      </c>
      <c r="C27" s="101" t="s">
        <v>498</v>
      </c>
      <c r="D27" s="101" t="s">
        <v>498</v>
      </c>
    </row>
    <row r="28" spans="2:4" ht="13.5" x14ac:dyDescent="0.35">
      <c r="B28" s="133" t="s">
        <v>43</v>
      </c>
      <c r="C28" s="134"/>
      <c r="D28" s="135"/>
    </row>
    <row r="29" spans="2:4" x14ac:dyDescent="0.35">
      <c r="B29" s="55" t="s">
        <v>181</v>
      </c>
      <c r="C29" s="101"/>
      <c r="D29" s="101"/>
    </row>
    <row r="30" spans="2:4" x14ac:dyDescent="0.35">
      <c r="B30" s="55" t="s">
        <v>181</v>
      </c>
      <c r="C30" s="101"/>
      <c r="D30" s="101"/>
    </row>
    <row r="31" spans="2:4" x14ac:dyDescent="0.35">
      <c r="B31" s="55" t="s">
        <v>181</v>
      </c>
      <c r="C31" s="101"/>
      <c r="D31" s="101"/>
    </row>
    <row r="32" spans="2:4" x14ac:dyDescent="0.35">
      <c r="B32" s="55" t="s">
        <v>181</v>
      </c>
      <c r="C32" s="101"/>
      <c r="D32" s="101"/>
    </row>
    <row r="33" spans="2:4" x14ac:dyDescent="0.35">
      <c r="B33" s="55" t="s">
        <v>181</v>
      </c>
      <c r="C33" s="101"/>
      <c r="D33" s="101"/>
    </row>
    <row r="34" spans="2:4" x14ac:dyDescent="0.35">
      <c r="B34" s="55" t="s">
        <v>181</v>
      </c>
      <c r="C34" s="101"/>
      <c r="D34" s="101"/>
    </row>
    <row r="35" spans="2:4" x14ac:dyDescent="0.35">
      <c r="B35" s="55" t="s">
        <v>181</v>
      </c>
      <c r="C35" s="101"/>
      <c r="D35" s="101"/>
    </row>
    <row r="36" spans="2:4" x14ac:dyDescent="0.35">
      <c r="B36" s="55" t="s">
        <v>181</v>
      </c>
      <c r="C36" s="101"/>
      <c r="D36" s="101"/>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328125" defaultRowHeight="12.75" x14ac:dyDescent="0.35"/>
  <cols>
    <col min="1" max="1" width="12" style="22" customWidth="1"/>
    <col min="2" max="2" width="37.597656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94</v>
      </c>
      <c r="C1" s="21"/>
      <c r="D1" s="21"/>
      <c r="E1" s="21"/>
      <c r="F1" s="21"/>
      <c r="G1" s="21"/>
    </row>
    <row r="2" spans="2:7" ht="13.9" x14ac:dyDescent="0.4">
      <c r="B2" s="51" t="str">
        <f>Tradingname</f>
        <v>APA OPERATIONS PTY LIMITED</v>
      </c>
      <c r="C2" s="52"/>
    </row>
    <row r="3" spans="2:7" ht="13.9" x14ac:dyDescent="0.4">
      <c r="B3" s="53" t="s">
        <v>239</v>
      </c>
      <c r="C3" s="54" t="str">
        <f>TEXT(Yearstart,"dd/mm/yyyy")&amp;" to "&amp;TEXT(Yearending,"dd/mm/yyyy")</f>
        <v>01/07/2020 to 30/06/2021</v>
      </c>
    </row>
    <row r="4" spans="2:7" ht="14.25" customHeight="1" x14ac:dyDescent="0.6">
      <c r="B4" s="20"/>
    </row>
    <row r="5" spans="2:7" ht="15" x14ac:dyDescent="0.4">
      <c r="B5" s="32" t="s">
        <v>223</v>
      </c>
    </row>
    <row r="6" spans="2:7" ht="13.15" x14ac:dyDescent="0.4">
      <c r="B6" s="24"/>
      <c r="C6" s="27"/>
      <c r="D6" s="28"/>
      <c r="E6" s="33"/>
      <c r="F6" s="29"/>
      <c r="G6" s="29"/>
    </row>
    <row r="7" spans="2:7" ht="57" customHeight="1" x14ac:dyDescent="0.35">
      <c r="B7" s="96"/>
      <c r="C7" s="102" t="s">
        <v>98</v>
      </c>
    </row>
    <row r="8" spans="2:7" ht="13.5" customHeight="1" x14ac:dyDescent="0.35">
      <c r="B8" s="136" t="s">
        <v>95</v>
      </c>
      <c r="C8" s="290">
        <f>'2. Revenues and expenses'!F43</f>
        <v>6494282.3832043558</v>
      </c>
    </row>
    <row r="9" spans="2:7" ht="13.5" customHeight="1" x14ac:dyDescent="0.35">
      <c r="B9" s="136" t="s">
        <v>96</v>
      </c>
      <c r="C9" s="290">
        <f>'3. Statement of pipeline assets'!$D$100</f>
        <v>73133478.40342921</v>
      </c>
    </row>
    <row r="10" spans="2:7" ht="13.5" customHeight="1" x14ac:dyDescent="0.4">
      <c r="B10" s="136" t="s">
        <v>97</v>
      </c>
      <c r="C10" s="369">
        <f>IFERROR(C8/C9,0)</f>
        <v>8.8800403385432852E-2</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80" zoomScaleNormal="80" workbookViewId="0"/>
  </sheetViews>
  <sheetFormatPr defaultColWidth="9.1328125" defaultRowHeight="12.75" x14ac:dyDescent="0.35"/>
  <cols>
    <col min="1" max="1" width="12" style="22" customWidth="1"/>
    <col min="2" max="2" width="19.1328125" style="22" customWidth="1"/>
    <col min="3" max="3" width="43.3984375" style="22" customWidth="1"/>
    <col min="4" max="9" width="20.86328125" style="22" customWidth="1"/>
    <col min="10" max="16384" width="9.1328125" style="22"/>
  </cols>
  <sheetData>
    <row r="1" spans="1:9" ht="20.65" x14ac:dyDescent="0.6">
      <c r="B1" s="464" t="s">
        <v>194</v>
      </c>
      <c r="C1" s="464"/>
      <c r="D1" s="464"/>
      <c r="E1" s="21"/>
      <c r="F1" s="21"/>
      <c r="G1" s="21"/>
      <c r="H1" s="21"/>
      <c r="I1" s="21"/>
    </row>
    <row r="2" spans="1:9" ht="18" customHeight="1" x14ac:dyDescent="0.85">
      <c r="B2" s="51" t="str">
        <f>Tradingname</f>
        <v>APA OPERATIONS PTY LIMITED</v>
      </c>
      <c r="C2" s="52"/>
      <c r="I2" s="47"/>
    </row>
    <row r="3" spans="1:9" ht="13.9" x14ac:dyDescent="0.4">
      <c r="B3" s="53" t="s">
        <v>239</v>
      </c>
      <c r="C3" s="54" t="str">
        <f>TEXT(Yearstart,"dd/mm/yyyy")&amp;" to "&amp;TEXT(Yearending,"dd/mm/yyyy")</f>
        <v>01/07/2020 to 30/06/2021</v>
      </c>
    </row>
    <row r="4" spans="1:9" ht="12.75" customHeight="1" x14ac:dyDescent="0.6">
      <c r="B4" s="20"/>
      <c r="D4" s="44"/>
      <c r="G4" s="44"/>
    </row>
    <row r="5" spans="1:9" ht="15" x14ac:dyDescent="0.35">
      <c r="B5" s="460" t="s">
        <v>224</v>
      </c>
      <c r="C5" s="460"/>
      <c r="D5" s="460"/>
    </row>
    <row r="6" spans="1:9" ht="13.15" x14ac:dyDescent="0.4">
      <c r="B6" s="24"/>
      <c r="C6" s="25"/>
      <c r="D6" s="26"/>
      <c r="E6" s="26"/>
      <c r="F6" s="26"/>
      <c r="G6" s="26"/>
      <c r="H6" s="26"/>
      <c r="I6" s="26"/>
    </row>
    <row r="7" spans="1:9" ht="30.75" customHeight="1" x14ac:dyDescent="0.35">
      <c r="B7" s="97"/>
      <c r="C7" s="97"/>
      <c r="D7" s="461" t="s">
        <v>230</v>
      </c>
      <c r="E7" s="462"/>
      <c r="F7" s="463"/>
      <c r="G7" s="461" t="s">
        <v>231</v>
      </c>
      <c r="H7" s="462"/>
      <c r="I7" s="463"/>
    </row>
    <row r="8" spans="1:9" ht="51" customHeight="1" x14ac:dyDescent="0.35">
      <c r="B8" s="96" t="s">
        <v>222</v>
      </c>
      <c r="C8" s="97" t="s">
        <v>19</v>
      </c>
      <c r="D8" s="103" t="s">
        <v>57</v>
      </c>
      <c r="E8" s="103" t="s">
        <v>58</v>
      </c>
      <c r="F8" s="103" t="s">
        <v>25</v>
      </c>
      <c r="G8" s="103" t="s">
        <v>57</v>
      </c>
      <c r="H8" s="103" t="s">
        <v>58</v>
      </c>
      <c r="I8" s="103" t="s">
        <v>25</v>
      </c>
    </row>
    <row r="9" spans="1:9" x14ac:dyDescent="0.35">
      <c r="B9" s="106"/>
      <c r="C9" s="104"/>
      <c r="D9" s="105" t="s">
        <v>182</v>
      </c>
      <c r="E9" s="105" t="s">
        <v>182</v>
      </c>
      <c r="F9" s="105" t="s">
        <v>182</v>
      </c>
      <c r="G9" s="105" t="s">
        <v>182</v>
      </c>
      <c r="H9" s="105" t="s">
        <v>182</v>
      </c>
      <c r="I9" s="105" t="s">
        <v>182</v>
      </c>
    </row>
    <row r="10" spans="1:9" ht="13.15" x14ac:dyDescent="0.4">
      <c r="B10" s="160"/>
      <c r="C10" s="138" t="s">
        <v>45</v>
      </c>
      <c r="D10" s="139"/>
      <c r="E10" s="139"/>
      <c r="F10" s="139"/>
      <c r="G10" s="139"/>
      <c r="H10" s="139"/>
      <c r="I10" s="140"/>
    </row>
    <row r="11" spans="1:9" x14ac:dyDescent="0.35">
      <c r="B11" s="386" t="s">
        <v>592</v>
      </c>
      <c r="C11" s="141" t="s">
        <v>129</v>
      </c>
      <c r="D11" s="280">
        <f>'2.1 Revenue by service'!D21</f>
        <v>6571910.6299999515</v>
      </c>
      <c r="E11" s="280">
        <f>'2.1 Revenue by service'!E21</f>
        <v>5422666.9500000011</v>
      </c>
      <c r="F11" s="280">
        <f t="shared" ref="F11:F16" si="0">SUM(D11:E11)</f>
        <v>11994577.579999954</v>
      </c>
      <c r="G11" s="280">
        <f>'2.1 Revenue by service'!G21</f>
        <v>6263375.6400000006</v>
      </c>
      <c r="H11" s="280">
        <f>'2.1 Revenue by service'!H21</f>
        <v>5334153.1900000004</v>
      </c>
      <c r="I11" s="280">
        <f>SUM(G11:H11)</f>
        <v>11597528.830000002</v>
      </c>
    </row>
    <row r="12" spans="1:9" x14ac:dyDescent="0.35">
      <c r="A12" s="213"/>
      <c r="B12" s="158"/>
      <c r="C12" s="327" t="s">
        <v>46</v>
      </c>
      <c r="D12" s="280">
        <f>'2.2 Revenue contributions '!C15</f>
        <v>0</v>
      </c>
      <c r="E12" s="280">
        <f>'2.2 Revenue contributions '!D15</f>
        <v>0</v>
      </c>
      <c r="F12" s="280">
        <f t="shared" si="0"/>
        <v>0</v>
      </c>
      <c r="G12" s="281"/>
      <c r="H12" s="281"/>
      <c r="I12" s="280">
        <f>SUM(G12:H12)</f>
        <v>0</v>
      </c>
    </row>
    <row r="13" spans="1:9" x14ac:dyDescent="0.35">
      <c r="A13" s="213"/>
      <c r="B13" s="158"/>
      <c r="C13" s="327" t="s">
        <v>478</v>
      </c>
      <c r="D13" s="280">
        <f>'2.2 Revenue contributions '!D27</f>
        <v>0</v>
      </c>
      <c r="E13" s="280"/>
      <c r="F13" s="280">
        <f t="shared" si="0"/>
        <v>0</v>
      </c>
      <c r="G13" s="281"/>
      <c r="H13" s="280"/>
      <c r="I13" s="280">
        <f>SUM(G13:H13)</f>
        <v>0</v>
      </c>
    </row>
    <row r="14" spans="1:9" x14ac:dyDescent="0.35">
      <c r="B14" s="158"/>
      <c r="C14" s="327" t="s">
        <v>20</v>
      </c>
      <c r="D14" s="281">
        <v>0</v>
      </c>
      <c r="E14" s="281">
        <v>0</v>
      </c>
      <c r="F14" s="280">
        <f t="shared" si="0"/>
        <v>0</v>
      </c>
      <c r="G14" s="281"/>
      <c r="H14" s="281"/>
      <c r="I14" s="280">
        <f>SUM(G14:H14)</f>
        <v>0</v>
      </c>
    </row>
    <row r="15" spans="1:9" x14ac:dyDescent="0.35">
      <c r="B15" s="386" t="s">
        <v>375</v>
      </c>
      <c r="C15" s="141" t="s">
        <v>48</v>
      </c>
      <c r="D15" s="281">
        <v>0</v>
      </c>
      <c r="E15" s="281">
        <v>0</v>
      </c>
      <c r="F15" s="280">
        <f t="shared" si="0"/>
        <v>0</v>
      </c>
      <c r="G15" s="281"/>
      <c r="H15" s="281"/>
      <c r="I15" s="280">
        <f>SUM(G15:H15)</f>
        <v>0</v>
      </c>
    </row>
    <row r="16" spans="1:9" ht="13.15" x14ac:dyDescent="0.4">
      <c r="B16" s="276"/>
      <c r="C16" s="142" t="s">
        <v>47</v>
      </c>
      <c r="D16" s="282">
        <f>SUM(D11:D15)</f>
        <v>6571910.6299999515</v>
      </c>
      <c r="E16" s="282">
        <f>SUM(E11:E15)</f>
        <v>5422666.9500000011</v>
      </c>
      <c r="F16" s="280">
        <f t="shared" si="0"/>
        <v>11994577.579999954</v>
      </c>
      <c r="G16" s="282">
        <f>SUM(G11:G15)</f>
        <v>6263375.6400000006</v>
      </c>
      <c r="H16" s="282">
        <f>SUM(H11:H15)</f>
        <v>5334153.1900000004</v>
      </c>
      <c r="I16" s="282">
        <f>SUM(I11:I15)</f>
        <v>11597528.830000002</v>
      </c>
    </row>
    <row r="17" spans="1:9" ht="13.15" x14ac:dyDescent="0.4">
      <c r="B17" s="277"/>
      <c r="C17" s="138" t="s">
        <v>53</v>
      </c>
      <c r="D17" s="283"/>
      <c r="E17" s="283"/>
      <c r="F17" s="283"/>
      <c r="G17" s="283"/>
      <c r="H17" s="283"/>
      <c r="I17" s="284"/>
    </row>
    <row r="18" spans="1:9" x14ac:dyDescent="0.35">
      <c r="B18" s="278"/>
      <c r="C18" s="141" t="s">
        <v>21</v>
      </c>
      <c r="D18" s="280">
        <f>'2.3 Indirect revenue'!G36</f>
        <v>0</v>
      </c>
      <c r="E18" s="280">
        <f>'2.3 Indirect revenue'!H36</f>
        <v>0</v>
      </c>
      <c r="F18" s="280">
        <f>SUM(D18:E18)</f>
        <v>0</v>
      </c>
      <c r="G18" s="281"/>
      <c r="H18" s="281"/>
      <c r="I18" s="280">
        <f>SUM(G18:H18)</f>
        <v>0</v>
      </c>
    </row>
    <row r="19" spans="1:9" ht="13.15" x14ac:dyDescent="0.4">
      <c r="B19" s="276"/>
      <c r="C19" s="142" t="s">
        <v>49</v>
      </c>
      <c r="D19" s="282">
        <f t="shared" ref="D19:I19" si="1">SUM(D18:D18)</f>
        <v>0</v>
      </c>
      <c r="E19" s="282">
        <f t="shared" si="1"/>
        <v>0</v>
      </c>
      <c r="F19" s="282">
        <f t="shared" si="1"/>
        <v>0</v>
      </c>
      <c r="G19" s="282">
        <f t="shared" si="1"/>
        <v>0</v>
      </c>
      <c r="H19" s="282">
        <f t="shared" si="1"/>
        <v>0</v>
      </c>
      <c r="I19" s="282">
        <f t="shared" si="1"/>
        <v>0</v>
      </c>
    </row>
    <row r="20" spans="1:9" ht="13.15" x14ac:dyDescent="0.4">
      <c r="B20" s="276"/>
      <c r="C20" s="142" t="s">
        <v>22</v>
      </c>
      <c r="D20" s="282">
        <f t="shared" ref="D20:I20" si="2">D16+D19</f>
        <v>6571910.6299999515</v>
      </c>
      <c r="E20" s="282">
        <f t="shared" si="2"/>
        <v>5422666.9500000011</v>
      </c>
      <c r="F20" s="282">
        <f t="shared" si="2"/>
        <v>11994577.579999954</v>
      </c>
      <c r="G20" s="282">
        <f t="shared" si="2"/>
        <v>6263375.6400000006</v>
      </c>
      <c r="H20" s="282">
        <f t="shared" si="2"/>
        <v>5334153.1900000004</v>
      </c>
      <c r="I20" s="282">
        <f t="shared" si="2"/>
        <v>11597528.830000002</v>
      </c>
    </row>
    <row r="21" spans="1:9" ht="13.15" x14ac:dyDescent="0.4">
      <c r="B21" s="277"/>
      <c r="C21" s="138" t="s">
        <v>59</v>
      </c>
      <c r="D21" s="283"/>
      <c r="E21" s="283"/>
      <c r="F21" s="283"/>
      <c r="G21" s="283"/>
      <c r="H21" s="283"/>
      <c r="I21" s="284"/>
    </row>
    <row r="22" spans="1:9" x14ac:dyDescent="0.35">
      <c r="B22" s="386" t="s">
        <v>593</v>
      </c>
      <c r="C22" s="141" t="s">
        <v>131</v>
      </c>
      <c r="D22" s="281">
        <v>-2379.7071711432463</v>
      </c>
      <c r="E22" s="281">
        <v>-1963.5628288567541</v>
      </c>
      <c r="F22" s="280">
        <f t="shared" ref="F22:F29" si="3">SUM(D22:E22)</f>
        <v>-4343.2700000000004</v>
      </c>
      <c r="G22" s="281">
        <v>-17663.092819835125</v>
      </c>
      <c r="H22" s="281">
        <v>-14996.237180164875</v>
      </c>
      <c r="I22" s="280">
        <f t="shared" ref="I22:I27" si="4">SUM(G22:H22)</f>
        <v>-32659.33</v>
      </c>
    </row>
    <row r="23" spans="1:9" x14ac:dyDescent="0.35">
      <c r="B23" s="386" t="s">
        <v>593</v>
      </c>
      <c r="C23" s="141" t="s">
        <v>132</v>
      </c>
      <c r="D23" s="281">
        <v>-681987.75889107701</v>
      </c>
      <c r="E23" s="281">
        <v>-562727.14110892289</v>
      </c>
      <c r="F23" s="280">
        <f t="shared" si="3"/>
        <v>-1244714.8999999999</v>
      </c>
      <c r="G23" s="281">
        <v>-585095.98732996278</v>
      </c>
      <c r="H23" s="281">
        <v>-496755.48267003719</v>
      </c>
      <c r="I23" s="280">
        <f t="shared" si="4"/>
        <v>-1081851.47</v>
      </c>
    </row>
    <row r="24" spans="1:9" x14ac:dyDescent="0.35">
      <c r="B24" s="386" t="s">
        <v>594</v>
      </c>
      <c r="C24" s="141" t="s">
        <v>23</v>
      </c>
      <c r="D24" s="281">
        <v>-762603.09369156056</v>
      </c>
      <c r="E24" s="281">
        <v>-629245.10465064098</v>
      </c>
      <c r="F24" s="280">
        <f t="shared" si="3"/>
        <v>-1391848.1983422015</v>
      </c>
      <c r="G24" s="281">
        <v>-690177.56262787746</v>
      </c>
      <c r="H24" s="281">
        <v>-585971.35457347159</v>
      </c>
      <c r="I24" s="280">
        <f t="shared" si="4"/>
        <v>-1276148.917201349</v>
      </c>
    </row>
    <row r="25" spans="1:9" x14ac:dyDescent="0.35">
      <c r="B25" s="386" t="s">
        <v>593</v>
      </c>
      <c r="C25" s="141" t="s">
        <v>50</v>
      </c>
      <c r="D25" s="281">
        <v>-17346.491890201243</v>
      </c>
      <c r="E25" s="281">
        <v>-14313.074776465428</v>
      </c>
      <c r="F25" s="280">
        <f t="shared" si="3"/>
        <v>-31659.566666666673</v>
      </c>
      <c r="G25" s="281">
        <v>-15049.819059455993</v>
      </c>
      <c r="H25" s="281">
        <v>-12777.527607210675</v>
      </c>
      <c r="I25" s="280">
        <f t="shared" si="4"/>
        <v>-27827.346666666668</v>
      </c>
    </row>
    <row r="26" spans="1:9" x14ac:dyDescent="0.35">
      <c r="B26" s="386" t="s">
        <v>593</v>
      </c>
      <c r="C26" s="141" t="s">
        <v>51</v>
      </c>
      <c r="D26" s="281">
        <v>-2302.0194658436903</v>
      </c>
      <c r="E26" s="281">
        <v>-1899.4605341563092</v>
      </c>
      <c r="F26" s="280">
        <f t="shared" si="3"/>
        <v>-4201.4799999999996</v>
      </c>
      <c r="G26" s="281">
        <v>-10552.643520262753</v>
      </c>
      <c r="H26" s="281">
        <v>-8959.3564797372474</v>
      </c>
      <c r="I26" s="280">
        <f t="shared" si="4"/>
        <v>-19512</v>
      </c>
    </row>
    <row r="27" spans="1:9" x14ac:dyDescent="0.35">
      <c r="B27" s="386" t="s">
        <v>593</v>
      </c>
      <c r="C27" s="141" t="s">
        <v>52</v>
      </c>
      <c r="D27" s="281">
        <v>-134.48832669793666</v>
      </c>
      <c r="E27" s="281">
        <v>-110.97007330206334</v>
      </c>
      <c r="F27" s="280">
        <f t="shared" si="3"/>
        <v>-245.45839999999998</v>
      </c>
      <c r="G27" s="281">
        <v>-343.60406752837838</v>
      </c>
      <c r="H27" s="281">
        <v>-291.72513247162163</v>
      </c>
      <c r="I27" s="280">
        <f t="shared" si="4"/>
        <v>-635.32920000000001</v>
      </c>
    </row>
    <row r="28" spans="1:9" x14ac:dyDescent="0.35">
      <c r="B28" s="386" t="s">
        <v>593</v>
      </c>
      <c r="C28" s="141" t="s">
        <v>65</v>
      </c>
      <c r="D28" s="281">
        <v>0</v>
      </c>
      <c r="E28" s="281">
        <v>0</v>
      </c>
      <c r="F28" s="280">
        <f>SUM(D28:E28)</f>
        <v>0</v>
      </c>
      <c r="G28" s="281">
        <v>-4529.7081695346806</v>
      </c>
      <c r="H28" s="281">
        <v>-3845.7918304653194</v>
      </c>
      <c r="I28" s="280">
        <f>SUM(G28:H28)</f>
        <v>-8375.5</v>
      </c>
    </row>
    <row r="29" spans="1:9" x14ac:dyDescent="0.35">
      <c r="B29" s="386" t="s">
        <v>593</v>
      </c>
      <c r="C29" s="143" t="s">
        <v>62</v>
      </c>
      <c r="D29" s="281">
        <v>-964840.54651262972</v>
      </c>
      <c r="E29" s="281">
        <v>-796116.87348737044</v>
      </c>
      <c r="F29" s="280">
        <f t="shared" si="3"/>
        <v>-1760957.4200000002</v>
      </c>
      <c r="G29" s="281">
        <v>-1355224.9747405881</v>
      </c>
      <c r="H29" s="281">
        <v>-1150606.8252594122</v>
      </c>
      <c r="I29" s="280">
        <f>SUM(G29:H29)</f>
        <v>-2505831.8000000003</v>
      </c>
    </row>
    <row r="30" spans="1:9" ht="13.15" x14ac:dyDescent="0.4">
      <c r="B30" s="276"/>
      <c r="C30" s="142" t="s">
        <v>60</v>
      </c>
      <c r="D30" s="282">
        <f t="shared" ref="D30:I30" si="5">SUM(D22:D29)</f>
        <v>-2431594.1059491532</v>
      </c>
      <c r="E30" s="282">
        <f t="shared" si="5"/>
        <v>-2006376.1874597147</v>
      </c>
      <c r="F30" s="282">
        <f t="shared" si="5"/>
        <v>-4437970.2934088679</v>
      </c>
      <c r="G30" s="282">
        <f t="shared" si="5"/>
        <v>-2678637.3923350452</v>
      </c>
      <c r="H30" s="282">
        <f t="shared" si="5"/>
        <v>-2274204.3007329707</v>
      </c>
      <c r="I30" s="282">
        <f t="shared" si="5"/>
        <v>-4952841.6930680163</v>
      </c>
    </row>
    <row r="31" spans="1:9" ht="13.15" x14ac:dyDescent="0.4">
      <c r="B31" s="277"/>
      <c r="C31" s="138" t="s">
        <v>155</v>
      </c>
      <c r="D31" s="283"/>
      <c r="E31" s="283"/>
      <c r="F31" s="283"/>
      <c r="G31" s="283"/>
      <c r="H31" s="283"/>
      <c r="I31" s="284"/>
    </row>
    <row r="32" spans="1:9" x14ac:dyDescent="0.35">
      <c r="A32" s="213"/>
      <c r="B32" s="158"/>
      <c r="C32" s="141" t="s">
        <v>54</v>
      </c>
      <c r="D32" s="280">
        <f>SUMIF('2.4 Shared costs'!$C$9:$C$35,'2. Revenues and expenses'!$C32,'2.4 Shared costs'!$H$9:$H$35)</f>
        <v>0</v>
      </c>
      <c r="E32" s="280">
        <f>SUMIF('2.4 Shared costs'!$C$9:$C$35,'2. Revenues and expenses'!$C32,'2.4 Shared costs'!$I$9:$I$35)</f>
        <v>0</v>
      </c>
      <c r="F32" s="280">
        <f t="shared" ref="F32:F40" si="6">SUM(D32:E32)</f>
        <v>0</v>
      </c>
      <c r="G32" s="281">
        <v>0</v>
      </c>
      <c r="H32" s="281">
        <v>0</v>
      </c>
      <c r="I32" s="280">
        <f t="shared" ref="I32:I40" si="7">SUM(G32:H32)</f>
        <v>0</v>
      </c>
    </row>
    <row r="33" spans="1:9" x14ac:dyDescent="0.35">
      <c r="B33" s="158"/>
      <c r="C33" s="141" t="s">
        <v>63</v>
      </c>
      <c r="D33" s="280">
        <f>SUMIF('2.4 Shared costs'!$C$9:$C$35,'2. Revenues and expenses'!$C33,'2.4 Shared costs'!$H$9:$H$35)</f>
        <v>0</v>
      </c>
      <c r="E33" s="280">
        <f>SUMIF('2.4 Shared costs'!$C$9:$C$35,'2. Revenues and expenses'!$C33,'2.4 Shared costs'!$I$9:$I$35)</f>
        <v>0</v>
      </c>
      <c r="F33" s="280">
        <f t="shared" si="6"/>
        <v>0</v>
      </c>
      <c r="G33" s="281">
        <v>0</v>
      </c>
      <c r="H33" s="281">
        <v>0</v>
      </c>
      <c r="I33" s="280">
        <f t="shared" si="7"/>
        <v>0</v>
      </c>
    </row>
    <row r="34" spans="1:9" x14ac:dyDescent="0.35">
      <c r="B34" s="158"/>
      <c r="C34" s="141" t="s">
        <v>479</v>
      </c>
      <c r="D34" s="280">
        <f>SUMIF('2.4 Shared costs'!$C$9:$C$35,'2. Revenues and expenses'!$C34,'2.4 Shared costs'!$H$9:$H$35)</f>
        <v>0</v>
      </c>
      <c r="E34" s="280">
        <f>SUMIF('2.4 Shared costs'!$C$9:$C$35,'2. Revenues and expenses'!$C34,'2.4 Shared costs'!$I$9:$I$35)</f>
        <v>0</v>
      </c>
      <c r="F34" s="280">
        <f t="shared" si="6"/>
        <v>0</v>
      </c>
      <c r="G34" s="281">
        <v>0</v>
      </c>
      <c r="H34" s="281">
        <v>0</v>
      </c>
      <c r="I34" s="280">
        <f t="shared" si="7"/>
        <v>0</v>
      </c>
    </row>
    <row r="35" spans="1:9" x14ac:dyDescent="0.35">
      <c r="B35" s="386" t="s">
        <v>594</v>
      </c>
      <c r="C35" s="143" t="s">
        <v>55</v>
      </c>
      <c r="D35" s="280">
        <f>SUMIF('2.4 Shared costs'!$C$9:$C$35,'2. Revenues and expenses'!$C35,'2.4 Shared costs'!$H$9:$H$35)</f>
        <v>-154120.14623441343</v>
      </c>
      <c r="E35" s="280">
        <f>SUMIF('2.4 Shared costs'!$C$9:$C$35,'2. Revenues and expenses'!$C35,'2.4 Shared costs'!$I$9:$I$35)</f>
        <v>0</v>
      </c>
      <c r="F35" s="280">
        <f t="shared" si="6"/>
        <v>-154120.14623441343</v>
      </c>
      <c r="G35" s="281">
        <v>-108494.7309939351</v>
      </c>
      <c r="H35" s="281">
        <v>0</v>
      </c>
      <c r="I35" s="280">
        <f t="shared" si="7"/>
        <v>-108494.7309939351</v>
      </c>
    </row>
    <row r="36" spans="1:9" x14ac:dyDescent="0.35">
      <c r="B36" s="158"/>
      <c r="C36" s="143" t="s">
        <v>64</v>
      </c>
      <c r="D36" s="280">
        <f>SUMIF('2.4 Shared costs'!$C$9:$C$35,'2. Revenues and expenses'!$C36,'2.4 Shared costs'!$H$9:$H$35)</f>
        <v>0</v>
      </c>
      <c r="E36" s="280">
        <f>SUMIF('2.4 Shared costs'!$C$9:$C$35,'2. Revenues and expenses'!$C36,'2.4 Shared costs'!$I$9:$I$35)</f>
        <v>0</v>
      </c>
      <c r="F36" s="280">
        <f t="shared" si="6"/>
        <v>0</v>
      </c>
      <c r="G36" s="281">
        <v>0</v>
      </c>
      <c r="H36" s="281">
        <v>0</v>
      </c>
      <c r="I36" s="280">
        <f t="shared" si="7"/>
        <v>0</v>
      </c>
    </row>
    <row r="37" spans="1:9" x14ac:dyDescent="0.35">
      <c r="B37" s="158"/>
      <c r="C37" s="141" t="s">
        <v>133</v>
      </c>
      <c r="D37" s="280">
        <f>SUMIF('2.4 Shared costs'!$C$9:$C$35,'2. Revenues and expenses'!$C37,'2.4 Shared costs'!$H$9:$H$35)</f>
        <v>0</v>
      </c>
      <c r="E37" s="280">
        <f>SUMIF('2.4 Shared costs'!$C$9:$C$35,'2. Revenues and expenses'!$C37,'2.4 Shared costs'!$I$9:$I$35)</f>
        <v>0</v>
      </c>
      <c r="F37" s="280">
        <f t="shared" si="6"/>
        <v>0</v>
      </c>
      <c r="G37" s="281">
        <v>0</v>
      </c>
      <c r="H37" s="281">
        <v>0</v>
      </c>
      <c r="I37" s="280">
        <f t="shared" si="7"/>
        <v>0</v>
      </c>
    </row>
    <row r="38" spans="1:9" x14ac:dyDescent="0.35">
      <c r="B38" s="158"/>
      <c r="C38" s="141" t="s">
        <v>56</v>
      </c>
      <c r="D38" s="280">
        <f>SUMIF('2.4 Shared costs'!$C$9:$C$35,'2. Revenues and expenses'!$C38,'2.4 Shared costs'!$H$9:$H$35)</f>
        <v>0</v>
      </c>
      <c r="E38" s="280">
        <f>SUMIF('2.4 Shared costs'!$C$9:$C$35,'2. Revenues and expenses'!$C38,'2.4 Shared costs'!$I$9:$I$35)</f>
        <v>0</v>
      </c>
      <c r="F38" s="280">
        <f t="shared" si="6"/>
        <v>0</v>
      </c>
      <c r="G38" s="281">
        <v>0</v>
      </c>
      <c r="H38" s="281">
        <v>0</v>
      </c>
      <c r="I38" s="280">
        <f t="shared" si="7"/>
        <v>0</v>
      </c>
    </row>
    <row r="39" spans="1:9" x14ac:dyDescent="0.35">
      <c r="B39" s="386" t="s">
        <v>595</v>
      </c>
      <c r="C39" s="141" t="s">
        <v>480</v>
      </c>
      <c r="D39" s="280">
        <f>SUMIF('2.4 Shared costs'!$C$9:$C$35,'2. Revenues and expenses'!$C39,'2.4 Shared costs'!$H$9:$H$35)</f>
        <v>0</v>
      </c>
      <c r="E39" s="280">
        <f>SUMIF('2.4 Shared costs'!$C$9:$C$35,'2. Revenues and expenses'!$C39,'2.4 Shared costs'!$I$9:$I$35)</f>
        <v>0</v>
      </c>
      <c r="F39" s="280">
        <f t="shared" si="6"/>
        <v>0</v>
      </c>
      <c r="G39" s="281">
        <v>0</v>
      </c>
      <c r="H39" s="281">
        <v>0</v>
      </c>
      <c r="I39" s="280">
        <f t="shared" si="7"/>
        <v>0</v>
      </c>
    </row>
    <row r="40" spans="1:9" x14ac:dyDescent="0.35">
      <c r="B40" s="386" t="s">
        <v>596</v>
      </c>
      <c r="C40" s="143" t="s">
        <v>177</v>
      </c>
      <c r="D40" s="280">
        <f>SUMIF('2.4 Shared costs'!$C$9:$C$35,'2. Revenues and expenses'!$C40,'2.4 Shared costs'!$H$9:$H$35)</f>
        <v>-908204.75715231686</v>
      </c>
      <c r="E40" s="280">
        <f>SUMIF('2.4 Shared costs'!$C$9:$C$35,'2. Revenues and expenses'!$C40,'2.4 Shared costs'!$I$9:$I$35)</f>
        <v>0</v>
      </c>
      <c r="F40" s="280">
        <f t="shared" si="6"/>
        <v>-908204.75715231686</v>
      </c>
      <c r="G40" s="281">
        <v>-592332.88531405828</v>
      </c>
      <c r="H40" s="281">
        <v>0</v>
      </c>
      <c r="I40" s="280">
        <f t="shared" si="7"/>
        <v>-592332.88531405828</v>
      </c>
    </row>
    <row r="41" spans="1:9" ht="13.15" x14ac:dyDescent="0.4">
      <c r="B41" s="276"/>
      <c r="C41" s="142" t="s">
        <v>178</v>
      </c>
      <c r="D41" s="282">
        <f>SUM(D32:D40)</f>
        <v>-1062324.9033867302</v>
      </c>
      <c r="E41" s="282">
        <f>SUM(E32:E40)</f>
        <v>0</v>
      </c>
      <c r="F41" s="282">
        <f>SUM(F32:F40)</f>
        <v>-1062324.9033867302</v>
      </c>
      <c r="G41" s="281">
        <v>-700827.61630799342</v>
      </c>
      <c r="H41" s="281">
        <v>0</v>
      </c>
      <c r="I41" s="282">
        <f>SUM(I32:I40)</f>
        <v>-700827.61630799342</v>
      </c>
    </row>
    <row r="42" spans="1:9" ht="13.15" x14ac:dyDescent="0.4">
      <c r="B42" s="276"/>
      <c r="C42" s="142" t="s">
        <v>61</v>
      </c>
      <c r="D42" s="282">
        <f>D30+D41</f>
        <v>-3493919.0093358834</v>
      </c>
      <c r="E42" s="282">
        <f>E30+E41</f>
        <v>-2006376.1874597147</v>
      </c>
      <c r="F42" s="282">
        <f>F30+F41</f>
        <v>-5500295.1967955977</v>
      </c>
      <c r="G42" s="281">
        <v>-3379465.0086430386</v>
      </c>
      <c r="H42" s="281">
        <v>-2274204.3007329707</v>
      </c>
      <c r="I42" s="282">
        <f>I30+I41</f>
        <v>-5653669.3093760097</v>
      </c>
    </row>
    <row r="43" spans="1:9" x14ac:dyDescent="0.35">
      <c r="A43" s="213"/>
      <c r="B43" s="158"/>
      <c r="C43" s="142" t="s">
        <v>99</v>
      </c>
      <c r="D43" s="280">
        <f>D20+D42</f>
        <v>3077991.620664068</v>
      </c>
      <c r="E43" s="280">
        <f>E20+E42</f>
        <v>3416290.7625402864</v>
      </c>
      <c r="F43" s="280">
        <f>F20+F42</f>
        <v>6494282.3832043558</v>
      </c>
      <c r="G43" s="281">
        <v>2892807.8213569578</v>
      </c>
      <c r="H43" s="281">
        <v>3051051.6992670293</v>
      </c>
      <c r="I43" s="280">
        <f>I20+I42</f>
        <v>5943859.5206239922</v>
      </c>
    </row>
    <row r="44" spans="1:9" x14ac:dyDescent="0.35">
      <c r="A44" s="29"/>
    </row>
  </sheetData>
  <mergeCells count="4">
    <mergeCell ref="B5:D5"/>
    <mergeCell ref="D7:F7"/>
    <mergeCell ref="G7:I7"/>
    <mergeCell ref="B1:D1"/>
  </mergeCells>
  <phoneticPr fontId="35"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3984375" style="22" customWidth="1"/>
    <col min="4" max="9" width="20.86328125" style="22" customWidth="1"/>
    <col min="10" max="16384" width="9.1328125" style="22"/>
  </cols>
  <sheetData>
    <row r="1" spans="2:9" ht="20.65" x14ac:dyDescent="0.6">
      <c r="B1" s="465" t="s">
        <v>139</v>
      </c>
      <c r="C1" s="465"/>
      <c r="D1" s="21"/>
      <c r="E1" s="21"/>
      <c r="F1" s="21"/>
      <c r="G1" s="21"/>
      <c r="H1" s="21"/>
      <c r="I1" s="21"/>
    </row>
    <row r="2" spans="2:9" ht="16.5" customHeight="1" x14ac:dyDescent="0.85">
      <c r="B2" s="51" t="str">
        <f>Tradingname</f>
        <v>APA OPERATIONS PTY LIMITED</v>
      </c>
      <c r="C2" s="52"/>
      <c r="I2" s="47"/>
    </row>
    <row r="3" spans="2:9" ht="13.9" x14ac:dyDescent="0.4">
      <c r="B3" s="53" t="s">
        <v>239</v>
      </c>
      <c r="C3" s="54" t="str">
        <f>TEXT(Yearstart,"dd/mm/yyyy")&amp;" to "&amp;TEXT(Yearending,"dd/mm/yyyy")</f>
        <v>01/07/2020 to 30/06/2021</v>
      </c>
    </row>
    <row r="4" spans="2:9" ht="12.75" customHeight="1" x14ac:dyDescent="0.6">
      <c r="B4" s="20"/>
      <c r="D4" s="44"/>
      <c r="G4" s="44"/>
    </row>
    <row r="5" spans="2:9" ht="15" x14ac:dyDescent="0.35">
      <c r="B5" s="460" t="s">
        <v>185</v>
      </c>
      <c r="C5" s="460"/>
      <c r="D5" s="460"/>
    </row>
    <row r="6" spans="2:9" ht="13.15" x14ac:dyDescent="0.4">
      <c r="B6" s="24"/>
      <c r="C6" s="25"/>
      <c r="D6" s="26"/>
      <c r="E6" s="26"/>
      <c r="F6" s="26"/>
      <c r="G6" s="26"/>
      <c r="H6" s="26"/>
      <c r="I6" s="26"/>
    </row>
    <row r="7" spans="2:9" ht="21" customHeight="1" x14ac:dyDescent="0.35">
      <c r="B7" s="97"/>
      <c r="C7" s="97"/>
      <c r="D7" s="461" t="s">
        <v>230</v>
      </c>
      <c r="E7" s="462"/>
      <c r="F7" s="463"/>
      <c r="G7" s="461" t="s">
        <v>231</v>
      </c>
      <c r="H7" s="462"/>
      <c r="I7" s="463"/>
    </row>
    <row r="8" spans="2:9" ht="51" customHeight="1" x14ac:dyDescent="0.35">
      <c r="B8" s="96" t="s">
        <v>222</v>
      </c>
      <c r="C8" s="97" t="s">
        <v>19</v>
      </c>
      <c r="D8" s="103" t="s">
        <v>57</v>
      </c>
      <c r="E8" s="103" t="s">
        <v>58</v>
      </c>
      <c r="F8" s="103" t="s">
        <v>25</v>
      </c>
      <c r="G8" s="103" t="s">
        <v>57</v>
      </c>
      <c r="H8" s="103" t="s">
        <v>58</v>
      </c>
      <c r="I8" s="103" t="s">
        <v>25</v>
      </c>
    </row>
    <row r="9" spans="2:9" ht="15.75" customHeight="1" x14ac:dyDescent="0.35">
      <c r="B9" s="96"/>
      <c r="C9" s="97"/>
      <c r="D9" s="105" t="s">
        <v>182</v>
      </c>
      <c r="E9" s="105" t="s">
        <v>182</v>
      </c>
      <c r="F9" s="105" t="s">
        <v>182</v>
      </c>
      <c r="G9" s="105" t="s">
        <v>182</v>
      </c>
      <c r="H9" s="105" t="s">
        <v>182</v>
      </c>
      <c r="I9" s="105" t="s">
        <v>182</v>
      </c>
    </row>
    <row r="10" spans="2:9" ht="13.15" x14ac:dyDescent="0.4">
      <c r="B10" s="137"/>
      <c r="C10" s="328" t="s">
        <v>139</v>
      </c>
      <c r="D10" s="139"/>
      <c r="E10" s="139"/>
      <c r="F10" s="139"/>
      <c r="G10" s="139"/>
      <c r="H10" s="139"/>
      <c r="I10" s="140"/>
    </row>
    <row r="11" spans="2:9" x14ac:dyDescent="0.35">
      <c r="B11" s="386" t="s">
        <v>592</v>
      </c>
      <c r="C11" s="141" t="s">
        <v>174</v>
      </c>
      <c r="D11" s="281">
        <v>6330131.712491557</v>
      </c>
      <c r="E11" s="281">
        <v>5259986.9415000007</v>
      </c>
      <c r="F11" s="280">
        <f t="shared" ref="F11:F20" si="0">SUM(D11:E11)</f>
        <v>11590118.653991558</v>
      </c>
      <c r="G11" s="281">
        <v>6033976.7240159977</v>
      </c>
      <c r="H11" s="281">
        <v>5171028</v>
      </c>
      <c r="I11" s="280">
        <f t="shared" ref="I11:I20" si="1">SUM(G11:H11)</f>
        <v>11205004.724015998</v>
      </c>
    </row>
    <row r="12" spans="2:9" x14ac:dyDescent="0.35">
      <c r="B12" s="386" t="s">
        <v>375</v>
      </c>
      <c r="C12" s="141" t="s">
        <v>154</v>
      </c>
      <c r="D12" s="281">
        <v>226089.95732954508</v>
      </c>
      <c r="E12" s="281">
        <v>0</v>
      </c>
      <c r="F12" s="280">
        <f t="shared" si="0"/>
        <v>226089.95732954508</v>
      </c>
      <c r="G12" s="281">
        <v>147529.055544</v>
      </c>
      <c r="H12" s="281">
        <v>0</v>
      </c>
      <c r="I12" s="280">
        <f t="shared" si="1"/>
        <v>147529.055544</v>
      </c>
    </row>
    <row r="13" spans="2:9" x14ac:dyDescent="0.35">
      <c r="B13" s="386" t="s">
        <v>375</v>
      </c>
      <c r="C13" s="141" t="s">
        <v>80</v>
      </c>
      <c r="D13" s="281">
        <v>0</v>
      </c>
      <c r="E13" s="281">
        <v>0</v>
      </c>
      <c r="F13" s="280">
        <f t="shared" si="0"/>
        <v>0</v>
      </c>
      <c r="G13" s="281">
        <v>0</v>
      </c>
      <c r="H13" s="281">
        <v>0</v>
      </c>
      <c r="I13" s="280">
        <f t="shared" si="1"/>
        <v>0</v>
      </c>
    </row>
    <row r="14" spans="2:9" x14ac:dyDescent="0.35">
      <c r="B14" s="386" t="s">
        <v>375</v>
      </c>
      <c r="C14" s="141" t="s">
        <v>234</v>
      </c>
      <c r="D14" s="281">
        <v>0</v>
      </c>
      <c r="E14" s="281">
        <v>0</v>
      </c>
      <c r="F14" s="280">
        <f t="shared" si="0"/>
        <v>0</v>
      </c>
      <c r="G14" s="281">
        <v>0</v>
      </c>
      <c r="H14" s="281">
        <v>0</v>
      </c>
      <c r="I14" s="280">
        <f t="shared" si="1"/>
        <v>0</v>
      </c>
    </row>
    <row r="15" spans="2:9" ht="25.5" x14ac:dyDescent="0.35">
      <c r="B15" s="386" t="s">
        <v>375</v>
      </c>
      <c r="C15" s="144" t="s">
        <v>235</v>
      </c>
      <c r="D15" s="281">
        <v>0</v>
      </c>
      <c r="E15" s="281">
        <v>0</v>
      </c>
      <c r="F15" s="280">
        <f t="shared" si="0"/>
        <v>0</v>
      </c>
      <c r="G15" s="281">
        <v>0</v>
      </c>
      <c r="H15" s="281">
        <v>0</v>
      </c>
      <c r="I15" s="280">
        <f t="shared" si="1"/>
        <v>0</v>
      </c>
    </row>
    <row r="16" spans="2:9" x14ac:dyDescent="0.35">
      <c r="B16" s="386" t="s">
        <v>375</v>
      </c>
      <c r="C16" s="329" t="s">
        <v>481</v>
      </c>
      <c r="D16" s="281">
        <v>0</v>
      </c>
      <c r="E16" s="281">
        <v>0</v>
      </c>
      <c r="F16" s="280">
        <f>SUM(D16:E16)</f>
        <v>0</v>
      </c>
      <c r="G16" s="281">
        <v>0</v>
      </c>
      <c r="H16" s="281">
        <v>0</v>
      </c>
      <c r="I16" s="280">
        <f>SUM(G16:H16)</f>
        <v>0</v>
      </c>
    </row>
    <row r="17" spans="2:9" x14ac:dyDescent="0.35">
      <c r="B17" s="386" t="s">
        <v>375</v>
      </c>
      <c r="C17" s="329" t="s">
        <v>482</v>
      </c>
      <c r="D17" s="281">
        <v>0</v>
      </c>
      <c r="E17" s="281">
        <v>0</v>
      </c>
      <c r="F17" s="280">
        <f>SUM(D17:E17)</f>
        <v>0</v>
      </c>
      <c r="G17" s="281">
        <v>0</v>
      </c>
      <c r="H17" s="281">
        <v>0</v>
      </c>
      <c r="I17" s="280">
        <f>SUM(G17:H17)</f>
        <v>0</v>
      </c>
    </row>
    <row r="18" spans="2:9" x14ac:dyDescent="0.35">
      <c r="B18" s="386" t="s">
        <v>375</v>
      </c>
      <c r="C18" s="141" t="s">
        <v>81</v>
      </c>
      <c r="D18" s="281">
        <v>0</v>
      </c>
      <c r="E18" s="281">
        <v>0</v>
      </c>
      <c r="F18" s="280">
        <f t="shared" si="0"/>
        <v>0</v>
      </c>
      <c r="G18" s="281">
        <v>0</v>
      </c>
      <c r="H18" s="281">
        <v>0</v>
      </c>
      <c r="I18" s="280">
        <f t="shared" si="1"/>
        <v>0</v>
      </c>
    </row>
    <row r="19" spans="2:9" x14ac:dyDescent="0.35">
      <c r="B19" s="386" t="s">
        <v>375</v>
      </c>
      <c r="C19" s="141" t="s">
        <v>82</v>
      </c>
      <c r="D19" s="281">
        <v>0</v>
      </c>
      <c r="E19" s="281">
        <v>0</v>
      </c>
      <c r="F19" s="280">
        <f t="shared" si="0"/>
        <v>0</v>
      </c>
      <c r="G19" s="281">
        <v>0</v>
      </c>
      <c r="H19" s="281">
        <v>0</v>
      </c>
      <c r="I19" s="280">
        <f t="shared" si="1"/>
        <v>0</v>
      </c>
    </row>
    <row r="20" spans="2:9" x14ac:dyDescent="0.35">
      <c r="B20" s="386" t="s">
        <v>375</v>
      </c>
      <c r="C20" s="329" t="s">
        <v>483</v>
      </c>
      <c r="D20" s="281">
        <v>15688.960178849171</v>
      </c>
      <c r="E20" s="281">
        <v>162680.0085</v>
      </c>
      <c r="F20" s="280">
        <f t="shared" si="0"/>
        <v>178368.96867884917</v>
      </c>
      <c r="G20" s="281">
        <v>81869.860440002725</v>
      </c>
      <c r="H20" s="281">
        <v>163125.19000000041</v>
      </c>
      <c r="I20" s="280">
        <f t="shared" si="1"/>
        <v>244995.05044000314</v>
      </c>
    </row>
    <row r="21" spans="2:9" ht="13.15" x14ac:dyDescent="0.4">
      <c r="B21" s="279"/>
      <c r="C21" s="330" t="s">
        <v>129</v>
      </c>
      <c r="D21" s="282">
        <f t="shared" ref="D21:I21" si="2">SUM(D11:D20)</f>
        <v>6571910.6299999515</v>
      </c>
      <c r="E21" s="282">
        <f t="shared" si="2"/>
        <v>5422666.9500000011</v>
      </c>
      <c r="F21" s="282">
        <f t="shared" si="2"/>
        <v>11994577.579999952</v>
      </c>
      <c r="G21" s="282">
        <f t="shared" si="2"/>
        <v>6263375.6400000006</v>
      </c>
      <c r="H21" s="282">
        <f t="shared" si="2"/>
        <v>5334153.1900000004</v>
      </c>
      <c r="I21" s="282">
        <f t="shared" si="2"/>
        <v>11597528.83</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97656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195</v>
      </c>
      <c r="C1" s="21"/>
      <c r="D1" s="21"/>
      <c r="E1" s="21"/>
      <c r="F1" s="21"/>
      <c r="G1" s="21"/>
      <c r="H1" s="21"/>
      <c r="I1" s="21"/>
      <c r="J1" s="21"/>
    </row>
    <row r="2" spans="2:10" ht="15.75" customHeight="1" x14ac:dyDescent="0.4">
      <c r="B2" s="51" t="str">
        <f>Tradingname</f>
        <v>APA OPERATIONS PTY LIMITED</v>
      </c>
      <c r="C2" s="52"/>
    </row>
    <row r="3" spans="2:10" ht="18.75" customHeight="1" x14ac:dyDescent="0.85">
      <c r="B3" s="53" t="s">
        <v>239</v>
      </c>
      <c r="C3" s="54" t="str">
        <f>TEXT(Yearstart,"dd/mm/yyyy")&amp;" to "&amp;TEXT(Yearending,"dd/mm/yyyy")</f>
        <v>01/07/2020 to 30/06/2021</v>
      </c>
      <c r="F3" s="47"/>
    </row>
    <row r="4" spans="2:10" ht="20.65" x14ac:dyDescent="0.6">
      <c r="B4" s="20"/>
    </row>
    <row r="5" spans="2:10" ht="15" x14ac:dyDescent="0.4">
      <c r="B5" s="32" t="s">
        <v>186</v>
      </c>
    </row>
    <row r="6" spans="2:10" ht="13.15" x14ac:dyDescent="0.4">
      <c r="B6" s="24"/>
      <c r="C6" s="27"/>
      <c r="D6" s="27"/>
      <c r="E6" s="27"/>
      <c r="F6" s="27"/>
      <c r="G6" s="28"/>
      <c r="H6" s="33"/>
      <c r="I6" s="29"/>
      <c r="J6" s="29"/>
    </row>
    <row r="7" spans="2:10" ht="39" customHeight="1" x14ac:dyDescent="0.35">
      <c r="B7" s="108" t="s">
        <v>19</v>
      </c>
      <c r="C7" s="103" t="s">
        <v>57</v>
      </c>
      <c r="D7" s="103" t="s">
        <v>58</v>
      </c>
      <c r="E7" s="103" t="s">
        <v>25</v>
      </c>
    </row>
    <row r="8" spans="2:10" ht="13.5" customHeight="1" x14ac:dyDescent="0.35">
      <c r="B8" s="96"/>
      <c r="C8" s="105" t="s">
        <v>182</v>
      </c>
      <c r="D8" s="105" t="s">
        <v>182</v>
      </c>
      <c r="E8" s="105" t="s">
        <v>182</v>
      </c>
    </row>
    <row r="9" spans="2:10" ht="13.5" customHeight="1" x14ac:dyDescent="0.4">
      <c r="B9" s="262" t="s">
        <v>597</v>
      </c>
      <c r="C9" s="292">
        <v>0</v>
      </c>
      <c r="D9" s="292">
        <v>0</v>
      </c>
      <c r="E9" s="293">
        <f t="shared" ref="E9:E14" si="0">SUM(C9:D9)</f>
        <v>0</v>
      </c>
    </row>
    <row r="10" spans="2:10" ht="13.5" customHeight="1" x14ac:dyDescent="0.4">
      <c r="B10" s="262"/>
      <c r="C10" s="292"/>
      <c r="D10" s="292"/>
      <c r="E10" s="293">
        <f t="shared" si="0"/>
        <v>0</v>
      </c>
    </row>
    <row r="11" spans="2:10" ht="13.5" customHeight="1" x14ac:dyDescent="0.4">
      <c r="B11" s="262"/>
      <c r="C11" s="292"/>
      <c r="D11" s="292"/>
      <c r="E11" s="293">
        <f t="shared" si="0"/>
        <v>0</v>
      </c>
    </row>
    <row r="12" spans="2:10" ht="13.5" customHeight="1" x14ac:dyDescent="0.4">
      <c r="B12" s="262"/>
      <c r="C12" s="292"/>
      <c r="D12" s="292"/>
      <c r="E12" s="293">
        <f t="shared" si="0"/>
        <v>0</v>
      </c>
    </row>
    <row r="13" spans="2:10" ht="13.5" customHeight="1" x14ac:dyDescent="0.4">
      <c r="B13" s="262"/>
      <c r="C13" s="292"/>
      <c r="D13" s="292"/>
      <c r="E13" s="293">
        <f t="shared" si="0"/>
        <v>0</v>
      </c>
    </row>
    <row r="14" spans="2:10" ht="13.5" customHeight="1" x14ac:dyDescent="0.4">
      <c r="B14" s="262"/>
      <c r="C14" s="292"/>
      <c r="D14" s="292"/>
      <c r="E14" s="293">
        <f t="shared" si="0"/>
        <v>0</v>
      </c>
    </row>
    <row r="15" spans="2:10" ht="13.15" x14ac:dyDescent="0.4">
      <c r="B15" s="107" t="s">
        <v>25</v>
      </c>
      <c r="C15" s="282">
        <f>SUM(C9:C14)</f>
        <v>0</v>
      </c>
      <c r="D15" s="282">
        <f>SUM(D9:D14)</f>
        <v>0</v>
      </c>
      <c r="E15" s="282">
        <f>SUM(E9:E14)</f>
        <v>0</v>
      </c>
    </row>
    <row r="17" spans="2:6" ht="15" x14ac:dyDescent="0.4">
      <c r="B17" s="32" t="s">
        <v>187</v>
      </c>
    </row>
    <row r="18" spans="2:6" ht="19.5" customHeight="1" x14ac:dyDescent="0.4">
      <c r="B18" s="24"/>
      <c r="C18" s="27"/>
      <c r="D18" s="27"/>
      <c r="E18" s="27"/>
      <c r="F18" s="27"/>
    </row>
    <row r="19" spans="2:6" ht="24.75" customHeight="1" x14ac:dyDescent="0.35">
      <c r="B19" s="96" t="s">
        <v>135</v>
      </c>
      <c r="C19" s="109" t="s">
        <v>19</v>
      </c>
      <c r="D19" s="103" t="s">
        <v>25</v>
      </c>
    </row>
    <row r="20" spans="2:6" ht="13.15" x14ac:dyDescent="0.35">
      <c r="B20" s="96"/>
      <c r="C20" s="105"/>
      <c r="D20" s="105" t="s">
        <v>182</v>
      </c>
    </row>
    <row r="21" spans="2:6" x14ac:dyDescent="0.35">
      <c r="B21" s="262"/>
      <c r="C21" s="264"/>
      <c r="D21" s="291"/>
    </row>
    <row r="22" spans="2:6" x14ac:dyDescent="0.35">
      <c r="B22" s="262"/>
      <c r="C22" s="264"/>
      <c r="D22" s="291"/>
    </row>
    <row r="23" spans="2:6" x14ac:dyDescent="0.35">
      <c r="B23" s="262"/>
      <c r="C23" s="264"/>
      <c r="D23" s="291"/>
    </row>
    <row r="24" spans="2:6" x14ac:dyDescent="0.35">
      <c r="B24" s="262"/>
      <c r="C24" s="264"/>
      <c r="D24" s="291"/>
    </row>
    <row r="25" spans="2:6" x14ac:dyDescent="0.35">
      <c r="B25" s="262"/>
      <c r="C25" s="264"/>
      <c r="D25" s="291"/>
    </row>
    <row r="26" spans="2:6" x14ac:dyDescent="0.35">
      <c r="B26" s="262"/>
      <c r="C26" s="264"/>
      <c r="D26" s="291"/>
    </row>
    <row r="27" spans="2:6" ht="13.15" x14ac:dyDescent="0.4">
      <c r="B27" s="466" t="s">
        <v>134</v>
      </c>
      <c r="C27" s="467"/>
      <c r="D27" s="28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3984375" style="34" customWidth="1"/>
    <col min="2" max="2" width="18.59765625" style="34" customWidth="1"/>
    <col min="3" max="3" width="42.1328125" style="34" customWidth="1"/>
    <col min="4" max="4" width="26.86328125" style="34" customWidth="1"/>
    <col min="5" max="5" width="22.59765625" style="34" customWidth="1"/>
    <col min="6" max="6" width="20.59765625" style="34" customWidth="1"/>
    <col min="7" max="8" width="22.59765625" style="34" customWidth="1"/>
    <col min="9" max="9" width="9.3984375" style="34" customWidth="1"/>
    <col min="10" max="10" width="25.1328125" style="34" customWidth="1"/>
    <col min="11" max="16384" width="9.1328125" style="34"/>
  </cols>
  <sheetData>
    <row r="1" spans="2:8" ht="20.65" x14ac:dyDescent="0.6">
      <c r="B1" s="468" t="s">
        <v>190</v>
      </c>
      <c r="C1" s="468"/>
      <c r="D1" s="21"/>
      <c r="E1" s="21"/>
      <c r="F1" s="21"/>
      <c r="G1" s="21"/>
      <c r="H1" s="21"/>
    </row>
    <row r="2" spans="2:8" ht="17.25" customHeight="1" x14ac:dyDescent="0.6">
      <c r="B2" s="51" t="str">
        <f>Tradingname</f>
        <v>APA OPERATIONS PTY LIMITED</v>
      </c>
      <c r="C2" s="52"/>
      <c r="D2" s="35"/>
      <c r="E2" s="469" t="s">
        <v>484</v>
      </c>
      <c r="F2" s="469"/>
      <c r="G2" s="469"/>
      <c r="H2" s="35"/>
    </row>
    <row r="3" spans="2:8" ht="17.25" customHeight="1" x14ac:dyDescent="0.4">
      <c r="B3" s="53" t="s">
        <v>239</v>
      </c>
      <c r="C3" s="54" t="str">
        <f>TEXT(Yearstart,"dd/mm/yyyy")&amp;" to "&amp;TEXT(Yearending,"dd/mm/yyyy")</f>
        <v>01/07/2020 to 30/06/2021</v>
      </c>
      <c r="E3" s="469"/>
      <c r="F3" s="469"/>
      <c r="G3" s="469"/>
    </row>
    <row r="4" spans="2:8" ht="14.25" customHeight="1" x14ac:dyDescent="0.6">
      <c r="B4" s="20"/>
      <c r="E4" s="469"/>
      <c r="F4" s="469"/>
      <c r="G4" s="469"/>
    </row>
    <row r="5" spans="2:8" ht="15" x14ac:dyDescent="0.4">
      <c r="B5" s="38" t="s">
        <v>191</v>
      </c>
      <c r="C5" s="36"/>
      <c r="D5" s="36"/>
      <c r="E5" s="36"/>
      <c r="F5" s="37"/>
      <c r="G5" s="36"/>
      <c r="H5" s="36"/>
    </row>
    <row r="6" spans="2:8" ht="15" x14ac:dyDescent="0.4">
      <c r="B6" s="38"/>
      <c r="C6" s="36"/>
      <c r="D6" s="36"/>
      <c r="E6" s="36"/>
      <c r="F6" s="37"/>
      <c r="G6" s="36"/>
      <c r="H6" s="36"/>
    </row>
    <row r="7" spans="2:8" ht="40.5" customHeight="1" x14ac:dyDescent="0.35">
      <c r="B7" s="110" t="s">
        <v>222</v>
      </c>
      <c r="C7" s="110" t="s">
        <v>188</v>
      </c>
      <c r="D7" s="111" t="s">
        <v>217</v>
      </c>
      <c r="E7" s="111" t="s">
        <v>219</v>
      </c>
      <c r="F7" s="111" t="s">
        <v>69</v>
      </c>
      <c r="G7" s="111" t="s">
        <v>89</v>
      </c>
      <c r="H7" s="111" t="s">
        <v>90</v>
      </c>
    </row>
    <row r="8" spans="2:8" ht="13.15" x14ac:dyDescent="0.4">
      <c r="B8" s="112"/>
      <c r="C8" s="110" t="s">
        <v>189</v>
      </c>
      <c r="D8" s="113" t="s">
        <v>182</v>
      </c>
      <c r="E8" s="113" t="s">
        <v>182</v>
      </c>
      <c r="F8" s="113"/>
      <c r="G8" s="113" t="s">
        <v>182</v>
      </c>
      <c r="H8" s="113" t="s">
        <v>182</v>
      </c>
    </row>
    <row r="9" spans="2:8" x14ac:dyDescent="0.35">
      <c r="B9" s="145"/>
      <c r="C9" s="145"/>
      <c r="D9" s="294"/>
      <c r="E9" s="294"/>
      <c r="F9" s="114"/>
      <c r="G9" s="280">
        <f t="shared" ref="G9:G35" si="0">D9*F9</f>
        <v>0</v>
      </c>
      <c r="H9" s="280">
        <f>E9*F9</f>
        <v>0</v>
      </c>
    </row>
    <row r="10" spans="2:8" x14ac:dyDescent="0.35">
      <c r="B10" s="145"/>
      <c r="C10" s="145"/>
      <c r="D10" s="294"/>
      <c r="E10" s="294"/>
      <c r="F10" s="114"/>
      <c r="G10" s="280">
        <f t="shared" si="0"/>
        <v>0</v>
      </c>
      <c r="H10" s="280">
        <f t="shared" ref="H10:H35" si="1">E10*F10</f>
        <v>0</v>
      </c>
    </row>
    <row r="11" spans="2:8" x14ac:dyDescent="0.35">
      <c r="B11" s="145"/>
      <c r="C11" s="145"/>
      <c r="D11" s="294"/>
      <c r="E11" s="294"/>
      <c r="F11" s="114"/>
      <c r="G11" s="280">
        <f t="shared" si="0"/>
        <v>0</v>
      </c>
      <c r="H11" s="280">
        <f t="shared" si="1"/>
        <v>0</v>
      </c>
    </row>
    <row r="12" spans="2:8" x14ac:dyDescent="0.35">
      <c r="B12" s="145"/>
      <c r="C12" s="145"/>
      <c r="D12" s="294"/>
      <c r="E12" s="294"/>
      <c r="F12" s="114"/>
      <c r="G12" s="280">
        <f t="shared" si="0"/>
        <v>0</v>
      </c>
      <c r="H12" s="280">
        <f t="shared" si="1"/>
        <v>0</v>
      </c>
    </row>
    <row r="13" spans="2:8" x14ac:dyDescent="0.35">
      <c r="B13" s="145"/>
      <c r="C13" s="145"/>
      <c r="D13" s="294"/>
      <c r="E13" s="294"/>
      <c r="F13" s="114"/>
      <c r="G13" s="280">
        <f t="shared" si="0"/>
        <v>0</v>
      </c>
      <c r="H13" s="280">
        <f t="shared" si="1"/>
        <v>0</v>
      </c>
    </row>
    <row r="14" spans="2:8" x14ac:dyDescent="0.35">
      <c r="B14" s="145"/>
      <c r="C14" s="145"/>
      <c r="D14" s="294"/>
      <c r="E14" s="294"/>
      <c r="F14" s="114"/>
      <c r="G14" s="280">
        <f t="shared" si="0"/>
        <v>0</v>
      </c>
      <c r="H14" s="280">
        <f t="shared" si="1"/>
        <v>0</v>
      </c>
    </row>
    <row r="15" spans="2:8" x14ac:dyDescent="0.35">
      <c r="B15" s="145"/>
      <c r="C15" s="145"/>
      <c r="D15" s="294"/>
      <c r="E15" s="294"/>
      <c r="F15" s="114"/>
      <c r="G15" s="280">
        <f t="shared" si="0"/>
        <v>0</v>
      </c>
      <c r="H15" s="280">
        <f t="shared" si="1"/>
        <v>0</v>
      </c>
    </row>
    <row r="16" spans="2:8" x14ac:dyDescent="0.35">
      <c r="B16" s="145"/>
      <c r="C16" s="145"/>
      <c r="D16" s="294"/>
      <c r="E16" s="294"/>
      <c r="F16" s="114"/>
      <c r="G16" s="280">
        <f t="shared" si="0"/>
        <v>0</v>
      </c>
      <c r="H16" s="280">
        <f t="shared" si="1"/>
        <v>0</v>
      </c>
    </row>
    <row r="17" spans="2:8" x14ac:dyDescent="0.35">
      <c r="B17" s="145"/>
      <c r="C17" s="145"/>
      <c r="D17" s="294"/>
      <c r="E17" s="294"/>
      <c r="F17" s="114"/>
      <c r="G17" s="280">
        <f t="shared" si="0"/>
        <v>0</v>
      </c>
      <c r="H17" s="280">
        <f t="shared" si="1"/>
        <v>0</v>
      </c>
    </row>
    <row r="18" spans="2:8" x14ac:dyDescent="0.35">
      <c r="B18" s="145"/>
      <c r="C18" s="145"/>
      <c r="D18" s="294"/>
      <c r="E18" s="294"/>
      <c r="F18" s="114"/>
      <c r="G18" s="280">
        <f t="shared" si="0"/>
        <v>0</v>
      </c>
      <c r="H18" s="280">
        <f t="shared" si="1"/>
        <v>0</v>
      </c>
    </row>
    <row r="19" spans="2:8" x14ac:dyDescent="0.35">
      <c r="B19" s="145"/>
      <c r="C19" s="145"/>
      <c r="D19" s="294"/>
      <c r="E19" s="294"/>
      <c r="F19" s="114"/>
      <c r="G19" s="280">
        <f t="shared" si="0"/>
        <v>0</v>
      </c>
      <c r="H19" s="280">
        <f t="shared" si="1"/>
        <v>0</v>
      </c>
    </row>
    <row r="20" spans="2:8" x14ac:dyDescent="0.35">
      <c r="B20" s="145"/>
      <c r="C20" s="145"/>
      <c r="D20" s="294"/>
      <c r="E20" s="294"/>
      <c r="F20" s="114"/>
      <c r="G20" s="280">
        <f t="shared" si="0"/>
        <v>0</v>
      </c>
      <c r="H20" s="280">
        <f t="shared" si="1"/>
        <v>0</v>
      </c>
    </row>
    <row r="21" spans="2:8" x14ac:dyDescent="0.35">
      <c r="B21" s="145"/>
      <c r="C21" s="145"/>
      <c r="D21" s="294"/>
      <c r="E21" s="294"/>
      <c r="F21" s="114"/>
      <c r="G21" s="280">
        <f t="shared" si="0"/>
        <v>0</v>
      </c>
      <c r="H21" s="280">
        <f t="shared" si="1"/>
        <v>0</v>
      </c>
    </row>
    <row r="22" spans="2:8" x14ac:dyDescent="0.35">
      <c r="B22" s="145"/>
      <c r="C22" s="145"/>
      <c r="D22" s="294"/>
      <c r="E22" s="294"/>
      <c r="F22" s="114"/>
      <c r="G22" s="280">
        <f t="shared" si="0"/>
        <v>0</v>
      </c>
      <c r="H22" s="280">
        <f t="shared" si="1"/>
        <v>0</v>
      </c>
    </row>
    <row r="23" spans="2:8" x14ac:dyDescent="0.35">
      <c r="B23" s="145"/>
      <c r="C23" s="145"/>
      <c r="D23" s="294"/>
      <c r="E23" s="294"/>
      <c r="F23" s="114"/>
      <c r="G23" s="280">
        <f t="shared" si="0"/>
        <v>0</v>
      </c>
      <c r="H23" s="280">
        <f t="shared" si="1"/>
        <v>0</v>
      </c>
    </row>
    <row r="24" spans="2:8" x14ac:dyDescent="0.35">
      <c r="B24" s="145"/>
      <c r="C24" s="145"/>
      <c r="D24" s="294"/>
      <c r="E24" s="294"/>
      <c r="F24" s="114"/>
      <c r="G24" s="280">
        <f t="shared" si="0"/>
        <v>0</v>
      </c>
      <c r="H24" s="280">
        <f t="shared" si="1"/>
        <v>0</v>
      </c>
    </row>
    <row r="25" spans="2:8" x14ac:dyDescent="0.35">
      <c r="B25" s="145"/>
      <c r="C25" s="145"/>
      <c r="D25" s="294"/>
      <c r="E25" s="294"/>
      <c r="F25" s="114"/>
      <c r="G25" s="280">
        <f t="shared" si="0"/>
        <v>0</v>
      </c>
      <c r="H25" s="280">
        <f t="shared" si="1"/>
        <v>0</v>
      </c>
    </row>
    <row r="26" spans="2:8" x14ac:dyDescent="0.35">
      <c r="B26" s="145"/>
      <c r="C26" s="145"/>
      <c r="D26" s="294"/>
      <c r="E26" s="294"/>
      <c r="F26" s="114"/>
      <c r="G26" s="280">
        <f t="shared" si="0"/>
        <v>0</v>
      </c>
      <c r="H26" s="280">
        <f t="shared" si="1"/>
        <v>0</v>
      </c>
    </row>
    <row r="27" spans="2:8" x14ac:dyDescent="0.35">
      <c r="B27" s="145"/>
      <c r="C27" s="145"/>
      <c r="D27" s="294"/>
      <c r="E27" s="294"/>
      <c r="F27" s="114"/>
      <c r="G27" s="280">
        <f t="shared" si="0"/>
        <v>0</v>
      </c>
      <c r="H27" s="280">
        <f t="shared" si="1"/>
        <v>0</v>
      </c>
    </row>
    <row r="28" spans="2:8" x14ac:dyDescent="0.35">
      <c r="B28" s="145"/>
      <c r="C28" s="145"/>
      <c r="D28" s="294"/>
      <c r="E28" s="294"/>
      <c r="F28" s="114"/>
      <c r="G28" s="280">
        <f t="shared" si="0"/>
        <v>0</v>
      </c>
      <c r="H28" s="280">
        <f t="shared" si="1"/>
        <v>0</v>
      </c>
    </row>
    <row r="29" spans="2:8" x14ac:dyDescent="0.35">
      <c r="B29" s="145"/>
      <c r="C29" s="145"/>
      <c r="D29" s="294"/>
      <c r="E29" s="294"/>
      <c r="F29" s="114"/>
      <c r="G29" s="280">
        <f t="shared" si="0"/>
        <v>0</v>
      </c>
      <c r="H29" s="280">
        <f t="shared" si="1"/>
        <v>0</v>
      </c>
    </row>
    <row r="30" spans="2:8" x14ac:dyDescent="0.35">
      <c r="B30" s="145"/>
      <c r="C30" s="145"/>
      <c r="D30" s="294"/>
      <c r="E30" s="294"/>
      <c r="F30" s="114"/>
      <c r="G30" s="280">
        <f t="shared" si="0"/>
        <v>0</v>
      </c>
      <c r="H30" s="280">
        <f t="shared" si="1"/>
        <v>0</v>
      </c>
    </row>
    <row r="31" spans="2:8" x14ac:dyDescent="0.35">
      <c r="B31" s="145"/>
      <c r="C31" s="145"/>
      <c r="D31" s="294"/>
      <c r="E31" s="294"/>
      <c r="F31" s="114"/>
      <c r="G31" s="280">
        <f t="shared" si="0"/>
        <v>0</v>
      </c>
      <c r="H31" s="280">
        <f t="shared" si="1"/>
        <v>0</v>
      </c>
    </row>
    <row r="32" spans="2:8" x14ac:dyDescent="0.35">
      <c r="B32" s="145"/>
      <c r="C32" s="145"/>
      <c r="D32" s="294"/>
      <c r="E32" s="294"/>
      <c r="F32" s="114"/>
      <c r="G32" s="280">
        <f t="shared" si="0"/>
        <v>0</v>
      </c>
      <c r="H32" s="280">
        <f t="shared" si="1"/>
        <v>0</v>
      </c>
    </row>
    <row r="33" spans="2:8" x14ac:dyDescent="0.35">
      <c r="B33" s="145"/>
      <c r="C33" s="145"/>
      <c r="D33" s="294"/>
      <c r="E33" s="294"/>
      <c r="F33" s="114"/>
      <c r="G33" s="280">
        <f t="shared" si="0"/>
        <v>0</v>
      </c>
      <c r="H33" s="280">
        <f t="shared" si="1"/>
        <v>0</v>
      </c>
    </row>
    <row r="34" spans="2:8" x14ac:dyDescent="0.35">
      <c r="B34" s="145"/>
      <c r="C34" s="145"/>
      <c r="D34" s="294"/>
      <c r="E34" s="294"/>
      <c r="F34" s="114"/>
      <c r="G34" s="280">
        <f t="shared" si="0"/>
        <v>0</v>
      </c>
      <c r="H34" s="280">
        <f t="shared" si="1"/>
        <v>0</v>
      </c>
    </row>
    <row r="35" spans="2:8" x14ac:dyDescent="0.35">
      <c r="B35" s="145"/>
      <c r="C35" s="145"/>
      <c r="D35" s="294"/>
      <c r="E35" s="294"/>
      <c r="F35" s="114"/>
      <c r="G35" s="280">
        <f t="shared" si="0"/>
        <v>0</v>
      </c>
      <c r="H35" s="280">
        <f t="shared" si="1"/>
        <v>0</v>
      </c>
    </row>
    <row r="36" spans="2:8" ht="13.15" x14ac:dyDescent="0.4">
      <c r="B36" s="42"/>
      <c r="C36" s="107" t="s">
        <v>25</v>
      </c>
      <c r="D36" s="280">
        <f>SUM(D9:D35)</f>
        <v>0</v>
      </c>
      <c r="E36" s="280">
        <f>SUM(E9:E35)</f>
        <v>0</v>
      </c>
      <c r="F36" s="220"/>
      <c r="G36" s="280">
        <f>SUM(G9:G35)</f>
        <v>0</v>
      </c>
      <c r="H36" s="28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30" style="34" customWidth="1"/>
    <col min="4" max="4" width="26.86328125" style="34" customWidth="1"/>
    <col min="5" max="5" width="23.59765625" style="34" customWidth="1"/>
    <col min="6" max="6" width="22.59765625" style="34" customWidth="1"/>
    <col min="7" max="7" width="20.59765625" style="34" customWidth="1"/>
    <col min="8" max="9" width="22.59765625" style="34" customWidth="1"/>
    <col min="10" max="10" width="9.3984375" style="34" customWidth="1"/>
    <col min="11" max="11" width="25.1328125" style="34" customWidth="1"/>
    <col min="12" max="16384" width="9.1328125" style="34"/>
  </cols>
  <sheetData>
    <row r="1" spans="2:9" ht="20.65" x14ac:dyDescent="0.6">
      <c r="B1" s="468" t="s">
        <v>155</v>
      </c>
      <c r="C1" s="468"/>
      <c r="D1" s="21"/>
      <c r="E1" s="21"/>
      <c r="F1" s="21"/>
      <c r="G1" s="21"/>
      <c r="H1" s="21"/>
      <c r="I1" s="21"/>
    </row>
    <row r="2" spans="2:9" ht="16.5" customHeight="1" x14ac:dyDescent="0.6">
      <c r="B2" s="51" t="str">
        <f>Tradingname</f>
        <v>APA OPERATIONS PTY LIMITED</v>
      </c>
      <c r="C2" s="52"/>
      <c r="D2" s="35"/>
      <c r="E2" s="469" t="s">
        <v>484</v>
      </c>
      <c r="F2" s="469"/>
      <c r="G2" s="469"/>
      <c r="H2" s="35"/>
      <c r="I2" s="35"/>
    </row>
    <row r="3" spans="2:9" ht="13.9" x14ac:dyDescent="0.4">
      <c r="B3" s="53" t="s">
        <v>239</v>
      </c>
      <c r="C3" s="54" t="str">
        <f>TEXT(Yearstart,"dd/mm/yyyy")&amp;" to "&amp;TEXT(Yearending,"dd/mm/yyyy")</f>
        <v>01/07/2020 to 30/06/2021</v>
      </c>
      <c r="E3" s="469"/>
      <c r="F3" s="469"/>
      <c r="G3" s="469"/>
    </row>
    <row r="4" spans="2:9" ht="20.65" x14ac:dyDescent="0.6">
      <c r="B4" s="20"/>
      <c r="E4" s="469"/>
      <c r="F4" s="469"/>
      <c r="G4" s="469"/>
    </row>
    <row r="5" spans="2:9" ht="15" x14ac:dyDescent="0.4">
      <c r="B5" s="38" t="s">
        <v>192</v>
      </c>
      <c r="C5" s="36"/>
      <c r="D5" s="36"/>
      <c r="E5" s="36"/>
      <c r="F5" s="36"/>
      <c r="G5" s="37"/>
      <c r="H5" s="36"/>
      <c r="I5" s="36"/>
    </row>
    <row r="6" spans="2:9" ht="15" x14ac:dyDescent="0.4">
      <c r="B6" s="38"/>
      <c r="C6" s="36"/>
      <c r="D6" s="36"/>
      <c r="E6" s="36"/>
      <c r="F6" s="36"/>
      <c r="G6" s="37"/>
      <c r="H6" s="36"/>
      <c r="I6" s="36"/>
    </row>
    <row r="7" spans="2:9" ht="40.5" customHeight="1" x14ac:dyDescent="0.35">
      <c r="B7" s="110" t="s">
        <v>222</v>
      </c>
      <c r="C7" s="110" t="s">
        <v>19</v>
      </c>
      <c r="D7" s="115" t="s">
        <v>70</v>
      </c>
      <c r="E7" s="111" t="s">
        <v>218</v>
      </c>
      <c r="F7" s="111" t="s">
        <v>220</v>
      </c>
      <c r="G7" s="111" t="s">
        <v>69</v>
      </c>
      <c r="H7" s="111" t="s">
        <v>89</v>
      </c>
      <c r="I7" s="111" t="s">
        <v>90</v>
      </c>
    </row>
    <row r="8" spans="2:9" ht="13.15" x14ac:dyDescent="0.4">
      <c r="B8" s="112"/>
      <c r="C8" s="112" t="s">
        <v>193</v>
      </c>
      <c r="D8" s="116"/>
      <c r="E8" s="113" t="s">
        <v>182</v>
      </c>
      <c r="F8" s="113" t="s">
        <v>182</v>
      </c>
      <c r="G8" s="113"/>
      <c r="H8" s="113" t="s">
        <v>182</v>
      </c>
      <c r="I8" s="113" t="s">
        <v>182</v>
      </c>
    </row>
    <row r="9" spans="2:9" x14ac:dyDescent="0.35">
      <c r="B9" s="145"/>
      <c r="C9" s="143" t="s">
        <v>54</v>
      </c>
      <c r="D9" s="260"/>
      <c r="E9" s="295"/>
      <c r="F9" s="295"/>
      <c r="G9" s="298"/>
      <c r="H9" s="297">
        <f>E9*G9</f>
        <v>0</v>
      </c>
      <c r="I9" s="297">
        <f>F9*G9</f>
        <v>0</v>
      </c>
    </row>
    <row r="10" spans="2:9" ht="25.5" x14ac:dyDescent="0.35">
      <c r="B10" s="145"/>
      <c r="C10" s="143" t="s">
        <v>63</v>
      </c>
      <c r="D10" s="260"/>
      <c r="E10" s="295"/>
      <c r="F10" s="295"/>
      <c r="G10" s="298"/>
      <c r="H10" s="297">
        <f t="shared" ref="H10:H35" si="0">E10*G10</f>
        <v>0</v>
      </c>
      <c r="I10" s="297">
        <f t="shared" ref="I10:I35" si="1">F10*G10</f>
        <v>0</v>
      </c>
    </row>
    <row r="11" spans="2:9" x14ac:dyDescent="0.35">
      <c r="B11" s="145"/>
      <c r="C11" s="143" t="s">
        <v>479</v>
      </c>
      <c r="D11" s="260"/>
      <c r="E11" s="295"/>
      <c r="F11" s="295"/>
      <c r="G11" s="298"/>
      <c r="H11" s="297">
        <f t="shared" si="0"/>
        <v>0</v>
      </c>
      <c r="I11" s="297">
        <f t="shared" si="1"/>
        <v>0</v>
      </c>
    </row>
    <row r="12" spans="2:9" x14ac:dyDescent="0.35">
      <c r="B12" s="386" t="s">
        <v>594</v>
      </c>
      <c r="C12" s="143" t="s">
        <v>55</v>
      </c>
      <c r="D12" s="260"/>
      <c r="E12" s="295">
        <v>-30443325.546000004</v>
      </c>
      <c r="F12" s="295"/>
      <c r="G12" s="298">
        <v>5.0625266284242566E-3</v>
      </c>
      <c r="H12" s="297">
        <f t="shared" si="0"/>
        <v>-154120.14623441343</v>
      </c>
      <c r="I12" s="297">
        <f t="shared" si="1"/>
        <v>0</v>
      </c>
    </row>
    <row r="13" spans="2:9" x14ac:dyDescent="0.35">
      <c r="B13" s="145"/>
      <c r="C13" s="143" t="s">
        <v>64</v>
      </c>
      <c r="D13" s="260"/>
      <c r="E13" s="295"/>
      <c r="F13" s="295"/>
      <c r="G13" s="298"/>
      <c r="H13" s="297">
        <f t="shared" si="0"/>
        <v>0</v>
      </c>
      <c r="I13" s="297">
        <f t="shared" si="1"/>
        <v>0</v>
      </c>
    </row>
    <row r="14" spans="2:9" x14ac:dyDescent="0.35">
      <c r="B14" s="145"/>
      <c r="C14" s="143" t="s">
        <v>133</v>
      </c>
      <c r="D14" s="260"/>
      <c r="E14" s="295"/>
      <c r="F14" s="295"/>
      <c r="G14" s="298"/>
      <c r="H14" s="297">
        <f t="shared" si="0"/>
        <v>0</v>
      </c>
      <c r="I14" s="297">
        <f t="shared" si="1"/>
        <v>0</v>
      </c>
    </row>
    <row r="15" spans="2:9" ht="25.5" x14ac:dyDescent="0.35">
      <c r="B15" s="145"/>
      <c r="C15" s="143" t="s">
        <v>56</v>
      </c>
      <c r="D15" s="260"/>
      <c r="E15" s="295"/>
      <c r="F15" s="295"/>
      <c r="G15" s="298"/>
      <c r="H15" s="297">
        <f t="shared" si="0"/>
        <v>0</v>
      </c>
      <c r="I15" s="297">
        <f t="shared" si="1"/>
        <v>0</v>
      </c>
    </row>
    <row r="16" spans="2:9" ht="25.5" x14ac:dyDescent="0.35">
      <c r="B16" s="145"/>
      <c r="C16" s="143" t="s">
        <v>480</v>
      </c>
      <c r="D16" s="260"/>
      <c r="E16" s="295"/>
      <c r="F16" s="295"/>
      <c r="G16" s="298"/>
      <c r="H16" s="297">
        <f t="shared" si="0"/>
        <v>0</v>
      </c>
      <c r="I16" s="297">
        <f t="shared" si="1"/>
        <v>0</v>
      </c>
    </row>
    <row r="17" spans="2:9" x14ac:dyDescent="0.35">
      <c r="B17" s="145"/>
      <c r="C17" s="143" t="s">
        <v>177</v>
      </c>
      <c r="D17" s="260"/>
      <c r="E17" s="296">
        <f>SUM(E18:E35)</f>
        <v>-107406449.1114991</v>
      </c>
      <c r="F17" s="296">
        <f>SUM(F18:F35)</f>
        <v>0</v>
      </c>
      <c r="G17" s="299"/>
      <c r="H17" s="296">
        <f>SUM(H18:H35)</f>
        <v>-908204.75715231686</v>
      </c>
      <c r="I17" s="296">
        <f>SUM(I18:I35)</f>
        <v>0</v>
      </c>
    </row>
    <row r="18" spans="2:9" x14ac:dyDescent="0.35">
      <c r="B18" s="386" t="s">
        <v>596</v>
      </c>
      <c r="C18" s="145" t="s">
        <v>561</v>
      </c>
      <c r="D18" s="260"/>
      <c r="E18" s="295">
        <v>-98942992.470233038</v>
      </c>
      <c r="F18" s="295"/>
      <c r="G18" s="298">
        <v>8.4557749061185839E-3</v>
      </c>
      <c r="H18" s="297">
        <f t="shared" si="0"/>
        <v>-836639.67286607658</v>
      </c>
      <c r="I18" s="297">
        <f t="shared" si="1"/>
        <v>0</v>
      </c>
    </row>
    <row r="19" spans="2:9" x14ac:dyDescent="0.35">
      <c r="B19" s="386" t="s">
        <v>596</v>
      </c>
      <c r="C19" s="145" t="s">
        <v>562</v>
      </c>
      <c r="D19" s="260"/>
      <c r="E19" s="295">
        <v>-896322.43599999952</v>
      </c>
      <c r="F19" s="295"/>
      <c r="G19" s="298">
        <f>G18</f>
        <v>8.4557749061185839E-3</v>
      </c>
      <c r="H19" s="297">
        <f t="shared" si="0"/>
        <v>-7579.100762119876</v>
      </c>
      <c r="I19" s="297">
        <f t="shared" si="1"/>
        <v>0</v>
      </c>
    </row>
    <row r="20" spans="2:9" x14ac:dyDescent="0.35">
      <c r="B20" s="386" t="s">
        <v>594</v>
      </c>
      <c r="C20" s="145" t="s">
        <v>563</v>
      </c>
      <c r="D20" s="260"/>
      <c r="E20" s="295">
        <v>-7567134.2052660659</v>
      </c>
      <c r="F20" s="295"/>
      <c r="G20" s="298">
        <f>G19</f>
        <v>8.4557749061185839E-3</v>
      </c>
      <c r="H20" s="297">
        <f t="shared" si="0"/>
        <v>-63985.983524120391</v>
      </c>
      <c r="I20" s="297">
        <f t="shared" si="1"/>
        <v>0</v>
      </c>
    </row>
    <row r="21" spans="2:9" x14ac:dyDescent="0.35">
      <c r="B21" s="145"/>
      <c r="C21" s="145"/>
      <c r="D21" s="260"/>
      <c r="E21" s="295"/>
      <c r="F21" s="295"/>
      <c r="G21" s="298"/>
      <c r="H21" s="297">
        <f t="shared" si="0"/>
        <v>0</v>
      </c>
      <c r="I21" s="297">
        <f t="shared" si="1"/>
        <v>0</v>
      </c>
    </row>
    <row r="22" spans="2:9" x14ac:dyDescent="0.35">
      <c r="B22" s="145"/>
      <c r="C22" s="145"/>
      <c r="D22" s="260"/>
      <c r="E22" s="295"/>
      <c r="F22" s="295"/>
      <c r="G22" s="298"/>
      <c r="H22" s="297">
        <f t="shared" si="0"/>
        <v>0</v>
      </c>
      <c r="I22" s="297">
        <f t="shared" si="1"/>
        <v>0</v>
      </c>
    </row>
    <row r="23" spans="2:9" x14ac:dyDescent="0.35">
      <c r="B23" s="145"/>
      <c r="C23" s="145"/>
      <c r="D23" s="260"/>
      <c r="E23" s="295"/>
      <c r="F23" s="295"/>
      <c r="G23" s="298"/>
      <c r="H23" s="297">
        <f t="shared" si="0"/>
        <v>0</v>
      </c>
      <c r="I23" s="297">
        <f t="shared" si="1"/>
        <v>0</v>
      </c>
    </row>
    <row r="24" spans="2:9" x14ac:dyDescent="0.35">
      <c r="B24" s="145"/>
      <c r="C24" s="145"/>
      <c r="D24" s="260"/>
      <c r="E24" s="295"/>
      <c r="F24" s="295"/>
      <c r="G24" s="298"/>
      <c r="H24" s="297">
        <f t="shared" si="0"/>
        <v>0</v>
      </c>
      <c r="I24" s="297">
        <f t="shared" si="1"/>
        <v>0</v>
      </c>
    </row>
    <row r="25" spans="2:9" x14ac:dyDescent="0.35">
      <c r="B25" s="145"/>
      <c r="C25" s="145"/>
      <c r="D25" s="260"/>
      <c r="E25" s="295"/>
      <c r="F25" s="295"/>
      <c r="G25" s="298"/>
      <c r="H25" s="297">
        <f t="shared" si="0"/>
        <v>0</v>
      </c>
      <c r="I25" s="297">
        <f t="shared" si="1"/>
        <v>0</v>
      </c>
    </row>
    <row r="26" spans="2:9" x14ac:dyDescent="0.35">
      <c r="B26" s="145"/>
      <c r="C26" s="145"/>
      <c r="D26" s="260"/>
      <c r="E26" s="295"/>
      <c r="F26" s="295"/>
      <c r="G26" s="298"/>
      <c r="H26" s="297">
        <f t="shared" si="0"/>
        <v>0</v>
      </c>
      <c r="I26" s="297">
        <f t="shared" si="1"/>
        <v>0</v>
      </c>
    </row>
    <row r="27" spans="2:9" x14ac:dyDescent="0.35">
      <c r="B27" s="145"/>
      <c r="C27" s="145"/>
      <c r="D27" s="260"/>
      <c r="E27" s="295"/>
      <c r="F27" s="295"/>
      <c r="G27" s="298"/>
      <c r="H27" s="297">
        <f t="shared" si="0"/>
        <v>0</v>
      </c>
      <c r="I27" s="297">
        <f t="shared" si="1"/>
        <v>0</v>
      </c>
    </row>
    <row r="28" spans="2:9" x14ac:dyDescent="0.35">
      <c r="B28" s="145"/>
      <c r="C28" s="145"/>
      <c r="D28" s="260"/>
      <c r="E28" s="295"/>
      <c r="F28" s="295"/>
      <c r="G28" s="298"/>
      <c r="H28" s="297">
        <f t="shared" si="0"/>
        <v>0</v>
      </c>
      <c r="I28" s="297">
        <f t="shared" si="1"/>
        <v>0</v>
      </c>
    </row>
    <row r="29" spans="2:9" x14ac:dyDescent="0.35">
      <c r="B29" s="145"/>
      <c r="C29" s="145"/>
      <c r="D29" s="260"/>
      <c r="E29" s="295"/>
      <c r="F29" s="295"/>
      <c r="G29" s="298"/>
      <c r="H29" s="297">
        <f t="shared" si="0"/>
        <v>0</v>
      </c>
      <c r="I29" s="297">
        <f t="shared" si="1"/>
        <v>0</v>
      </c>
    </row>
    <row r="30" spans="2:9" x14ac:dyDescent="0.35">
      <c r="B30" s="145"/>
      <c r="C30" s="145"/>
      <c r="D30" s="260"/>
      <c r="E30" s="295"/>
      <c r="F30" s="295"/>
      <c r="G30" s="298"/>
      <c r="H30" s="297">
        <f t="shared" si="0"/>
        <v>0</v>
      </c>
      <c r="I30" s="297">
        <f t="shared" si="1"/>
        <v>0</v>
      </c>
    </row>
    <row r="31" spans="2:9" x14ac:dyDescent="0.35">
      <c r="B31" s="145"/>
      <c r="C31" s="145"/>
      <c r="D31" s="260"/>
      <c r="E31" s="295"/>
      <c r="F31" s="295"/>
      <c r="G31" s="298"/>
      <c r="H31" s="297">
        <f t="shared" si="0"/>
        <v>0</v>
      </c>
      <c r="I31" s="297">
        <f t="shared" si="1"/>
        <v>0</v>
      </c>
    </row>
    <row r="32" spans="2:9" x14ac:dyDescent="0.35">
      <c r="B32" s="145"/>
      <c r="C32" s="145"/>
      <c r="D32" s="260"/>
      <c r="E32" s="295"/>
      <c r="F32" s="295"/>
      <c r="G32" s="298"/>
      <c r="H32" s="297">
        <f t="shared" si="0"/>
        <v>0</v>
      </c>
      <c r="I32" s="297">
        <f t="shared" si="1"/>
        <v>0</v>
      </c>
    </row>
    <row r="33" spans="2:9" x14ac:dyDescent="0.35">
      <c r="B33" s="145"/>
      <c r="C33" s="145"/>
      <c r="D33" s="260"/>
      <c r="E33" s="295"/>
      <c r="F33" s="295"/>
      <c r="G33" s="298"/>
      <c r="H33" s="297">
        <f t="shared" si="0"/>
        <v>0</v>
      </c>
      <c r="I33" s="297">
        <f t="shared" si="1"/>
        <v>0</v>
      </c>
    </row>
    <row r="34" spans="2:9" x14ac:dyDescent="0.35">
      <c r="B34" s="145"/>
      <c r="C34" s="145"/>
      <c r="D34" s="260"/>
      <c r="E34" s="295"/>
      <c r="F34" s="295"/>
      <c r="G34" s="298"/>
      <c r="H34" s="297">
        <f t="shared" si="0"/>
        <v>0</v>
      </c>
      <c r="I34" s="297">
        <f t="shared" si="1"/>
        <v>0</v>
      </c>
    </row>
    <row r="35" spans="2:9" x14ac:dyDescent="0.35">
      <c r="B35" s="145"/>
      <c r="C35" s="145"/>
      <c r="D35" s="260"/>
      <c r="E35" s="295"/>
      <c r="F35" s="295"/>
      <c r="G35" s="298"/>
      <c r="H35" s="297">
        <f t="shared" si="0"/>
        <v>0</v>
      </c>
      <c r="I35" s="297">
        <f t="shared" si="1"/>
        <v>0</v>
      </c>
    </row>
    <row r="36" spans="2:9" ht="13.15" x14ac:dyDescent="0.4">
      <c r="B36" s="42"/>
      <c r="C36" s="466" t="s">
        <v>134</v>
      </c>
      <c r="D36" s="467"/>
      <c r="E36" s="297">
        <f>SUM(E9:E17)</f>
        <v>-137849774.6574991</v>
      </c>
      <c r="F36" s="297">
        <f>SUM(F9:F17)</f>
        <v>0</v>
      </c>
      <c r="G36" s="261"/>
      <c r="H36" s="297">
        <f>SUM(H9:H17)</f>
        <v>-1062324.9033867302</v>
      </c>
      <c r="I36" s="297">
        <f>SUM(I9:I17)</f>
        <v>0</v>
      </c>
    </row>
  </sheetData>
  <mergeCells count="3">
    <mergeCell ref="B1:C1"/>
    <mergeCell ref="C36:D36"/>
    <mergeCell ref="E2:G4"/>
  </mergeCells>
  <phoneticPr fontId="35"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E100"/>
  <sheetViews>
    <sheetView zoomScale="80" zoomScaleNormal="80" workbookViewId="0"/>
  </sheetViews>
  <sheetFormatPr defaultColWidth="9.1328125" defaultRowHeight="12.75" x14ac:dyDescent="0.35"/>
  <cols>
    <col min="1" max="1" width="12" style="22" customWidth="1"/>
    <col min="2" max="2" width="21.59765625" style="22" customWidth="1"/>
    <col min="3" max="3" width="64.86328125" style="22" customWidth="1"/>
    <col min="4" max="4" width="15.73046875" style="22" bestFit="1" customWidth="1"/>
    <col min="5" max="5" width="20.86328125" style="22" customWidth="1"/>
    <col min="6" max="16384" width="9.1328125" style="22"/>
  </cols>
  <sheetData>
    <row r="1" spans="2:5" ht="20.65" x14ac:dyDescent="0.6">
      <c r="B1" s="470" t="s">
        <v>196</v>
      </c>
      <c r="C1" s="470"/>
    </row>
    <row r="2" spans="2:5" ht="13.9" x14ac:dyDescent="0.4">
      <c r="B2" s="51" t="str">
        <f>Tradingname</f>
        <v>APA OPERATIONS PTY LIMITED</v>
      </c>
      <c r="C2" s="52"/>
    </row>
    <row r="3" spans="2:5" ht="13.9" x14ac:dyDescent="0.4">
      <c r="B3" s="53" t="s">
        <v>239</v>
      </c>
      <c r="C3" s="54" t="str">
        <f>TEXT(Yearstart,"dd/mm/yyyy")&amp;" to "&amp;TEXT(Yearending,"dd/mm/yyyy")</f>
        <v>01/07/2020 to 30/06/2021</v>
      </c>
    </row>
    <row r="4" spans="2:5" ht="20.65" x14ac:dyDescent="0.6">
      <c r="B4" s="20"/>
      <c r="D4" s="44"/>
    </row>
    <row r="5" spans="2:5" ht="15" x14ac:dyDescent="0.35">
      <c r="B5" s="460" t="s">
        <v>197</v>
      </c>
      <c r="C5" s="460"/>
      <c r="D5" s="59"/>
    </row>
    <row r="7" spans="2:5" ht="26.25" x14ac:dyDescent="0.35">
      <c r="B7" s="117" t="s">
        <v>222</v>
      </c>
      <c r="C7" s="118" t="s">
        <v>19</v>
      </c>
      <c r="D7" s="118" t="s">
        <v>230</v>
      </c>
      <c r="E7" s="118" t="s">
        <v>231</v>
      </c>
    </row>
    <row r="8" spans="2:5" ht="13.15" x14ac:dyDescent="0.35">
      <c r="B8" s="215"/>
      <c r="C8" s="331" t="s">
        <v>485</v>
      </c>
      <c r="D8" s="216"/>
      <c r="E8" s="216"/>
    </row>
    <row r="9" spans="2:5" ht="13.15" x14ac:dyDescent="0.4">
      <c r="B9" s="157"/>
      <c r="C9" s="146" t="s">
        <v>142</v>
      </c>
      <c r="D9" s="147" t="s">
        <v>182</v>
      </c>
      <c r="E9" s="148" t="s">
        <v>182</v>
      </c>
    </row>
    <row r="10" spans="2:5" x14ac:dyDescent="0.35">
      <c r="B10" s="387">
        <v>2.4</v>
      </c>
      <c r="C10" s="332" t="s">
        <v>488</v>
      </c>
      <c r="D10" s="300">
        <f>SUMIF('3.3 Depreciation amortisation'!$D$9:$D$52,'3. Statement of pipeline assets'!C9,'3.3 Depreciation amortisation'!$H$9:$H$52)</f>
        <v>14964795.84</v>
      </c>
      <c r="E10" s="295">
        <v>14964795.84</v>
      </c>
    </row>
    <row r="11" spans="2:5" x14ac:dyDescent="0.35">
      <c r="B11" s="387">
        <v>2.4</v>
      </c>
      <c r="C11" s="332" t="s">
        <v>74</v>
      </c>
      <c r="D11" s="300">
        <f>SUMIF('3.3 Depreciation amortisation'!$D$9:$D$52,'3. Statement of pipeline assets'!C9,'3.3 Depreciation amortisation'!$I$9:$I$52)</f>
        <v>16484784.59</v>
      </c>
      <c r="E11" s="295">
        <v>85583.53</v>
      </c>
    </row>
    <row r="12" spans="2:5" x14ac:dyDescent="0.35">
      <c r="B12" s="387">
        <v>2.4</v>
      </c>
      <c r="C12" s="332" t="s">
        <v>486</v>
      </c>
      <c r="D12" s="300">
        <f>SUMIF('3.3 Depreciation amortisation'!$D$9:$D$52,'3. Statement of pipeline assets'!C9,'3.3 Depreciation amortisation'!$J$9:$J$52)</f>
        <v>214771.52</v>
      </c>
      <c r="E12" s="295">
        <v>214771.52</v>
      </c>
    </row>
    <row r="13" spans="2:5" x14ac:dyDescent="0.35">
      <c r="B13" s="159"/>
      <c r="C13" s="149" t="s">
        <v>141</v>
      </c>
      <c r="D13" s="300">
        <f>SUM(D10:D12)</f>
        <v>31664351.949999999</v>
      </c>
      <c r="E13" s="300">
        <f>SUM(E10:E12)</f>
        <v>15265150.889999999</v>
      </c>
    </row>
    <row r="14" spans="2:5" x14ac:dyDescent="0.35">
      <c r="B14" s="387">
        <v>2.4</v>
      </c>
      <c r="C14" s="332" t="s">
        <v>2</v>
      </c>
      <c r="D14" s="300">
        <f>SUMIF('3.3 Depreciation amortisation'!$D$9:$D$52,'3. Statement of pipeline assets'!C9,'3.3 Depreciation amortisation'!$M$9:$M$52)+SUMIF('3.3 Depreciation amortisation'!$D$9:$D$52,'3. Statement of pipeline assets'!C9,'3.3 Depreciation amortisation'!$N$9:$N$52)</f>
        <v>-2756233.3344641491</v>
      </c>
      <c r="E14" s="295">
        <v>-2461244.4987006309</v>
      </c>
    </row>
    <row r="15" spans="2:5" x14ac:dyDescent="0.35">
      <c r="B15" s="387">
        <v>2.4</v>
      </c>
      <c r="C15" s="332" t="s">
        <v>487</v>
      </c>
      <c r="D15" s="300">
        <f>SUMIF('3.3 Depreciation amortisation'!$D$9:$D$52,'3. Statement of pipeline assets'!C9,'3.3 Depreciation amortisation'!$K$9:$K$52)</f>
        <v>0</v>
      </c>
      <c r="E15" s="295">
        <v>0</v>
      </c>
    </row>
    <row r="16" spans="2:5" x14ac:dyDescent="0.35">
      <c r="B16" s="159"/>
      <c r="C16" s="149" t="s">
        <v>67</v>
      </c>
      <c r="D16" s="300">
        <f>SUM(D13:D15)</f>
        <v>28908118.615535852</v>
      </c>
      <c r="E16" s="300">
        <f>SUM(E13:E15)</f>
        <v>12803906.391299367</v>
      </c>
    </row>
    <row r="17" spans="1:5" ht="13.15" x14ac:dyDescent="0.4">
      <c r="B17" s="157"/>
      <c r="C17" s="146" t="s">
        <v>85</v>
      </c>
      <c r="D17" s="301"/>
      <c r="E17" s="302"/>
    </row>
    <row r="18" spans="1:5" x14ac:dyDescent="0.35">
      <c r="B18" s="387">
        <v>2.4</v>
      </c>
      <c r="C18" s="332" t="s">
        <v>488</v>
      </c>
      <c r="D18" s="300">
        <f>SUMIF('3.3 Depreciation amortisation'!$D$9:$D$52,'3. Statement of pipeline assets'!C17,'3.3 Depreciation amortisation'!$H$9:$H$52)</f>
        <v>0</v>
      </c>
      <c r="E18" s="303">
        <v>0</v>
      </c>
    </row>
    <row r="19" spans="1:5" x14ac:dyDescent="0.35">
      <c r="B19" s="387">
        <v>2.4</v>
      </c>
      <c r="C19" s="332" t="s">
        <v>74</v>
      </c>
      <c r="D19" s="300">
        <f>SUMIF('3.3 Depreciation amortisation'!$D$9:$D$52,'3. Statement of pipeline assets'!C17,'3.3 Depreciation amortisation'!$I$9:$I$52)</f>
        <v>33610378.890000001</v>
      </c>
      <c r="E19" s="303">
        <v>33610378.890000001</v>
      </c>
    </row>
    <row r="20" spans="1:5" x14ac:dyDescent="0.35">
      <c r="A20" s="213"/>
      <c r="B20" s="387">
        <v>2.4</v>
      </c>
      <c r="C20" s="332" t="s">
        <v>486</v>
      </c>
      <c r="D20" s="300">
        <f>SUMIF('3.3 Depreciation amortisation'!$D$9:$D$52,'3. Statement of pipeline assets'!C17,'3.3 Depreciation amortisation'!$J$9:$J$52)</f>
        <v>0</v>
      </c>
      <c r="E20" s="303">
        <v>0</v>
      </c>
    </row>
    <row r="21" spans="1:5" x14ac:dyDescent="0.35">
      <c r="B21" s="387">
        <v>2.4</v>
      </c>
      <c r="C21" s="332" t="s">
        <v>2</v>
      </c>
      <c r="D21" s="300">
        <f>SUMIF('3.3 Depreciation amortisation'!$D$9:$D$52,'3. Statement of pipeline assets'!C17,'3.3 Depreciation amortisation'!$M$9:$M$52)+SUMIF('3.3 Depreciation amortisation'!$D$9:$D$52,'3. Statement of pipeline assets'!C17,'3.3 Depreciation amortisation'!$N$9:$N$52)</f>
        <v>-2576999.0109015312</v>
      </c>
      <c r="E21" s="303">
        <v>-1617359.7583465297</v>
      </c>
    </row>
    <row r="22" spans="1:5" x14ac:dyDescent="0.35">
      <c r="B22" s="387">
        <v>2.4</v>
      </c>
      <c r="C22" s="332" t="s">
        <v>489</v>
      </c>
      <c r="D22" s="300">
        <f>SUMIF('3.3 Depreciation amortisation'!$D$9:$D$52,'3. Statement of pipeline assets'!C17,'3.3 Depreciation amortisation'!$K$9:$K$52)</f>
        <v>0</v>
      </c>
      <c r="E22" s="303">
        <v>0</v>
      </c>
    </row>
    <row r="23" spans="1:5" x14ac:dyDescent="0.35">
      <c r="B23" s="159"/>
      <c r="C23" s="149" t="s">
        <v>86</v>
      </c>
      <c r="D23" s="300">
        <f>SUM(D18:D22)</f>
        <v>31033379.879098468</v>
      </c>
      <c r="E23" s="300">
        <f>SUM(E18:E22)</f>
        <v>31993019.131653473</v>
      </c>
    </row>
    <row r="24" spans="1:5" ht="13.15" x14ac:dyDescent="0.4">
      <c r="B24" s="157"/>
      <c r="C24" s="146" t="s">
        <v>143</v>
      </c>
      <c r="D24" s="301"/>
      <c r="E24" s="302"/>
    </row>
    <row r="25" spans="1:5" x14ac:dyDescent="0.35">
      <c r="B25" s="387">
        <v>2.4</v>
      </c>
      <c r="C25" s="332" t="s">
        <v>488</v>
      </c>
      <c r="D25" s="300">
        <f>SUMIF('3.3 Depreciation amortisation'!$D$9:$D$52,'3. Statement of pipeline assets'!C24,'3.3 Depreciation amortisation'!$H$9:$H$52)</f>
        <v>0</v>
      </c>
      <c r="E25" s="303">
        <v>0</v>
      </c>
    </row>
    <row r="26" spans="1:5" x14ac:dyDescent="0.35">
      <c r="B26" s="387">
        <v>2.4</v>
      </c>
      <c r="C26" s="332" t="s">
        <v>74</v>
      </c>
      <c r="D26" s="300">
        <f>SUMIF('3.3 Depreciation amortisation'!$D$9:$D$52,'3. Statement of pipeline assets'!C24,'3.3 Depreciation amortisation'!$I$9:$I$52)</f>
        <v>3099080.66</v>
      </c>
      <c r="E26" s="303">
        <v>3099080.66</v>
      </c>
    </row>
    <row r="27" spans="1:5" x14ac:dyDescent="0.35">
      <c r="B27" s="387">
        <v>2.4</v>
      </c>
      <c r="C27" s="332" t="s">
        <v>486</v>
      </c>
      <c r="D27" s="300">
        <f>SUMIF('3.3 Depreciation amortisation'!$D$9:$D$52,'3. Statement of pipeline assets'!C24,'3.3 Depreciation amortisation'!$J$9:$J$52)</f>
        <v>0</v>
      </c>
      <c r="E27" s="303">
        <v>0</v>
      </c>
    </row>
    <row r="28" spans="1:5" x14ac:dyDescent="0.35">
      <c r="B28" s="387">
        <v>2.4</v>
      </c>
      <c r="C28" s="332" t="s">
        <v>2</v>
      </c>
      <c r="D28" s="300">
        <f>SUMIF('3.3 Depreciation amortisation'!$D$9:$D$52,'3. Statement of pipeline assets'!C24,'3.3 Depreciation amortisation'!$M$9:$M$52)+SUMIF('3.3 Depreciation amortisation'!$D$9:$D$52,'3. Statement of pipeline assets'!C24,'3.3 Depreciation amortisation'!$N$9:$N$52)</f>
        <v>-103656.27791212249</v>
      </c>
      <c r="E28" s="303">
        <v>-41717.088814244329</v>
      </c>
    </row>
    <row r="29" spans="1:5" x14ac:dyDescent="0.35">
      <c r="B29" s="387">
        <v>2.4</v>
      </c>
      <c r="C29" s="332" t="s">
        <v>489</v>
      </c>
      <c r="D29" s="300">
        <f>SUMIF('3.3 Depreciation amortisation'!$D$9:$D$52,'3. Statement of pipeline assets'!C24,'3.3 Depreciation amortisation'!$K$9:$K$52)</f>
        <v>0</v>
      </c>
      <c r="E29" s="303">
        <v>0</v>
      </c>
    </row>
    <row r="30" spans="1:5" x14ac:dyDescent="0.35">
      <c r="B30" s="159"/>
      <c r="C30" s="149" t="s">
        <v>144</v>
      </c>
      <c r="D30" s="300">
        <f>SUM(D25:D29)</f>
        <v>2995424.3820878775</v>
      </c>
      <c r="E30" s="300">
        <f>SUM(E25:E29)</f>
        <v>3057363.571185756</v>
      </c>
    </row>
    <row r="31" spans="1:5" ht="13.15" x14ac:dyDescent="0.4">
      <c r="B31" s="157"/>
      <c r="C31" s="146" t="s">
        <v>145</v>
      </c>
      <c r="D31" s="301"/>
      <c r="E31" s="302"/>
    </row>
    <row r="32" spans="1:5" x14ac:dyDescent="0.35">
      <c r="B32" s="387">
        <v>2.4</v>
      </c>
      <c r="C32" s="332" t="s">
        <v>488</v>
      </c>
      <c r="D32" s="300">
        <f>SUMIF('3.3 Depreciation amortisation'!$D$9:$D$52,'3. Statement of pipeline assets'!C31,'3.3 Depreciation amortisation'!$H$9:$H$52)</f>
        <v>0</v>
      </c>
      <c r="E32" s="303">
        <v>0</v>
      </c>
    </row>
    <row r="33" spans="2:5" x14ac:dyDescent="0.35">
      <c r="B33" s="387">
        <v>2.4</v>
      </c>
      <c r="C33" s="332" t="s">
        <v>74</v>
      </c>
      <c r="D33" s="300">
        <f>SUMIF('3.3 Depreciation amortisation'!$D$9:$D$52,'3. Statement of pipeline assets'!C31,'3.3 Depreciation amortisation'!$I$9:$I$52)</f>
        <v>1200317.0900000001</v>
      </c>
      <c r="E33" s="303">
        <v>1200317.0900000001</v>
      </c>
    </row>
    <row r="34" spans="2:5" x14ac:dyDescent="0.35">
      <c r="B34" s="387">
        <v>2.4</v>
      </c>
      <c r="C34" s="332" t="s">
        <v>486</v>
      </c>
      <c r="D34" s="300">
        <f>SUMIF('3.3 Depreciation amortisation'!$D$9:$D$52,'3. Statement of pipeline assets'!C31,'3.3 Depreciation amortisation'!$J$9:$J$52)</f>
        <v>0</v>
      </c>
      <c r="E34" s="303">
        <v>0</v>
      </c>
    </row>
    <row r="35" spans="2:5" x14ac:dyDescent="0.35">
      <c r="B35" s="387">
        <v>2.4</v>
      </c>
      <c r="C35" s="332" t="s">
        <v>2</v>
      </c>
      <c r="D35" s="300">
        <f>SUMIF('3.3 Depreciation amortisation'!$D$9:$D$52,'3. Statement of pipeline assets'!C31,'3.3 Depreciation amortisation'!$M$9:$M$52)+SUMIF('3.3 Depreciation amortisation'!$D$9:$D$52,'3. Statement of pipeline assets'!C31,'3.3 Depreciation amortisation'!$N$9:$N$52)</f>
        <v>-103036.64385928237</v>
      </c>
      <c r="E35" s="303">
        <v>-79046.733504730684</v>
      </c>
    </row>
    <row r="36" spans="2:5" x14ac:dyDescent="0.35">
      <c r="B36" s="387">
        <v>2.4</v>
      </c>
      <c r="C36" s="332" t="s">
        <v>489</v>
      </c>
      <c r="D36" s="300">
        <f>SUMIF('3.3 Depreciation amortisation'!$D$9:$D$52,'3. Statement of pipeline assets'!C31,'3.3 Depreciation amortisation'!$K$9:$K$52)</f>
        <v>0</v>
      </c>
      <c r="E36" s="303">
        <v>0</v>
      </c>
    </row>
    <row r="37" spans="2:5" x14ac:dyDescent="0.35">
      <c r="B37" s="159"/>
      <c r="C37" s="149" t="s">
        <v>146</v>
      </c>
      <c r="D37" s="300">
        <f>SUM(D32:D36)</f>
        <v>1097280.4461407177</v>
      </c>
      <c r="E37" s="300">
        <f>SUM(E32:E36)</f>
        <v>1121270.3564952693</v>
      </c>
    </row>
    <row r="38" spans="2:5" ht="13.15" x14ac:dyDescent="0.4">
      <c r="B38" s="157"/>
      <c r="C38" s="334" t="s">
        <v>490</v>
      </c>
      <c r="D38" s="301"/>
      <c r="E38" s="302"/>
    </row>
    <row r="39" spans="2:5" x14ac:dyDescent="0.35">
      <c r="B39" s="387">
        <v>2.4</v>
      </c>
      <c r="C39" s="332" t="s">
        <v>488</v>
      </c>
      <c r="D39" s="300">
        <f>SUMIF('3.3 Depreciation amortisation'!$D$9:$D$52,'3. Statement of pipeline assets'!C38,'3.3 Depreciation amortisation'!$H$9:$H$52)</f>
        <v>0</v>
      </c>
      <c r="E39" s="303">
        <v>0</v>
      </c>
    </row>
    <row r="40" spans="2:5" x14ac:dyDescent="0.35">
      <c r="B40" s="387">
        <v>2.4</v>
      </c>
      <c r="C40" s="332" t="s">
        <v>74</v>
      </c>
      <c r="D40" s="300">
        <f>SUMIF('3.3 Depreciation amortisation'!$D$9:$D$52,'3. Statement of pipeline assets'!C38,'3.3 Depreciation amortisation'!$I$9:$I$52)</f>
        <v>0</v>
      </c>
      <c r="E40" s="303">
        <v>0</v>
      </c>
    </row>
    <row r="41" spans="2:5" x14ac:dyDescent="0.35">
      <c r="B41" s="387">
        <v>2.4</v>
      </c>
      <c r="C41" s="332" t="s">
        <v>486</v>
      </c>
      <c r="D41" s="300">
        <f>SUMIF('3.3 Depreciation amortisation'!$D$9:$D$52,'3. Statement of pipeline assets'!C38,'3.3 Depreciation amortisation'!$J$9:$J$52)</f>
        <v>0</v>
      </c>
      <c r="E41" s="303">
        <v>0</v>
      </c>
    </row>
    <row r="42" spans="2:5" x14ac:dyDescent="0.35">
      <c r="B42" s="387">
        <v>2.4</v>
      </c>
      <c r="C42" s="332" t="s">
        <v>2</v>
      </c>
      <c r="D42" s="300">
        <f>SUMIF('3.3 Depreciation amortisation'!$D$9:$D$52,'3. Statement of pipeline assets'!C38,'3.3 Depreciation amortisation'!$M$9:$M$52)+SUMIF('3.3 Depreciation amortisation'!$D$9:$D$52,'3. Statement of pipeline assets'!C38,'3.3 Depreciation amortisation'!$N$9:$N$52)</f>
        <v>0</v>
      </c>
      <c r="E42" s="303">
        <v>0</v>
      </c>
    </row>
    <row r="43" spans="2:5" x14ac:dyDescent="0.35">
      <c r="B43" s="387">
        <v>2.4</v>
      </c>
      <c r="C43" s="332" t="s">
        <v>489</v>
      </c>
      <c r="D43" s="300">
        <f>SUMIF('3.3 Depreciation amortisation'!$D$9:$D$52,'3. Statement of pipeline assets'!C38,'3.3 Depreciation amortisation'!$K$9:$K$52)</f>
        <v>0</v>
      </c>
      <c r="E43" s="303">
        <v>0</v>
      </c>
    </row>
    <row r="44" spans="2:5" x14ac:dyDescent="0.35">
      <c r="B44" s="159"/>
      <c r="C44" s="333" t="s">
        <v>491</v>
      </c>
      <c r="D44" s="300">
        <f>SUM(D39:D43)</f>
        <v>0</v>
      </c>
      <c r="E44" s="300">
        <f>SUM(E39:E43)</f>
        <v>0</v>
      </c>
    </row>
    <row r="45" spans="2:5" ht="13.15" x14ac:dyDescent="0.4">
      <c r="B45" s="157"/>
      <c r="C45" s="146" t="s">
        <v>147</v>
      </c>
      <c r="D45" s="301"/>
      <c r="E45" s="302"/>
    </row>
    <row r="46" spans="2:5" x14ac:dyDescent="0.35">
      <c r="B46" s="387">
        <v>2.4</v>
      </c>
      <c r="C46" s="332" t="s">
        <v>488</v>
      </c>
      <c r="D46" s="300">
        <f>SUMIF('3.3 Depreciation amortisation'!$D$9:$D$52,'3. Statement of pipeline assets'!C45,'3.3 Depreciation amortisation'!$H$9:$H$52)</f>
        <v>0</v>
      </c>
      <c r="E46" s="303">
        <v>0</v>
      </c>
    </row>
    <row r="47" spans="2:5" x14ac:dyDescent="0.35">
      <c r="B47" s="387">
        <v>2.4</v>
      </c>
      <c r="C47" s="332" t="s">
        <v>74</v>
      </c>
      <c r="D47" s="300">
        <f>SUMIF('3.3 Depreciation amortisation'!$D$9:$D$52,'3. Statement of pipeline assets'!C45,'3.3 Depreciation amortisation'!$I$9:$I$52)</f>
        <v>46432.049999999996</v>
      </c>
      <c r="E47" s="303">
        <v>42209.34</v>
      </c>
    </row>
    <row r="48" spans="2:5" x14ac:dyDescent="0.35">
      <c r="B48" s="387">
        <v>2.4</v>
      </c>
      <c r="C48" s="332" t="s">
        <v>486</v>
      </c>
      <c r="D48" s="300">
        <f>SUMIF('3.3 Depreciation amortisation'!$D$9:$D$52,'3. Statement of pipeline assets'!C45,'3.3 Depreciation amortisation'!$J$9:$J$52)</f>
        <v>0</v>
      </c>
      <c r="E48" s="303">
        <v>0</v>
      </c>
    </row>
    <row r="49" spans="2:5" x14ac:dyDescent="0.35">
      <c r="B49" s="387">
        <v>2.4</v>
      </c>
      <c r="C49" s="332" t="s">
        <v>2</v>
      </c>
      <c r="D49" s="300">
        <f>SUMIF('3.3 Depreciation amortisation'!$D$9:$D$52,'3. Statement of pipeline assets'!C45,'3.3 Depreciation amortisation'!$M$9:$M$52)+SUMIF('3.3 Depreciation amortisation'!$D$9:$D$52,'3. Statement of pipeline assets'!C45,'3.3 Depreciation amortisation'!$N$9:$N$52)</f>
        <v>-4819.8025900068442</v>
      </c>
      <c r="E49" s="303">
        <v>-1864.4143791923341</v>
      </c>
    </row>
    <row r="50" spans="2:5" x14ac:dyDescent="0.35">
      <c r="B50" s="387">
        <v>2.4</v>
      </c>
      <c r="C50" s="332" t="s">
        <v>489</v>
      </c>
      <c r="D50" s="300">
        <f>SUMIF('3.3 Depreciation amortisation'!$D$9:$D$52,'3. Statement of pipeline assets'!C45,'3.3 Depreciation amortisation'!$K$9:$K$52)</f>
        <v>0</v>
      </c>
      <c r="E50" s="303">
        <v>0</v>
      </c>
    </row>
    <row r="51" spans="2:5" x14ac:dyDescent="0.35">
      <c r="B51" s="159"/>
      <c r="C51" s="149" t="s">
        <v>148</v>
      </c>
      <c r="D51" s="300">
        <f>SUM(D46:D50)</f>
        <v>41612.24740999315</v>
      </c>
      <c r="E51" s="300">
        <f>SUM(E46:E50)</f>
        <v>40344.925620807662</v>
      </c>
    </row>
    <row r="52" spans="2:5" ht="13.15" x14ac:dyDescent="0.4">
      <c r="B52" s="157"/>
      <c r="C52" s="146" t="s">
        <v>1</v>
      </c>
      <c r="D52" s="301"/>
      <c r="E52" s="302"/>
    </row>
    <row r="53" spans="2:5" x14ac:dyDescent="0.35">
      <c r="B53" s="387">
        <v>2.4</v>
      </c>
      <c r="C53" s="332" t="s">
        <v>488</v>
      </c>
      <c r="D53" s="300">
        <f>SUMIF('3.3 Depreciation amortisation'!$D$9:$D$52,'3. Statement of pipeline assets'!C52,'3.3 Depreciation amortisation'!$H$9:$H$52)</f>
        <v>0</v>
      </c>
      <c r="E53" s="303">
        <v>0</v>
      </c>
    </row>
    <row r="54" spans="2:5" x14ac:dyDescent="0.35">
      <c r="B54" s="387">
        <v>2.4</v>
      </c>
      <c r="C54" s="332" t="s">
        <v>74</v>
      </c>
      <c r="D54" s="300">
        <f>SUMIF('3.3 Depreciation amortisation'!$D$9:$D$52,'3. Statement of pipeline assets'!C52,'3.3 Depreciation amortisation'!$I$9:$I$52)</f>
        <v>442589.70999999996</v>
      </c>
      <c r="E54" s="303">
        <v>442589.70999999996</v>
      </c>
    </row>
    <row r="55" spans="2:5" x14ac:dyDescent="0.35">
      <c r="B55" s="387">
        <v>2.4</v>
      </c>
      <c r="C55" s="332" t="s">
        <v>486</v>
      </c>
      <c r="D55" s="300">
        <f>SUMIF('3.3 Depreciation amortisation'!$D$9:$D$52,'3. Statement of pipeline assets'!C52,'3.3 Depreciation amortisation'!$J$9:$J$52)</f>
        <v>0</v>
      </c>
      <c r="E55" s="303">
        <v>0</v>
      </c>
    </row>
    <row r="56" spans="2:5" x14ac:dyDescent="0.35">
      <c r="B56" s="387">
        <v>2.4</v>
      </c>
      <c r="C56" s="332" t="s">
        <v>2</v>
      </c>
      <c r="D56" s="300">
        <f>SUMIF('3.3 Depreciation amortisation'!$D$9:$D$52,'3. Statement of pipeline assets'!C52,'3.3 Depreciation amortisation'!$M$9:$M$52)+SUMIF('3.3 Depreciation amortisation'!$D$9:$D$52,'3. Statement of pipeline assets'!C52,'3.3 Depreciation amortisation'!$N$9:$N$52)</f>
        <v>-9194.1120455167693</v>
      </c>
      <c r="E56" s="303">
        <v>-3665.5273723477067</v>
      </c>
    </row>
    <row r="57" spans="2:5" x14ac:dyDescent="0.35">
      <c r="B57" s="387">
        <v>2.4</v>
      </c>
      <c r="C57" s="332" t="s">
        <v>489</v>
      </c>
      <c r="D57" s="300">
        <f>SUMIF('3.3 Depreciation amortisation'!$D$9:$D$52,'3. Statement of pipeline assets'!C52,'3.3 Depreciation amortisation'!$K$9:$K$52)</f>
        <v>0</v>
      </c>
      <c r="E57" s="303">
        <v>0</v>
      </c>
    </row>
    <row r="58" spans="2:5" x14ac:dyDescent="0.35">
      <c r="B58" s="159"/>
      <c r="C58" s="149" t="s">
        <v>88</v>
      </c>
      <c r="D58" s="300">
        <f>SUM(D53:D57)</f>
        <v>433395.59795448318</v>
      </c>
      <c r="E58" s="300">
        <f>SUM(E53:E57)</f>
        <v>438924.18262765225</v>
      </c>
    </row>
    <row r="59" spans="2:5" ht="13.15" x14ac:dyDescent="0.4">
      <c r="B59" s="157"/>
      <c r="C59" s="146" t="s">
        <v>149</v>
      </c>
      <c r="D59" s="301"/>
      <c r="E59" s="302"/>
    </row>
    <row r="60" spans="2:5" x14ac:dyDescent="0.35">
      <c r="B60" s="387">
        <v>2.4</v>
      </c>
      <c r="C60" s="332" t="s">
        <v>488</v>
      </c>
      <c r="D60" s="300">
        <f>SUMIF('3.3 Depreciation amortisation'!$D$9:$D$52,'3. Statement of pipeline assets'!C59,'3.3 Depreciation amortisation'!$H$9:$H$52)</f>
        <v>0</v>
      </c>
      <c r="E60" s="303">
        <v>0</v>
      </c>
    </row>
    <row r="61" spans="2:5" x14ac:dyDescent="0.35">
      <c r="B61" s="387">
        <v>2.4</v>
      </c>
      <c r="C61" s="332" t="s">
        <v>74</v>
      </c>
      <c r="D61" s="300">
        <f>SUMIF('3.3 Depreciation amortisation'!$D$9:$D$52,'3. Statement of pipeline assets'!C59,'3.3 Depreciation amortisation'!$I$9:$I$52)</f>
        <v>0</v>
      </c>
      <c r="E61" s="303">
        <v>0</v>
      </c>
    </row>
    <row r="62" spans="2:5" x14ac:dyDescent="0.35">
      <c r="B62" s="387">
        <v>2.4</v>
      </c>
      <c r="C62" s="332" t="s">
        <v>486</v>
      </c>
      <c r="D62" s="300">
        <f>SUMIF('3.3 Depreciation amortisation'!$D$9:$D$52,'3. Statement of pipeline assets'!C59,'3.3 Depreciation amortisation'!$J$9:$J$52)</f>
        <v>0</v>
      </c>
      <c r="E62" s="303">
        <v>0</v>
      </c>
    </row>
    <row r="63" spans="2:5" x14ac:dyDescent="0.35">
      <c r="B63" s="387">
        <v>2.4</v>
      </c>
      <c r="C63" s="332" t="s">
        <v>489</v>
      </c>
      <c r="D63" s="300">
        <f>SUMIF('3.3 Depreciation amortisation'!$D$9:$D$52,'3. Statement of pipeline assets'!C59,'3.3 Depreciation amortisation'!$K$9:$K$52)</f>
        <v>0</v>
      </c>
      <c r="E63" s="303">
        <v>0</v>
      </c>
    </row>
    <row r="64" spans="2:5" x14ac:dyDescent="0.35">
      <c r="B64" s="159"/>
      <c r="C64" s="149" t="s">
        <v>150</v>
      </c>
      <c r="D64" s="300">
        <f>SUM(D60:D63)</f>
        <v>0</v>
      </c>
      <c r="E64" s="300">
        <f>SUM(E60:E63)</f>
        <v>0</v>
      </c>
    </row>
    <row r="65" spans="2:5" ht="13.15" x14ac:dyDescent="0.4">
      <c r="B65" s="157"/>
      <c r="C65" s="146" t="s">
        <v>232</v>
      </c>
      <c r="D65" s="301"/>
      <c r="E65" s="302"/>
    </row>
    <row r="66" spans="2:5" x14ac:dyDescent="0.35">
      <c r="B66" s="387">
        <v>2.4</v>
      </c>
      <c r="C66" s="332" t="s">
        <v>488</v>
      </c>
      <c r="D66" s="300">
        <f>SUMIF('3.3 Depreciation amortisation'!$D$9:$D$52,'3. Statement of pipeline assets'!C65,'3.3 Depreciation amortisation'!$H$9:$H$52)</f>
        <v>0</v>
      </c>
      <c r="E66" s="303">
        <v>0</v>
      </c>
    </row>
    <row r="67" spans="2:5" x14ac:dyDescent="0.35">
      <c r="B67" s="387">
        <v>2.4</v>
      </c>
      <c r="C67" s="332" t="s">
        <v>74</v>
      </c>
      <c r="D67" s="300">
        <f>SUMIF('3.3 Depreciation amortisation'!$D$9:$D$52,'3. Statement of pipeline assets'!C65,'3.3 Depreciation amortisation'!$I$9:$I$52)</f>
        <v>1022067.9199999999</v>
      </c>
      <c r="E67" s="303">
        <v>950382.65999999992</v>
      </c>
    </row>
    <row r="68" spans="2:5" x14ac:dyDescent="0.35">
      <c r="B68" s="387">
        <v>2.4</v>
      </c>
      <c r="C68" s="332" t="s">
        <v>486</v>
      </c>
      <c r="D68" s="300">
        <f>SUMIF('3.3 Depreciation amortisation'!$D$9:$D$52,'3. Statement of pipeline assets'!C65,'3.3 Depreciation amortisation'!$J$9:$J$52)</f>
        <v>0</v>
      </c>
      <c r="E68" s="303">
        <v>0</v>
      </c>
    </row>
    <row r="69" spans="2:5" x14ac:dyDescent="0.35">
      <c r="B69" s="387">
        <v>2.4</v>
      </c>
      <c r="C69" s="332" t="s">
        <v>2</v>
      </c>
      <c r="D69" s="300">
        <f>SUMIF('3.3 Depreciation amortisation'!$D$9:$D$52,'3. Statement of pipeline assets'!C65,'3.3 Depreciation amortisation'!$M$9:$M$52)+SUMIF('3.3 Depreciation amortisation'!$D$9:$D$52,'3. Statement of pipeline assets'!C65,'3.3 Depreciation amortisation'!$N$9:$N$52)</f>
        <v>-54527.653974604793</v>
      </c>
      <c r="E69" s="303">
        <v>-25291.003887335799</v>
      </c>
    </row>
    <row r="70" spans="2:5" x14ac:dyDescent="0.35">
      <c r="B70" s="387">
        <v>2.4</v>
      </c>
      <c r="C70" s="332" t="s">
        <v>489</v>
      </c>
      <c r="D70" s="300">
        <f>SUMIF('3.3 Depreciation amortisation'!$D$9:$D$52,'3. Statement of pipeline assets'!C65,'3.3 Depreciation amortisation'!$K$9:$K$52)</f>
        <v>0</v>
      </c>
      <c r="E70" s="303">
        <v>0</v>
      </c>
    </row>
    <row r="71" spans="2:5" x14ac:dyDescent="0.35">
      <c r="B71" s="159"/>
      <c r="C71" s="333" t="s">
        <v>233</v>
      </c>
      <c r="D71" s="300">
        <f>SUM(D66:D70)</f>
        <v>967540.26602539513</v>
      </c>
      <c r="E71" s="300">
        <f>SUM(E66:E70)</f>
        <v>925091.65611266415</v>
      </c>
    </row>
    <row r="72" spans="2:5" ht="13.15" x14ac:dyDescent="0.4">
      <c r="B72" s="157"/>
      <c r="C72" s="146" t="s">
        <v>311</v>
      </c>
      <c r="D72" s="301"/>
      <c r="E72" s="302"/>
    </row>
    <row r="73" spans="2:5" x14ac:dyDescent="0.35">
      <c r="B73" s="387">
        <v>2.4</v>
      </c>
      <c r="C73" s="332" t="s">
        <v>488</v>
      </c>
      <c r="D73" s="300">
        <f>SUMIF('3.3 Depreciation amortisation'!$D$9:$D$52,'3. Statement of pipeline assets'!C72,'3.3 Depreciation amortisation'!$H$9:$H$52)</f>
        <v>30992.143599999999</v>
      </c>
      <c r="E73" s="303">
        <v>30992.143599999999</v>
      </c>
    </row>
    <row r="74" spans="2:5" x14ac:dyDescent="0.35">
      <c r="B74" s="387">
        <v>2.4</v>
      </c>
      <c r="C74" s="332" t="s">
        <v>74</v>
      </c>
      <c r="D74" s="300">
        <f>SUMIF('3.3 Depreciation amortisation'!$D$9:$D$52,'3. Statement of pipeline assets'!C72,'3.3 Depreciation amortisation'!$I$9:$I$52)</f>
        <v>-1135.0855999999999</v>
      </c>
      <c r="E74" s="303">
        <v>0</v>
      </c>
    </row>
    <row r="75" spans="2:5" x14ac:dyDescent="0.35">
      <c r="B75" s="387">
        <v>2.4</v>
      </c>
      <c r="C75" s="332" t="s">
        <v>486</v>
      </c>
      <c r="D75" s="300">
        <f>SUMIF('3.3 Depreciation amortisation'!$D$9:$D$52,'3. Statement of pipeline assets'!C72,'3.3 Depreciation amortisation'!$J$9:$J$52)</f>
        <v>0</v>
      </c>
      <c r="E75" s="303">
        <v>0</v>
      </c>
    </row>
    <row r="76" spans="2:5" x14ac:dyDescent="0.35">
      <c r="B76" s="387">
        <v>2.4</v>
      </c>
      <c r="C76" s="332" t="s">
        <v>492</v>
      </c>
      <c r="D76" s="300">
        <f>SUMIF('3.3 Depreciation amortisation'!$D$9:$D$52,'3. Statement of pipeline assets'!C72,'3.3 Depreciation amortisation'!$M$9:$M$52)+SUMIF('3.3 Depreciation amortisation'!$D$9:$D$52,'3. Statement of pipeline assets'!C72,'3.3 Depreciation amortisation'!$N$9:$N$52)</f>
        <v>-27874.488400000002</v>
      </c>
      <c r="E76" s="303">
        <v>-14304.1008</v>
      </c>
    </row>
    <row r="77" spans="2:5" x14ac:dyDescent="0.35">
      <c r="B77" s="387">
        <v>2.4</v>
      </c>
      <c r="C77" s="332" t="s">
        <v>489</v>
      </c>
      <c r="D77" s="300">
        <f>SUMIF('3.3 Depreciation amortisation'!$D$9:$D$52,'3. Statement of pipeline assets'!C72,'3.3 Depreciation amortisation'!$K$9:$K$52)</f>
        <v>0</v>
      </c>
      <c r="E77" s="303">
        <v>0</v>
      </c>
    </row>
    <row r="78" spans="2:5" x14ac:dyDescent="0.35">
      <c r="B78" s="159"/>
      <c r="C78" s="149" t="s">
        <v>312</v>
      </c>
      <c r="D78" s="300">
        <f>SUM(D73:D77)</f>
        <v>1982.5695999999989</v>
      </c>
      <c r="E78" s="300">
        <f>SUM(E73:E77)</f>
        <v>16688.042799999999</v>
      </c>
    </row>
    <row r="79" spans="2:5" ht="13.15" x14ac:dyDescent="0.4">
      <c r="B79" s="387">
        <v>2.4</v>
      </c>
      <c r="C79" s="146" t="s">
        <v>151</v>
      </c>
      <c r="D79" s="303">
        <v>6891119.2999999989</v>
      </c>
      <c r="E79" s="303">
        <v>11340386.49</v>
      </c>
    </row>
    <row r="80" spans="2:5" ht="13.15" x14ac:dyDescent="0.4">
      <c r="B80" s="159"/>
      <c r="C80" s="335" t="s">
        <v>78</v>
      </c>
      <c r="D80" s="300">
        <f>SUM(D16,D23,D30,D37,D44,D51,D58,D64,D71,D78, D79)</f>
        <v>72369853.303852782</v>
      </c>
      <c r="E80" s="300">
        <f>SUM(E16,E23,E30,E37,E44,E51,E58,E64,E71,E78, E79)</f>
        <v>61736994.747794993</v>
      </c>
    </row>
    <row r="81" spans="2:5" ht="13.15" x14ac:dyDescent="0.35">
      <c r="B81" s="215"/>
      <c r="C81" s="331" t="s">
        <v>493</v>
      </c>
      <c r="D81" s="304"/>
      <c r="E81" s="304"/>
    </row>
    <row r="82" spans="2:5" ht="13.15" x14ac:dyDescent="0.4">
      <c r="B82" s="157"/>
      <c r="C82" s="336" t="s">
        <v>432</v>
      </c>
      <c r="D82" s="301"/>
      <c r="E82" s="302"/>
    </row>
    <row r="83" spans="2:5" x14ac:dyDescent="0.35">
      <c r="B83" s="387" t="s">
        <v>569</v>
      </c>
      <c r="C83" s="332" t="s">
        <v>488</v>
      </c>
      <c r="D83" s="300">
        <f>SUMIF('3.3 Depreciation amortisation'!$D$60:$D$77,$C$82,'3.3 Depreciation amortisation'!$G$60:$G$77)</f>
        <v>1204642.5249219562</v>
      </c>
      <c r="E83" s="303">
        <v>1015048.4509603068</v>
      </c>
    </row>
    <row r="84" spans="2:5" x14ac:dyDescent="0.35">
      <c r="B84" s="387" t="s">
        <v>569</v>
      </c>
      <c r="C84" s="332" t="s">
        <v>74</v>
      </c>
      <c r="D84" s="300">
        <f>SUMIF('3.3 Depreciation amortisation'!$D$60:$D$77,$C$82,'3.3 Depreciation amortisation'!$H$60:$H$77)</f>
        <v>0</v>
      </c>
      <c r="E84" s="303">
        <v>0</v>
      </c>
    </row>
    <row r="85" spans="2:5" x14ac:dyDescent="0.35">
      <c r="B85" s="387" t="s">
        <v>569</v>
      </c>
      <c r="C85" s="332" t="s">
        <v>486</v>
      </c>
      <c r="D85" s="300">
        <f>SUMIF('3.3 Depreciation amortisation'!$D$60:$D$77,$C$82,'3.3 Depreciation amortisation'!$I$60:$I$77)</f>
        <v>0</v>
      </c>
      <c r="E85" s="303">
        <v>0</v>
      </c>
    </row>
    <row r="86" spans="2:5" x14ac:dyDescent="0.35">
      <c r="B86" s="387" t="s">
        <v>569</v>
      </c>
      <c r="C86" s="332" t="s">
        <v>2</v>
      </c>
      <c r="D86" s="300">
        <f>SUMIF('3.3 Depreciation amortisation'!$D$60:$D$77,$C$82,'3.3 Depreciation amortisation'!$L$60:$L$77)+SUMIF('3.3 Depreciation amortisation'!$D$60:$D$77,$C$82,'3.3 Depreciation amortisation'!$M$60:$M$77)</f>
        <v>-546265.846847362</v>
      </c>
      <c r="E86" s="303">
        <v>-392145.70061294857</v>
      </c>
    </row>
    <row r="87" spans="2:5" x14ac:dyDescent="0.35">
      <c r="B87" s="387" t="s">
        <v>569</v>
      </c>
      <c r="C87" s="332" t="s">
        <v>489</v>
      </c>
      <c r="D87" s="300">
        <f>SUMIF('3.3 Depreciation amortisation'!$D$60:$D$77,$C$82,'3.3 Depreciation amortisation'!$J$60:$J$77)</f>
        <v>-65414.865536153731</v>
      </c>
      <c r="E87" s="303">
        <v>-53543.188579733673</v>
      </c>
    </row>
    <row r="88" spans="2:5" x14ac:dyDescent="0.35">
      <c r="B88" s="159"/>
      <c r="C88" s="149" t="s">
        <v>551</v>
      </c>
      <c r="D88" s="300">
        <f>SUM(D83:D87)</f>
        <v>592961.81253844046</v>
      </c>
      <c r="E88" s="300">
        <f>SUM(E83:E87)</f>
        <v>569359.56176762446</v>
      </c>
    </row>
    <row r="89" spans="2:5" ht="13.15" x14ac:dyDescent="0.4">
      <c r="B89" s="157"/>
      <c r="C89" s="146" t="s">
        <v>313</v>
      </c>
      <c r="D89" s="301"/>
      <c r="E89" s="302"/>
    </row>
    <row r="90" spans="2:5" x14ac:dyDescent="0.35">
      <c r="B90" s="387" t="s">
        <v>569</v>
      </c>
      <c r="C90" s="332" t="s">
        <v>488</v>
      </c>
      <c r="D90" s="300">
        <f>SUMIF('3.3 Depreciation amortisation'!$D$60:$D$77,$C$89,'3.3 Depreciation amortisation'!$G$60:$G$77)</f>
        <v>172034.61822661289</v>
      </c>
      <c r="E90" s="303">
        <v>172034.61822661289</v>
      </c>
    </row>
    <row r="91" spans="2:5" x14ac:dyDescent="0.35">
      <c r="B91" s="387" t="s">
        <v>569</v>
      </c>
      <c r="C91" s="332" t="s">
        <v>74</v>
      </c>
      <c r="D91" s="300">
        <f>SUMIF('3.3 Depreciation amortisation'!$D$60:$D$77,$C$89,'3.3 Depreciation amortisation'!$H$60:$H$77)</f>
        <v>125927.29674486918</v>
      </c>
      <c r="E91" s="303">
        <v>66031.526328047679</v>
      </c>
    </row>
    <row r="92" spans="2:5" x14ac:dyDescent="0.35">
      <c r="B92" s="387" t="s">
        <v>569</v>
      </c>
      <c r="C92" s="332" t="s">
        <v>486</v>
      </c>
      <c r="D92" s="300">
        <f>SUMIF('3.3 Depreciation amortisation'!$D$60:$D$77,$C$89,'3.3 Depreciation amortisation'!$I$60:$I$77)</f>
        <v>0</v>
      </c>
      <c r="E92" s="303">
        <v>0</v>
      </c>
    </row>
    <row r="93" spans="2:5" x14ac:dyDescent="0.35">
      <c r="B93" s="387" t="s">
        <v>569</v>
      </c>
      <c r="C93" s="332" t="s">
        <v>494</v>
      </c>
      <c r="D93" s="300">
        <f>SUMIF('3.3 Depreciation amortisation'!$D$60:$D$77,$C$89,'3.3 Depreciation amortisation'!$L$60:$L$77)+SUMIF('3.3 Depreciation amortisation'!$D$60:$D$77,$C$89,'3.3 Depreciation amortisation'!$M$60:$M$77)</f>
        <v>-118357.87789276082</v>
      </c>
      <c r="E93" s="303">
        <v>-54371.894368640424</v>
      </c>
    </row>
    <row r="94" spans="2:5" x14ac:dyDescent="0.35">
      <c r="B94" s="387" t="s">
        <v>569</v>
      </c>
      <c r="C94" s="332" t="s">
        <v>489</v>
      </c>
      <c r="D94" s="300">
        <f>SUMIF('3.3 Depreciation amortisation'!$D$60:$D$77,$C$89,'3.3 Depreciation amortisation'!$J$60:$J$77)</f>
        <v>-8940.7500407314728</v>
      </c>
      <c r="E94" s="303">
        <v>-189.10444201108203</v>
      </c>
    </row>
    <row r="95" spans="2:5" x14ac:dyDescent="0.35">
      <c r="B95" s="159"/>
      <c r="C95" s="333" t="s">
        <v>495</v>
      </c>
      <c r="D95" s="300">
        <f>SUM(D90:D94)</f>
        <v>170663.28703798976</v>
      </c>
      <c r="E95" s="300">
        <f>SUM(E90:E94)</f>
        <v>183505.14574400909</v>
      </c>
    </row>
    <row r="96" spans="2:5" ht="13.15" x14ac:dyDescent="0.4">
      <c r="B96" s="158"/>
      <c r="C96" s="146" t="s">
        <v>121</v>
      </c>
      <c r="D96" s="303">
        <v>0</v>
      </c>
      <c r="E96" s="303">
        <v>0</v>
      </c>
    </row>
    <row r="97" spans="2:5" ht="13.15" x14ac:dyDescent="0.4">
      <c r="B97" s="158"/>
      <c r="C97" s="146" t="s">
        <v>122</v>
      </c>
      <c r="D97" s="303">
        <v>0</v>
      </c>
      <c r="E97" s="303">
        <v>0</v>
      </c>
    </row>
    <row r="98" spans="2:5" ht="13.15" x14ac:dyDescent="0.4">
      <c r="B98" s="158"/>
      <c r="C98" s="146" t="s">
        <v>68</v>
      </c>
      <c r="D98" s="303">
        <v>0</v>
      </c>
      <c r="E98" s="303">
        <v>0</v>
      </c>
    </row>
    <row r="99" spans="2:5" ht="13.15" x14ac:dyDescent="0.4">
      <c r="B99" s="159"/>
      <c r="C99" s="335" t="s">
        <v>123</v>
      </c>
      <c r="D99" s="300">
        <f>SUM(D88,D95:D98)</f>
        <v>763625.09957643016</v>
      </c>
      <c r="E99" s="300">
        <f>SUM(E88,E95:E98)</f>
        <v>752864.70751163352</v>
      </c>
    </row>
    <row r="100" spans="2:5" ht="13.15" x14ac:dyDescent="0.4">
      <c r="B100" s="159"/>
      <c r="C100" s="149" t="s">
        <v>24</v>
      </c>
      <c r="D100" s="305">
        <f>SUM(D80,D99)</f>
        <v>73133478.40342921</v>
      </c>
      <c r="E100" s="305">
        <f>SUM(E80,E99)</f>
        <v>62489859.455306627</v>
      </c>
    </row>
  </sheetData>
  <mergeCells count="2">
    <mergeCell ref="B1:C1"/>
    <mergeCell ref="B5:C5"/>
  </mergeCells>
  <phoneticPr fontId="35"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9765625" style="34" customWidth="1"/>
    <col min="5" max="5" width="20.1328125" style="34" customWidth="1"/>
    <col min="6" max="6" width="42.1328125" style="34" customWidth="1"/>
    <col min="7" max="7" width="9.3984375" style="34" customWidth="1"/>
    <col min="8" max="8" width="25.1328125" style="34" customWidth="1"/>
    <col min="9" max="16384" width="9.1328125" style="34"/>
  </cols>
  <sheetData>
    <row r="1" spans="2:6" ht="20.65" x14ac:dyDescent="0.6">
      <c r="B1" s="35" t="s">
        <v>140</v>
      </c>
      <c r="C1" s="35"/>
      <c r="D1" s="21"/>
      <c r="E1" s="21"/>
    </row>
    <row r="2" spans="2:6" ht="20.65" x14ac:dyDescent="0.6">
      <c r="B2" s="51" t="str">
        <f>Tradingname</f>
        <v>APA OPERATIONS PTY LIMITED</v>
      </c>
      <c r="C2" s="52"/>
      <c r="D2" s="35"/>
      <c r="E2" s="35"/>
    </row>
    <row r="3" spans="2:6" ht="13.9" x14ac:dyDescent="0.4">
      <c r="B3" s="53" t="s">
        <v>239</v>
      </c>
      <c r="C3" s="54" t="str">
        <f>TEXT(Yearstart,"dd/mm/yyyy")&amp;" to "&amp;TEXT(Yearending,"dd/mm/yyyy")</f>
        <v>01/07/2020 to 30/06/2021</v>
      </c>
    </row>
    <row r="5" spans="2:6" ht="15" x14ac:dyDescent="0.4">
      <c r="B5" s="38" t="s">
        <v>211</v>
      </c>
      <c r="C5" s="36"/>
      <c r="D5" s="36"/>
      <c r="E5" s="36"/>
    </row>
    <row r="6" spans="2:6" ht="15" x14ac:dyDescent="0.4">
      <c r="B6" s="38"/>
      <c r="C6" s="36"/>
      <c r="D6" s="36"/>
      <c r="E6" s="36"/>
    </row>
    <row r="7" spans="2:6" ht="40.5" customHeight="1" x14ac:dyDescent="0.35">
      <c r="B7" s="110" t="s">
        <v>222</v>
      </c>
      <c r="C7" s="110" t="s">
        <v>125</v>
      </c>
      <c r="D7" s="110" t="s">
        <v>71</v>
      </c>
      <c r="E7" s="110" t="s">
        <v>126</v>
      </c>
      <c r="F7" s="119" t="s">
        <v>128</v>
      </c>
    </row>
    <row r="8" spans="2:6" ht="13.15" x14ac:dyDescent="0.4">
      <c r="B8" s="112"/>
      <c r="C8" s="112"/>
      <c r="D8" s="116"/>
      <c r="E8" s="120" t="s">
        <v>127</v>
      </c>
      <c r="F8" s="121"/>
    </row>
    <row r="9" spans="2:6" x14ac:dyDescent="0.35">
      <c r="B9" s="387">
        <v>2.4</v>
      </c>
      <c r="C9" s="192" t="str">
        <f>'3. Statement of pipeline assets'!C9</f>
        <v>Pipelines</v>
      </c>
      <c r="D9" s="191" t="str">
        <f>CONCATENATE("2/7/2007"," to ",TEXT(Yearending,"d/m/yyyy"))</f>
        <v>2/7/2007 to 30/6/2021</v>
      </c>
      <c r="E9" s="357">
        <v>80</v>
      </c>
      <c r="F9" s="270" t="s">
        <v>600</v>
      </c>
    </row>
    <row r="10" spans="2:6" x14ac:dyDescent="0.35">
      <c r="B10" s="387">
        <v>2.4</v>
      </c>
      <c r="C10" s="192" t="str">
        <f>'3. Statement of pipeline assets'!C17</f>
        <v>Compressors</v>
      </c>
      <c r="D10" s="191" t="str">
        <f>CONCATENATE("24/10/2018"," to ",TEXT(Yearending,"d/m/yyyy"))</f>
        <v>24/10/2018 to 30/6/2021</v>
      </c>
      <c r="E10" s="357">
        <v>35</v>
      </c>
      <c r="F10" s="270" t="s">
        <v>600</v>
      </c>
    </row>
    <row r="11" spans="2:6" x14ac:dyDescent="0.35">
      <c r="B11" s="387">
        <v>2.4</v>
      </c>
      <c r="C11" s="192" t="str">
        <f>'3. Statement of pipeline assets'!C24</f>
        <v>City Gates, supply regulators and valve stations</v>
      </c>
      <c r="D11" s="191" t="str">
        <f>CONCATENATE("1/6/2017"," to ",TEXT(Yearending,"d/m/yyyy"))</f>
        <v>1/6/2017 to 30/6/2021</v>
      </c>
      <c r="E11" s="357">
        <v>50</v>
      </c>
      <c r="F11" s="270" t="s">
        <v>600</v>
      </c>
    </row>
    <row r="12" spans="2:6" x14ac:dyDescent="0.35">
      <c r="B12" s="387">
        <v>2.4</v>
      </c>
      <c r="C12" s="192" t="str">
        <f>'3. Statement of pipeline assets'!C31</f>
        <v>Metering</v>
      </c>
      <c r="D12" s="191" t="str">
        <f>CONCATENATE("1/2/2015"," to ",TEXT(Yearending,"d/m/yyyy"))</f>
        <v>1/2/2015 to 30/6/2021</v>
      </c>
      <c r="E12" s="357">
        <v>50</v>
      </c>
      <c r="F12" s="270" t="s">
        <v>600</v>
      </c>
    </row>
    <row r="13" spans="2:6" x14ac:dyDescent="0.35">
      <c r="B13" s="387">
        <v>2.4</v>
      </c>
      <c r="C13" s="192" t="str">
        <f>'3. Statement of pipeline assets'!C38</f>
        <v>Odorant plants</v>
      </c>
      <c r="D13" s="191"/>
      <c r="E13" s="357">
        <v>80</v>
      </c>
      <c r="F13" s="270" t="s">
        <v>600</v>
      </c>
    </row>
    <row r="14" spans="2:6" x14ac:dyDescent="0.35">
      <c r="B14" s="387">
        <v>2.4</v>
      </c>
      <c r="C14" s="192" t="str">
        <f>'3. Statement of pipeline assets'!C45</f>
        <v>SCADA (Communications)</v>
      </c>
      <c r="D14" s="191" t="str">
        <f>CONCATENATE("31/8/2019"," to ",TEXT(Yearending,"d/m/yyyy"))</f>
        <v>31/8/2019 to 30/6/2021</v>
      </c>
      <c r="E14" s="357">
        <v>15</v>
      </c>
      <c r="F14" s="270" t="s">
        <v>600</v>
      </c>
    </row>
    <row r="15" spans="2:6" x14ac:dyDescent="0.35">
      <c r="B15" s="387">
        <v>2.4</v>
      </c>
      <c r="C15" s="192" t="str">
        <f>'3. Statement of pipeline assets'!C52</f>
        <v>Buildings</v>
      </c>
      <c r="D15" s="191" t="str">
        <f>CONCATENATE("31/8/2019"," to ",TEXT(Yearending,"d/m/yyyy"))</f>
        <v>31/8/2019 to 30/6/2021</v>
      </c>
      <c r="E15" s="357">
        <v>80</v>
      </c>
      <c r="F15" s="270" t="s">
        <v>600</v>
      </c>
    </row>
    <row r="16" spans="2:6" x14ac:dyDescent="0.35">
      <c r="B16" s="387">
        <v>2.4</v>
      </c>
      <c r="C16" s="192" t="str">
        <f>'3. Statement of pipeline assets'!C65</f>
        <v>Other depreciable pipeline assets</v>
      </c>
      <c r="D16" s="191" t="str">
        <f>CONCATENATE("24/10/2018"," to ",TEXT(Yearending,"d/m/yyyy"))</f>
        <v>24/10/2018 to 30/6/2021</v>
      </c>
      <c r="E16" s="357" t="s">
        <v>564</v>
      </c>
      <c r="F16" s="270" t="s">
        <v>600</v>
      </c>
    </row>
    <row r="17" spans="2:6" x14ac:dyDescent="0.35">
      <c r="B17" s="387">
        <v>2.4</v>
      </c>
      <c r="C17" s="150" t="s">
        <v>149</v>
      </c>
      <c r="D17" s="191"/>
      <c r="E17" s="357" t="s">
        <v>565</v>
      </c>
      <c r="F17" s="270" t="s">
        <v>601</v>
      </c>
    </row>
    <row r="18" spans="2:6" x14ac:dyDescent="0.35">
      <c r="B18" s="358"/>
      <c r="C18" s="150" t="s">
        <v>210</v>
      </c>
      <c r="D18" s="191"/>
      <c r="E18" s="357"/>
      <c r="F18" s="270"/>
    </row>
    <row r="19" spans="2:6" x14ac:dyDescent="0.35">
      <c r="B19" s="358"/>
      <c r="C19" s="150" t="s">
        <v>210</v>
      </c>
      <c r="D19" s="191"/>
      <c r="E19" s="357"/>
      <c r="F19" s="270"/>
    </row>
    <row r="20" spans="2:6" x14ac:dyDescent="0.35">
      <c r="B20" s="358"/>
      <c r="C20" s="150" t="s">
        <v>210</v>
      </c>
      <c r="D20" s="191"/>
      <c r="E20" s="357"/>
      <c r="F20" s="270"/>
    </row>
    <row r="21" spans="2:6" x14ac:dyDescent="0.35">
      <c r="B21" s="387" t="s">
        <v>568</v>
      </c>
      <c r="C21" s="192" t="str">
        <f>'3. Statement of pipeline assets'!C72</f>
        <v>Leased Assets</v>
      </c>
      <c r="D21" s="191" t="str">
        <f>CONCATENATE("1/7/2019"," to ",TEXT(Yearending,"d/m/yyyy"))</f>
        <v>1/7/2019 to 30/6/2021</v>
      </c>
      <c r="E21" s="357" t="s">
        <v>566</v>
      </c>
      <c r="F21" s="270" t="s">
        <v>567</v>
      </c>
    </row>
    <row r="22" spans="2:6" x14ac:dyDescent="0.35">
      <c r="B22" s="358"/>
      <c r="C22" s="150" t="s">
        <v>210</v>
      </c>
      <c r="D22" s="191"/>
      <c r="E22" s="357"/>
      <c r="F22" s="270"/>
    </row>
    <row r="23" spans="2:6" x14ac:dyDescent="0.35">
      <c r="B23" s="358"/>
      <c r="C23" s="150" t="s">
        <v>210</v>
      </c>
      <c r="D23" s="191"/>
      <c r="E23" s="357"/>
      <c r="F23" s="270"/>
    </row>
    <row r="24" spans="2:6" x14ac:dyDescent="0.35">
      <c r="B24" s="358"/>
      <c r="C24" s="150" t="s">
        <v>210</v>
      </c>
      <c r="D24" s="191"/>
      <c r="E24" s="357"/>
      <c r="F24" s="270"/>
    </row>
    <row r="25" spans="2:6" x14ac:dyDescent="0.35">
      <c r="B25" s="358"/>
      <c r="C25" s="150" t="s">
        <v>210</v>
      </c>
      <c r="D25" s="191"/>
      <c r="E25" s="357"/>
      <c r="F25" s="270"/>
    </row>
    <row r="26" spans="2:6" x14ac:dyDescent="0.35">
      <c r="B26" s="387"/>
      <c r="C26" s="150" t="s">
        <v>210</v>
      </c>
      <c r="D26" s="191"/>
      <c r="E26" s="357"/>
      <c r="F26" s="270"/>
    </row>
    <row r="27" spans="2:6" x14ac:dyDescent="0.35">
      <c r="B27" s="387">
        <v>2.4</v>
      </c>
      <c r="C27" s="192" t="str">
        <f>'3. Statement of pipeline assets'!C82</f>
        <v>Shared property, plant and equipment</v>
      </c>
      <c r="D27" s="191" t="str">
        <f>CONCATENATE("1/12/2015"," to ",TEXT(Yearending,"d/m/yyyy"))</f>
        <v>1/12/2015 to 30/6/2021</v>
      </c>
      <c r="E27" s="357">
        <v>5</v>
      </c>
      <c r="F27" s="270" t="s">
        <v>600</v>
      </c>
    </row>
    <row r="28" spans="2:6" x14ac:dyDescent="0.35">
      <c r="B28" s="358"/>
      <c r="C28" s="150" t="s">
        <v>210</v>
      </c>
      <c r="D28" s="191"/>
      <c r="E28" s="357"/>
      <c r="F28" s="270"/>
    </row>
    <row r="29" spans="2:6" x14ac:dyDescent="0.35">
      <c r="B29" s="358"/>
      <c r="C29" s="150" t="s">
        <v>210</v>
      </c>
      <c r="D29" s="191"/>
      <c r="E29" s="357"/>
      <c r="F29" s="270"/>
    </row>
    <row r="30" spans="2:6" x14ac:dyDescent="0.35">
      <c r="B30" s="358"/>
      <c r="C30" s="150" t="s">
        <v>210</v>
      </c>
      <c r="D30" s="191"/>
      <c r="E30" s="357"/>
      <c r="F30" s="270"/>
    </row>
    <row r="31" spans="2:6" x14ac:dyDescent="0.35">
      <c r="B31" s="358"/>
      <c r="C31" s="150" t="s">
        <v>210</v>
      </c>
      <c r="D31" s="191"/>
      <c r="E31" s="357"/>
      <c r="F31" s="270"/>
    </row>
    <row r="32" spans="2:6" x14ac:dyDescent="0.35">
      <c r="B32" s="387"/>
      <c r="C32" s="150" t="s">
        <v>210</v>
      </c>
      <c r="D32" s="191"/>
      <c r="E32" s="357"/>
      <c r="F32" s="270"/>
    </row>
    <row r="33" spans="2:6" x14ac:dyDescent="0.35">
      <c r="B33" s="387" t="s">
        <v>569</v>
      </c>
      <c r="C33" s="192" t="str">
        <f>'3. Statement of pipeline assets'!C89</f>
        <v>Shared leased assets</v>
      </c>
      <c r="D33" s="191" t="str">
        <f>CONCATENATE("1/7/2019"," to ",TEXT(Yearending,"d/m/yyyy"))</f>
        <v>1/7/2019 to 30/6/2021</v>
      </c>
      <c r="E33" s="357" t="s">
        <v>566</v>
      </c>
      <c r="F33" s="270" t="s">
        <v>567</v>
      </c>
    </row>
    <row r="34" spans="2:6" x14ac:dyDescent="0.35">
      <c r="B34" s="358"/>
      <c r="C34" s="150" t="s">
        <v>210</v>
      </c>
      <c r="D34" s="191"/>
      <c r="E34" s="357"/>
      <c r="F34" s="270"/>
    </row>
    <row r="35" spans="2:6" x14ac:dyDescent="0.35">
      <c r="B35" s="358"/>
      <c r="C35" s="150" t="s">
        <v>210</v>
      </c>
      <c r="D35" s="191"/>
      <c r="E35" s="357"/>
      <c r="F35" s="270"/>
    </row>
    <row r="36" spans="2:6" x14ac:dyDescent="0.35">
      <c r="B36" s="358"/>
      <c r="C36" s="150" t="s">
        <v>210</v>
      </c>
      <c r="D36" s="191"/>
      <c r="E36" s="357"/>
      <c r="F36" s="270"/>
    </row>
    <row r="37" spans="2:6" x14ac:dyDescent="0.35">
      <c r="B37" s="358"/>
      <c r="C37" s="150" t="s">
        <v>210</v>
      </c>
      <c r="D37" s="191"/>
      <c r="E37" s="357"/>
      <c r="F37" s="270"/>
    </row>
    <row r="38" spans="2:6" x14ac:dyDescent="0.35">
      <c r="B38" s="358"/>
      <c r="C38" s="150" t="s">
        <v>210</v>
      </c>
      <c r="D38" s="191"/>
      <c r="E38" s="357"/>
      <c r="F38" s="270"/>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39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156</v>
      </c>
      <c r="D1" s="21"/>
      <c r="E1" s="21"/>
      <c r="F1" s="21"/>
      <c r="G1" s="21"/>
      <c r="H1" s="21"/>
      <c r="I1" s="21"/>
      <c r="J1" s="21"/>
    </row>
    <row r="2" spans="2:10" ht="13.9" x14ac:dyDescent="0.4">
      <c r="B2" s="51" t="str">
        <f>Tradingname</f>
        <v>APA OPERATIONS PTY LIMITED</v>
      </c>
      <c r="C2" s="52"/>
    </row>
    <row r="3" spans="2:10" ht="18" customHeight="1" x14ac:dyDescent="0.85">
      <c r="B3" s="57" t="s">
        <v>239</v>
      </c>
      <c r="C3" s="58" t="str">
        <f>TEXT(Yearstart,"dd/mm/yyyy")&amp;" to "&amp;TEXT(Yearending,"dd/mm/yyyy")</f>
        <v>01/07/2020 to 30/06/2021</v>
      </c>
      <c r="F3" s="47"/>
    </row>
    <row r="5" spans="2:10" ht="15" x14ac:dyDescent="0.4">
      <c r="B5" s="32" t="s">
        <v>213</v>
      </c>
    </row>
    <row r="6" spans="2:10" ht="13.15" x14ac:dyDescent="0.4">
      <c r="B6" s="24"/>
      <c r="C6" s="27"/>
      <c r="D6" s="27"/>
      <c r="E6" s="27"/>
      <c r="F6" s="27"/>
      <c r="G6" s="28"/>
      <c r="H6" s="33"/>
      <c r="I6" s="29"/>
      <c r="J6" s="29"/>
    </row>
    <row r="7" spans="2:10" s="269" customFormat="1" ht="31.5" customHeight="1" x14ac:dyDescent="0.35">
      <c r="B7" s="267" t="s">
        <v>84</v>
      </c>
      <c r="C7" s="268" t="s">
        <v>206</v>
      </c>
      <c r="D7" s="268" t="s">
        <v>157</v>
      </c>
      <c r="E7" s="268" t="s">
        <v>158</v>
      </c>
    </row>
    <row r="8" spans="2:10" ht="13.5" customHeight="1" x14ac:dyDescent="0.35">
      <c r="B8" s="262"/>
      <c r="C8" s="291"/>
      <c r="D8" s="263"/>
      <c r="E8" s="264"/>
    </row>
    <row r="9" spans="2:10" ht="13.5" customHeight="1" x14ac:dyDescent="0.35">
      <c r="B9" s="262"/>
      <c r="C9" s="291"/>
      <c r="D9" s="263"/>
      <c r="E9" s="264"/>
    </row>
    <row r="10" spans="2:10" ht="13.5" customHeight="1" x14ac:dyDescent="0.35">
      <c r="B10" s="262"/>
      <c r="C10" s="291"/>
      <c r="D10" s="263"/>
      <c r="E10" s="264"/>
    </row>
    <row r="11" spans="2:10" ht="13.5" customHeight="1" x14ac:dyDescent="0.35">
      <c r="B11" s="262"/>
      <c r="C11" s="291"/>
      <c r="D11" s="263"/>
      <c r="E11" s="264"/>
    </row>
    <row r="12" spans="2:10" ht="13.5" customHeight="1" x14ac:dyDescent="0.35">
      <c r="B12" s="262"/>
      <c r="C12" s="291"/>
      <c r="D12" s="263"/>
      <c r="E12" s="264"/>
    </row>
    <row r="13" spans="2:10" ht="13.5" customHeight="1" x14ac:dyDescent="0.35">
      <c r="B13" s="262"/>
      <c r="C13" s="291"/>
      <c r="D13" s="263"/>
      <c r="E13" s="264"/>
    </row>
    <row r="14" spans="2:10" ht="13.5" customHeight="1" x14ac:dyDescent="0.35">
      <c r="B14" s="262"/>
      <c r="C14" s="291"/>
      <c r="D14" s="263"/>
      <c r="E14" s="264"/>
    </row>
    <row r="15" spans="2:10" ht="13.5" customHeight="1" x14ac:dyDescent="0.35">
      <c r="B15" s="262"/>
      <c r="C15" s="291"/>
      <c r="D15" s="263"/>
      <c r="E15" s="264"/>
    </row>
    <row r="16" spans="2:10" ht="13.5" customHeight="1" x14ac:dyDescent="0.35">
      <c r="B16" s="262"/>
      <c r="C16" s="291"/>
      <c r="D16" s="263"/>
      <c r="E16" s="264"/>
    </row>
    <row r="17" spans="2:8" ht="13.5" customHeight="1" x14ac:dyDescent="0.35">
      <c r="B17" s="262"/>
      <c r="C17" s="291"/>
      <c r="D17" s="263"/>
      <c r="E17" s="264"/>
    </row>
    <row r="18" spans="2:8" ht="13.5" customHeight="1" x14ac:dyDescent="0.35">
      <c r="B18" s="262"/>
      <c r="C18" s="291"/>
      <c r="D18" s="263"/>
      <c r="E18" s="264"/>
    </row>
    <row r="19" spans="2:8" ht="13.5" customHeight="1" x14ac:dyDescent="0.35">
      <c r="B19" s="262"/>
      <c r="C19" s="291"/>
      <c r="D19" s="263"/>
      <c r="E19" s="264"/>
    </row>
    <row r="20" spans="2:8" ht="13.5" customHeight="1" x14ac:dyDescent="0.35">
      <c r="B20" s="262"/>
      <c r="C20" s="291"/>
      <c r="D20" s="263"/>
      <c r="E20" s="264"/>
    </row>
    <row r="21" spans="2:8" ht="13.5" customHeight="1" x14ac:dyDescent="0.35">
      <c r="B21" s="262"/>
      <c r="C21" s="291"/>
      <c r="D21" s="263"/>
      <c r="E21" s="264"/>
    </row>
    <row r="22" spans="2:8" ht="13.5" customHeight="1" x14ac:dyDescent="0.35">
      <c r="B22" s="262"/>
      <c r="C22" s="291"/>
      <c r="D22" s="263"/>
      <c r="E22" s="264"/>
    </row>
    <row r="25" spans="2:8" ht="15" x14ac:dyDescent="0.4">
      <c r="B25" s="32" t="s">
        <v>212</v>
      </c>
    </row>
    <row r="26" spans="2:8" ht="13.15" x14ac:dyDescent="0.4">
      <c r="B26" s="24"/>
      <c r="C26" s="27"/>
      <c r="D26" s="27"/>
      <c r="E26" s="27"/>
    </row>
    <row r="27" spans="2:8" s="269" customFormat="1" ht="36.75" customHeight="1" x14ac:dyDescent="0.35">
      <c r="B27" s="267" t="s">
        <v>84</v>
      </c>
      <c r="C27" s="268" t="s">
        <v>207</v>
      </c>
      <c r="D27" s="268" t="s">
        <v>157</v>
      </c>
      <c r="E27" s="268" t="s">
        <v>158</v>
      </c>
      <c r="F27" s="268" t="s">
        <v>208</v>
      </c>
      <c r="G27" s="268" t="s">
        <v>167</v>
      </c>
      <c r="H27" s="268" t="s">
        <v>168</v>
      </c>
    </row>
    <row r="28" spans="2:8" x14ac:dyDescent="0.35">
      <c r="B28" s="265"/>
      <c r="C28" s="306"/>
      <c r="D28" s="217"/>
      <c r="E28" s="266"/>
      <c r="F28" s="306"/>
      <c r="G28" s="217"/>
      <c r="H28" s="266"/>
    </row>
    <row r="29" spans="2:8" x14ac:dyDescent="0.35">
      <c r="B29" s="265"/>
      <c r="C29" s="306"/>
      <c r="D29" s="217"/>
      <c r="E29" s="266"/>
      <c r="F29" s="306"/>
      <c r="G29" s="217"/>
      <c r="H29" s="266"/>
    </row>
    <row r="30" spans="2:8" x14ac:dyDescent="0.35">
      <c r="B30" s="265"/>
      <c r="C30" s="306"/>
      <c r="D30" s="217"/>
      <c r="E30" s="266"/>
      <c r="F30" s="306"/>
      <c r="G30" s="217"/>
      <c r="H30" s="266"/>
    </row>
    <row r="31" spans="2:8" x14ac:dyDescent="0.35">
      <c r="B31" s="265"/>
      <c r="C31" s="306"/>
      <c r="D31" s="217"/>
      <c r="E31" s="266"/>
      <c r="F31" s="306"/>
      <c r="G31" s="217"/>
      <c r="H31" s="266"/>
    </row>
    <row r="32" spans="2:8" hidden="1" x14ac:dyDescent="0.35">
      <c r="B32" s="265"/>
      <c r="C32" s="306"/>
      <c r="D32" s="217"/>
      <c r="E32" s="266"/>
      <c r="F32" s="306"/>
      <c r="G32" s="217"/>
      <c r="H32" s="266"/>
    </row>
    <row r="33" spans="2:8" hidden="1" x14ac:dyDescent="0.35">
      <c r="B33" s="265"/>
      <c r="C33" s="306"/>
      <c r="D33" s="217"/>
      <c r="E33" s="266"/>
      <c r="F33" s="306"/>
      <c r="G33" s="217"/>
      <c r="H33" s="266"/>
    </row>
    <row r="34" spans="2:8" hidden="1" x14ac:dyDescent="0.35">
      <c r="B34" s="265"/>
      <c r="C34" s="306"/>
      <c r="D34" s="217"/>
      <c r="E34" s="266"/>
      <c r="F34" s="306"/>
      <c r="G34" s="217"/>
      <c r="H34" s="266"/>
    </row>
    <row r="35" spans="2:8" hidden="1" x14ac:dyDescent="0.35">
      <c r="B35" s="265"/>
      <c r="C35" s="306"/>
      <c r="D35" s="217"/>
      <c r="E35" s="266"/>
      <c r="F35" s="306"/>
      <c r="G35" s="217"/>
      <c r="H35" s="266"/>
    </row>
    <row r="36" spans="2:8" hidden="1" x14ac:dyDescent="0.35">
      <c r="B36" s="265"/>
      <c r="C36" s="306"/>
      <c r="D36" s="217"/>
      <c r="E36" s="266"/>
      <c r="F36" s="306"/>
      <c r="G36" s="217"/>
      <c r="H36" s="266"/>
    </row>
    <row r="37" spans="2:8" hidden="1" x14ac:dyDescent="0.35">
      <c r="B37" s="265"/>
      <c r="C37" s="306"/>
      <c r="D37" s="217"/>
      <c r="E37" s="266"/>
      <c r="F37" s="306"/>
      <c r="G37" s="217"/>
      <c r="H37" s="266"/>
    </row>
    <row r="38" spans="2:8" hidden="1" x14ac:dyDescent="0.35">
      <c r="B38" s="265"/>
      <c r="C38" s="306"/>
      <c r="D38" s="217"/>
      <c r="E38" s="266"/>
      <c r="F38" s="306"/>
      <c r="G38" s="217"/>
      <c r="H38" s="266"/>
    </row>
    <row r="39" spans="2:8" hidden="1" x14ac:dyDescent="0.35">
      <c r="B39" s="265"/>
      <c r="C39" s="306"/>
      <c r="D39" s="217"/>
      <c r="E39" s="266"/>
      <c r="F39" s="306"/>
      <c r="G39" s="217"/>
      <c r="H39" s="266"/>
    </row>
    <row r="40" spans="2:8" hidden="1" x14ac:dyDescent="0.35">
      <c r="B40" s="265"/>
      <c r="C40" s="306"/>
      <c r="D40" s="217"/>
      <c r="E40" s="266"/>
      <c r="F40" s="306"/>
      <c r="G40" s="217"/>
      <c r="H40" s="266"/>
    </row>
    <row r="41" spans="2:8" x14ac:dyDescent="0.35">
      <c r="B41" s="265"/>
      <c r="C41" s="306"/>
      <c r="D41" s="217"/>
      <c r="E41" s="266"/>
      <c r="F41" s="306"/>
      <c r="G41" s="217"/>
      <c r="H41" s="266"/>
    </row>
    <row r="42" spans="2:8" x14ac:dyDescent="0.35">
      <c r="B42" s="265"/>
      <c r="C42" s="306"/>
      <c r="D42" s="217"/>
      <c r="E42" s="266"/>
      <c r="F42" s="306"/>
      <c r="G42" s="217"/>
      <c r="H42" s="266"/>
    </row>
    <row r="43" spans="2:8" x14ac:dyDescent="0.35">
      <c r="B43" s="265"/>
      <c r="C43" s="306"/>
      <c r="D43" s="217"/>
      <c r="E43" s="266"/>
      <c r="F43" s="306"/>
      <c r="G43" s="217"/>
      <c r="H43" s="266"/>
    </row>
    <row r="44" spans="2:8" x14ac:dyDescent="0.35">
      <c r="B44" s="265"/>
      <c r="C44" s="306"/>
      <c r="D44" s="217"/>
      <c r="E44" s="266"/>
      <c r="F44" s="306"/>
      <c r="G44" s="217"/>
      <c r="H44" s="266"/>
    </row>
    <row r="45" spans="2:8" x14ac:dyDescent="0.35">
      <c r="B45" s="265"/>
      <c r="C45" s="306"/>
      <c r="D45" s="217"/>
      <c r="E45" s="266"/>
      <c r="F45" s="306"/>
      <c r="G45" s="217"/>
      <c r="H45" s="266"/>
    </row>
    <row r="46" spans="2:8" x14ac:dyDescent="0.35">
      <c r="B46" s="265"/>
      <c r="C46" s="306"/>
      <c r="D46" s="217"/>
      <c r="E46" s="266"/>
      <c r="F46" s="306"/>
      <c r="G46" s="217"/>
      <c r="H46" s="266"/>
    </row>
    <row r="47" spans="2:8" x14ac:dyDescent="0.35">
      <c r="B47" s="265"/>
      <c r="C47" s="306"/>
      <c r="D47" s="217"/>
      <c r="E47" s="266"/>
      <c r="F47" s="306"/>
      <c r="G47" s="217"/>
      <c r="H47" s="266"/>
    </row>
    <row r="48" spans="2:8" x14ac:dyDescent="0.35">
      <c r="B48" s="265"/>
      <c r="C48" s="306"/>
      <c r="D48" s="217"/>
      <c r="E48" s="266"/>
      <c r="F48" s="306"/>
      <c r="G48" s="217"/>
      <c r="H48" s="266"/>
    </row>
    <row r="49" spans="2:8" x14ac:dyDescent="0.35">
      <c r="B49" s="265"/>
      <c r="C49" s="306"/>
      <c r="D49" s="217"/>
      <c r="E49" s="266"/>
      <c r="F49" s="306"/>
      <c r="G49" s="217"/>
      <c r="H49" s="266"/>
    </row>
    <row r="50" spans="2:8" x14ac:dyDescent="0.35">
      <c r="B50" s="265"/>
      <c r="C50" s="306"/>
      <c r="D50" s="217"/>
      <c r="E50" s="266"/>
      <c r="F50" s="306"/>
      <c r="G50" s="217"/>
      <c r="H50" s="266"/>
    </row>
    <row r="51" spans="2:8" x14ac:dyDescent="0.35">
      <c r="B51" s="265"/>
      <c r="C51" s="306"/>
      <c r="D51" s="217"/>
      <c r="E51" s="266"/>
      <c r="F51" s="306"/>
      <c r="G51" s="217"/>
      <c r="H51" s="266"/>
    </row>
    <row r="52" spans="2:8" x14ac:dyDescent="0.35">
      <c r="B52" s="265"/>
      <c r="C52" s="306"/>
      <c r="D52" s="217"/>
      <c r="E52" s="266"/>
      <c r="F52" s="306"/>
      <c r="G52" s="217"/>
      <c r="H52" s="266"/>
    </row>
    <row r="53" spans="2:8" x14ac:dyDescent="0.35">
      <c r="B53" s="265"/>
      <c r="C53" s="306"/>
      <c r="D53" s="217"/>
      <c r="E53" s="266"/>
      <c r="F53" s="306"/>
      <c r="G53" s="217"/>
      <c r="H53" s="266"/>
    </row>
    <row r="54" spans="2:8" x14ac:dyDescent="0.35">
      <c r="B54" s="265"/>
      <c r="C54" s="306"/>
      <c r="D54" s="217"/>
      <c r="E54" s="266"/>
      <c r="F54" s="306"/>
      <c r="G54" s="217"/>
      <c r="H54" s="266"/>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2.75" x14ac:dyDescent="0.35"/>
  <cols>
    <col min="1" max="1" width="11.3984375" style="360" customWidth="1"/>
    <col min="2" max="2" width="21.86328125" style="360" customWidth="1"/>
    <col min="3" max="3" width="40.86328125" style="360" customWidth="1"/>
    <col min="4" max="4" width="41.3984375" style="360" bestFit="1" customWidth="1"/>
    <col min="5" max="15" width="20.86328125" style="360" customWidth="1"/>
    <col min="16" max="16384" width="9" style="360"/>
  </cols>
  <sheetData>
    <row r="1" spans="2:15" ht="20.65" x14ac:dyDescent="0.6">
      <c r="B1" s="359" t="s">
        <v>499</v>
      </c>
    </row>
    <row r="2" spans="2:15" ht="13.9" x14ac:dyDescent="0.4">
      <c r="B2" s="51" t="str">
        <f>Tradingname</f>
        <v>APA OPERATIONS PTY LIMITED</v>
      </c>
      <c r="C2" s="52"/>
    </row>
    <row r="3" spans="2:15" ht="13.9" x14ac:dyDescent="0.4">
      <c r="B3" s="53" t="s">
        <v>239</v>
      </c>
      <c r="C3" s="54" t="str">
        <f>TEXT(Yearstart,"dd/mm/yyyy")&amp;" to "&amp;TEXT(Yearending,"dd/mm/yyyy")</f>
        <v>01/07/2020 to 30/06/2021</v>
      </c>
    </row>
    <row r="5" spans="2:15" ht="30" customHeight="1" x14ac:dyDescent="0.4">
      <c r="B5" s="362" t="s">
        <v>306</v>
      </c>
      <c r="I5" s="471" t="s">
        <v>307</v>
      </c>
      <c r="J5" s="471"/>
      <c r="K5" s="471"/>
    </row>
    <row r="7" spans="2:15" ht="45" customHeight="1" x14ac:dyDescent="0.35">
      <c r="B7" s="122" t="s">
        <v>222</v>
      </c>
      <c r="C7" s="123" t="s">
        <v>19</v>
      </c>
      <c r="D7" s="123" t="s">
        <v>0</v>
      </c>
      <c r="E7" s="123" t="s">
        <v>71</v>
      </c>
      <c r="F7" s="123" t="s">
        <v>72</v>
      </c>
      <c r="G7" s="123" t="s">
        <v>152</v>
      </c>
      <c r="H7" s="123" t="s">
        <v>496</v>
      </c>
      <c r="I7" s="123" t="s">
        <v>74</v>
      </c>
      <c r="J7" s="123" t="s">
        <v>486</v>
      </c>
      <c r="K7" s="123" t="s">
        <v>308</v>
      </c>
      <c r="L7" s="123" t="s">
        <v>75</v>
      </c>
      <c r="M7" s="123" t="s">
        <v>309</v>
      </c>
      <c r="N7" s="123" t="s">
        <v>497</v>
      </c>
      <c r="O7" s="103" t="s">
        <v>76</v>
      </c>
    </row>
    <row r="8" spans="2:15" x14ac:dyDescent="0.35">
      <c r="B8" s="124"/>
      <c r="C8" s="125"/>
      <c r="D8" s="125"/>
      <c r="E8" s="125"/>
      <c r="F8" s="125" t="s">
        <v>77</v>
      </c>
      <c r="G8" s="125" t="s">
        <v>182</v>
      </c>
      <c r="H8" s="125" t="s">
        <v>182</v>
      </c>
      <c r="I8" s="125" t="s">
        <v>182</v>
      </c>
      <c r="J8" s="125" t="s">
        <v>182</v>
      </c>
      <c r="K8" s="125" t="s">
        <v>182</v>
      </c>
      <c r="L8" s="125" t="s">
        <v>182</v>
      </c>
      <c r="M8" s="125" t="s">
        <v>182</v>
      </c>
      <c r="N8" s="125" t="s">
        <v>182</v>
      </c>
      <c r="O8" s="125" t="s">
        <v>182</v>
      </c>
    </row>
    <row r="9" spans="2:15" x14ac:dyDescent="0.35">
      <c r="B9" s="387">
        <v>2.4</v>
      </c>
      <c r="C9" s="271"/>
      <c r="D9" s="271" t="s">
        <v>142</v>
      </c>
      <c r="E9" s="191" t="str">
        <f>'3.1 Asset useful life'!D9</f>
        <v>2/7/2007 to 30/6/2021</v>
      </c>
      <c r="F9" s="307">
        <v>80</v>
      </c>
      <c r="G9" s="307">
        <v>0</v>
      </c>
      <c r="H9" s="307">
        <v>14964795.84</v>
      </c>
      <c r="I9" s="307">
        <v>16484784.59</v>
      </c>
      <c r="J9" s="307">
        <v>214771.52</v>
      </c>
      <c r="K9" s="307">
        <v>0</v>
      </c>
      <c r="L9" s="308">
        <f>SUM(H9:K9)</f>
        <v>31664351.949999999</v>
      </c>
      <c r="M9" s="307">
        <v>-2461244.4987006309</v>
      </c>
      <c r="N9" s="307">
        <v>-294988.83576351812</v>
      </c>
      <c r="O9" s="280">
        <f>SUM(L9:N9)</f>
        <v>28908118.615535852</v>
      </c>
    </row>
    <row r="10" spans="2:15" x14ac:dyDescent="0.35">
      <c r="B10" s="387">
        <v>2.4</v>
      </c>
      <c r="C10" s="271"/>
      <c r="D10" s="271" t="s">
        <v>85</v>
      </c>
      <c r="E10" s="191" t="str">
        <f>'3.1 Asset useful life'!D10</f>
        <v>24/10/2018 to 30/6/2021</v>
      </c>
      <c r="F10" s="307">
        <v>35</v>
      </c>
      <c r="G10" s="307">
        <v>0</v>
      </c>
      <c r="H10" s="307">
        <v>0</v>
      </c>
      <c r="I10" s="307">
        <v>33610378.890000001</v>
      </c>
      <c r="J10" s="307">
        <v>0</v>
      </c>
      <c r="K10" s="307">
        <v>0</v>
      </c>
      <c r="L10" s="308">
        <f>SUM(H10:K10)</f>
        <v>33610378.890000001</v>
      </c>
      <c r="M10" s="307">
        <v>-1617359.7583465297</v>
      </c>
      <c r="N10" s="307">
        <v>-959639.25255500129</v>
      </c>
      <c r="O10" s="280">
        <f t="shared" ref="O10:O52" si="0">SUM(L10:N10)</f>
        <v>31033379.879098471</v>
      </c>
    </row>
    <row r="11" spans="2:15" x14ac:dyDescent="0.35">
      <c r="B11" s="387">
        <v>2.4</v>
      </c>
      <c r="C11" s="271"/>
      <c r="D11" s="271" t="s">
        <v>143</v>
      </c>
      <c r="E11" s="191" t="str">
        <f>'3.1 Asset useful life'!D11</f>
        <v>1/6/2017 to 30/6/2021</v>
      </c>
      <c r="F11" s="307">
        <v>50</v>
      </c>
      <c r="G11" s="307">
        <v>0</v>
      </c>
      <c r="H11" s="307">
        <v>0</v>
      </c>
      <c r="I11" s="307">
        <v>3099080.66</v>
      </c>
      <c r="J11" s="307">
        <v>0</v>
      </c>
      <c r="K11" s="307">
        <v>0</v>
      </c>
      <c r="L11" s="308">
        <f>SUM(H11:K11)</f>
        <v>3099080.66</v>
      </c>
      <c r="M11" s="307">
        <v>-41717.088814244329</v>
      </c>
      <c r="N11" s="307">
        <v>-61939.189097878167</v>
      </c>
      <c r="O11" s="280">
        <f t="shared" si="0"/>
        <v>2995424.382087878</v>
      </c>
    </row>
    <row r="12" spans="2:15" x14ac:dyDescent="0.35">
      <c r="B12" s="387">
        <v>2.4</v>
      </c>
      <c r="C12" s="271"/>
      <c r="D12" s="271" t="s">
        <v>145</v>
      </c>
      <c r="E12" s="191" t="str">
        <f>'3.1 Asset useful life'!D12</f>
        <v>1/2/2015 to 30/6/2021</v>
      </c>
      <c r="F12" s="307">
        <v>50</v>
      </c>
      <c r="G12" s="307">
        <v>0</v>
      </c>
      <c r="H12" s="307">
        <v>0</v>
      </c>
      <c r="I12" s="307">
        <v>1200317.0900000001</v>
      </c>
      <c r="J12" s="307">
        <v>0</v>
      </c>
      <c r="K12" s="307">
        <v>0</v>
      </c>
      <c r="L12" s="308">
        <f>SUM(H12:K12)</f>
        <v>1200317.0900000001</v>
      </c>
      <c r="M12" s="307">
        <v>-79046.733504730684</v>
      </c>
      <c r="N12" s="307">
        <v>-23989.910354551677</v>
      </c>
      <c r="O12" s="280">
        <f t="shared" si="0"/>
        <v>1097280.4461407177</v>
      </c>
    </row>
    <row r="13" spans="2:15" x14ac:dyDescent="0.35">
      <c r="B13" s="387">
        <v>2.4</v>
      </c>
      <c r="C13" s="271"/>
      <c r="D13" s="271" t="s">
        <v>490</v>
      </c>
      <c r="E13" s="191"/>
      <c r="F13" s="307">
        <v>80</v>
      </c>
      <c r="G13" s="307">
        <v>0</v>
      </c>
      <c r="H13" s="307">
        <v>0</v>
      </c>
      <c r="I13" s="307">
        <v>0</v>
      </c>
      <c r="J13" s="307">
        <v>0</v>
      </c>
      <c r="K13" s="307">
        <v>0</v>
      </c>
      <c r="L13" s="308">
        <f t="shared" ref="L13:L41" si="1">SUM(H13:K13)</f>
        <v>0</v>
      </c>
      <c r="M13" s="307">
        <v>0</v>
      </c>
      <c r="N13" s="307">
        <v>0</v>
      </c>
      <c r="O13" s="280">
        <f t="shared" si="0"/>
        <v>0</v>
      </c>
    </row>
    <row r="14" spans="2:15" x14ac:dyDescent="0.35">
      <c r="B14" s="387">
        <v>2.4</v>
      </c>
      <c r="C14" s="271"/>
      <c r="D14" s="271" t="s">
        <v>147</v>
      </c>
      <c r="E14" s="191" t="str">
        <f>'3.1 Asset useful life'!D14</f>
        <v>31/8/2019 to 30/6/2021</v>
      </c>
      <c r="F14" s="307">
        <v>15</v>
      </c>
      <c r="G14" s="307">
        <v>0</v>
      </c>
      <c r="H14" s="307">
        <v>0</v>
      </c>
      <c r="I14" s="307">
        <v>46432.049999999996</v>
      </c>
      <c r="J14" s="307">
        <v>0</v>
      </c>
      <c r="K14" s="307">
        <v>0</v>
      </c>
      <c r="L14" s="308">
        <f t="shared" si="1"/>
        <v>46432.049999999996</v>
      </c>
      <c r="M14" s="307">
        <v>-1864.4143791923341</v>
      </c>
      <c r="N14" s="307">
        <v>-2955.3882108145099</v>
      </c>
      <c r="O14" s="280">
        <f t="shared" si="0"/>
        <v>41612.24740999315</v>
      </c>
    </row>
    <row r="15" spans="2:15" x14ac:dyDescent="0.35">
      <c r="B15" s="387">
        <v>2.4</v>
      </c>
      <c r="C15" s="271"/>
      <c r="D15" s="271" t="s">
        <v>1</v>
      </c>
      <c r="E15" s="191" t="str">
        <f>'3.1 Asset useful life'!D15</f>
        <v>31/8/2019 to 30/6/2021</v>
      </c>
      <c r="F15" s="307">
        <v>80</v>
      </c>
      <c r="G15" s="307">
        <v>0</v>
      </c>
      <c r="H15" s="307">
        <v>0</v>
      </c>
      <c r="I15" s="307">
        <v>442589.70999999996</v>
      </c>
      <c r="J15" s="307">
        <v>0</v>
      </c>
      <c r="K15" s="307">
        <v>0</v>
      </c>
      <c r="L15" s="308">
        <f t="shared" si="1"/>
        <v>442589.70999999996</v>
      </c>
      <c r="M15" s="307">
        <v>-3665.5273723477067</v>
      </c>
      <c r="N15" s="307">
        <v>-5528.5846731690617</v>
      </c>
      <c r="O15" s="280">
        <f t="shared" si="0"/>
        <v>433395.59795448318</v>
      </c>
    </row>
    <row r="16" spans="2:15" x14ac:dyDescent="0.35">
      <c r="B16" s="387">
        <v>2.4</v>
      </c>
      <c r="C16" s="271"/>
      <c r="D16" s="271" t="s">
        <v>232</v>
      </c>
      <c r="E16" s="191" t="str">
        <f>'3.1 Asset useful life'!D16</f>
        <v>24/10/2018 to 30/6/2021</v>
      </c>
      <c r="F16" s="307" t="s">
        <v>564</v>
      </c>
      <c r="G16" s="307">
        <v>0</v>
      </c>
      <c r="H16" s="307">
        <v>0</v>
      </c>
      <c r="I16" s="307">
        <v>1022067.9199999999</v>
      </c>
      <c r="J16" s="307">
        <v>0</v>
      </c>
      <c r="K16" s="307">
        <v>0</v>
      </c>
      <c r="L16" s="308">
        <f t="shared" si="1"/>
        <v>1022067.9199999999</v>
      </c>
      <c r="M16" s="307">
        <v>-25291.003887335799</v>
      </c>
      <c r="N16" s="307">
        <v>-29236.650087268994</v>
      </c>
      <c r="O16" s="280">
        <f t="shared" si="0"/>
        <v>967540.26602539513</v>
      </c>
    </row>
    <row r="17" spans="2:15" x14ac:dyDescent="0.35">
      <c r="B17" s="387">
        <v>2.4</v>
      </c>
      <c r="C17" s="271"/>
      <c r="D17" s="271" t="s">
        <v>149</v>
      </c>
      <c r="E17" s="191"/>
      <c r="F17" s="307" t="s">
        <v>565</v>
      </c>
      <c r="G17" s="307">
        <v>0</v>
      </c>
      <c r="H17" s="307">
        <v>0</v>
      </c>
      <c r="I17" s="307">
        <v>0</v>
      </c>
      <c r="J17" s="307">
        <v>0</v>
      </c>
      <c r="K17" s="307">
        <v>0</v>
      </c>
      <c r="L17" s="308">
        <f t="shared" si="1"/>
        <v>0</v>
      </c>
      <c r="M17" s="307">
        <v>0</v>
      </c>
      <c r="N17" s="307">
        <v>0</v>
      </c>
      <c r="O17" s="280">
        <f t="shared" si="0"/>
        <v>0</v>
      </c>
    </row>
    <row r="18" spans="2:15" x14ac:dyDescent="0.35">
      <c r="B18" s="387" t="s">
        <v>568</v>
      </c>
      <c r="C18" s="271"/>
      <c r="D18" s="271" t="s">
        <v>539</v>
      </c>
      <c r="E18" s="191" t="str">
        <f>'3.1 Asset useful life'!D21</f>
        <v>1/7/2019 to 30/6/2021</v>
      </c>
      <c r="F18" s="307" t="s">
        <v>566</v>
      </c>
      <c r="G18" s="307">
        <v>0</v>
      </c>
      <c r="H18" s="307">
        <v>30992.143599999999</v>
      </c>
      <c r="I18" s="307">
        <v>-1135.0855999999999</v>
      </c>
      <c r="J18" s="307">
        <v>0</v>
      </c>
      <c r="K18" s="307">
        <v>0</v>
      </c>
      <c r="L18" s="308">
        <f t="shared" si="1"/>
        <v>29857.058000000001</v>
      </c>
      <c r="M18" s="307">
        <v>-14304.1008</v>
      </c>
      <c r="N18" s="307">
        <v>-13570.3876</v>
      </c>
      <c r="O18" s="280">
        <f t="shared" si="0"/>
        <v>1982.5696000000007</v>
      </c>
    </row>
    <row r="19" spans="2:15" x14ac:dyDescent="0.35">
      <c r="B19" s="271"/>
      <c r="C19" s="271"/>
      <c r="D19" s="271"/>
      <c r="E19" s="191"/>
      <c r="F19" s="307"/>
      <c r="G19" s="307"/>
      <c r="H19" s="307"/>
      <c r="I19" s="307"/>
      <c r="J19" s="307"/>
      <c r="K19" s="307"/>
      <c r="L19" s="308">
        <f t="shared" si="1"/>
        <v>0</v>
      </c>
      <c r="M19" s="307"/>
      <c r="N19" s="307"/>
      <c r="O19" s="280">
        <f t="shared" si="0"/>
        <v>0</v>
      </c>
    </row>
    <row r="20" spans="2:15" x14ac:dyDescent="0.35">
      <c r="B20" s="271"/>
      <c r="C20" s="271"/>
      <c r="D20" s="271"/>
      <c r="E20" s="191"/>
      <c r="F20" s="307"/>
      <c r="G20" s="307"/>
      <c r="H20" s="307"/>
      <c r="I20" s="307"/>
      <c r="J20" s="307"/>
      <c r="K20" s="307"/>
      <c r="L20" s="308">
        <f t="shared" si="1"/>
        <v>0</v>
      </c>
      <c r="M20" s="307"/>
      <c r="N20" s="307"/>
      <c r="O20" s="280">
        <f t="shared" si="0"/>
        <v>0</v>
      </c>
    </row>
    <row r="21" spans="2:15" x14ac:dyDescent="0.35">
      <c r="B21" s="271"/>
      <c r="C21" s="271"/>
      <c r="D21" s="271"/>
      <c r="E21" s="191"/>
      <c r="F21" s="307"/>
      <c r="G21" s="307"/>
      <c r="H21" s="307"/>
      <c r="I21" s="307"/>
      <c r="J21" s="307"/>
      <c r="K21" s="307"/>
      <c r="L21" s="308">
        <f t="shared" si="1"/>
        <v>0</v>
      </c>
      <c r="M21" s="307"/>
      <c r="N21" s="307"/>
      <c r="O21" s="280">
        <f t="shared" si="0"/>
        <v>0</v>
      </c>
    </row>
    <row r="22" spans="2:15" x14ac:dyDescent="0.35">
      <c r="B22" s="271"/>
      <c r="C22" s="271"/>
      <c r="D22" s="271"/>
      <c r="E22" s="191"/>
      <c r="F22" s="307"/>
      <c r="G22" s="307"/>
      <c r="H22" s="307"/>
      <c r="I22" s="307"/>
      <c r="J22" s="307"/>
      <c r="K22" s="307"/>
      <c r="L22" s="308">
        <f t="shared" si="1"/>
        <v>0</v>
      </c>
      <c r="M22" s="307"/>
      <c r="N22" s="307"/>
      <c r="O22" s="280">
        <f t="shared" si="0"/>
        <v>0</v>
      </c>
    </row>
    <row r="23" spans="2:15" x14ac:dyDescent="0.35">
      <c r="B23" s="271"/>
      <c r="C23" s="271"/>
      <c r="D23" s="271"/>
      <c r="E23" s="191"/>
      <c r="F23" s="307"/>
      <c r="G23" s="307"/>
      <c r="H23" s="307"/>
      <c r="I23" s="307"/>
      <c r="J23" s="307"/>
      <c r="K23" s="307"/>
      <c r="L23" s="308">
        <f t="shared" si="1"/>
        <v>0</v>
      </c>
      <c r="M23" s="307"/>
      <c r="N23" s="307"/>
      <c r="O23" s="280">
        <f t="shared" si="0"/>
        <v>0</v>
      </c>
    </row>
    <row r="24" spans="2:15" x14ac:dyDescent="0.35">
      <c r="B24" s="271"/>
      <c r="C24" s="271"/>
      <c r="D24" s="271"/>
      <c r="E24" s="191"/>
      <c r="F24" s="307"/>
      <c r="G24" s="307"/>
      <c r="H24" s="307"/>
      <c r="I24" s="307"/>
      <c r="J24" s="307"/>
      <c r="K24" s="307"/>
      <c r="L24" s="308">
        <f t="shared" si="1"/>
        <v>0</v>
      </c>
      <c r="M24" s="307"/>
      <c r="N24" s="307"/>
      <c r="O24" s="280">
        <f t="shared" si="0"/>
        <v>0</v>
      </c>
    </row>
    <row r="25" spans="2:15" x14ac:dyDescent="0.35">
      <c r="B25" s="271"/>
      <c r="C25" s="271"/>
      <c r="D25" s="271"/>
      <c r="E25" s="191"/>
      <c r="F25" s="307"/>
      <c r="G25" s="307"/>
      <c r="H25" s="307"/>
      <c r="I25" s="307"/>
      <c r="J25" s="307"/>
      <c r="K25" s="307"/>
      <c r="L25" s="308">
        <f t="shared" si="1"/>
        <v>0</v>
      </c>
      <c r="M25" s="307"/>
      <c r="N25" s="307"/>
      <c r="O25" s="280">
        <f t="shared" si="0"/>
        <v>0</v>
      </c>
    </row>
    <row r="26" spans="2:15" x14ac:dyDescent="0.35">
      <c r="B26" s="271"/>
      <c r="C26" s="271"/>
      <c r="D26" s="271"/>
      <c r="E26" s="191"/>
      <c r="F26" s="307"/>
      <c r="G26" s="307"/>
      <c r="H26" s="307"/>
      <c r="I26" s="307"/>
      <c r="J26" s="307"/>
      <c r="K26" s="307"/>
      <c r="L26" s="308">
        <f t="shared" si="1"/>
        <v>0</v>
      </c>
      <c r="M26" s="307"/>
      <c r="N26" s="307"/>
      <c r="O26" s="280">
        <f t="shared" si="0"/>
        <v>0</v>
      </c>
    </row>
    <row r="27" spans="2:15" x14ac:dyDescent="0.35">
      <c r="B27" s="271"/>
      <c r="C27" s="271"/>
      <c r="D27" s="271"/>
      <c r="E27" s="191"/>
      <c r="F27" s="307"/>
      <c r="G27" s="307"/>
      <c r="H27" s="307"/>
      <c r="I27" s="307"/>
      <c r="J27" s="307"/>
      <c r="K27" s="307"/>
      <c r="L27" s="308">
        <f t="shared" si="1"/>
        <v>0</v>
      </c>
      <c r="M27" s="307"/>
      <c r="N27" s="307"/>
      <c r="O27" s="280">
        <f t="shared" si="0"/>
        <v>0</v>
      </c>
    </row>
    <row r="28" spans="2:15" x14ac:dyDescent="0.35">
      <c r="B28" s="271"/>
      <c r="C28" s="271"/>
      <c r="D28" s="271"/>
      <c r="E28" s="191"/>
      <c r="F28" s="307"/>
      <c r="G28" s="307"/>
      <c r="H28" s="307"/>
      <c r="I28" s="307"/>
      <c r="J28" s="307"/>
      <c r="K28" s="307"/>
      <c r="L28" s="308">
        <f t="shared" si="1"/>
        <v>0</v>
      </c>
      <c r="M28" s="307"/>
      <c r="N28" s="307"/>
      <c r="O28" s="280">
        <f t="shared" si="0"/>
        <v>0</v>
      </c>
    </row>
    <row r="29" spans="2:15" x14ac:dyDescent="0.35">
      <c r="B29" s="271"/>
      <c r="C29" s="271"/>
      <c r="D29" s="271"/>
      <c r="E29" s="191"/>
      <c r="F29" s="307"/>
      <c r="G29" s="307"/>
      <c r="H29" s="307"/>
      <c r="I29" s="307"/>
      <c r="J29" s="307"/>
      <c r="K29" s="307"/>
      <c r="L29" s="308">
        <f t="shared" si="1"/>
        <v>0</v>
      </c>
      <c r="M29" s="307"/>
      <c r="N29" s="307"/>
      <c r="O29" s="280">
        <f t="shared" si="0"/>
        <v>0</v>
      </c>
    </row>
    <row r="30" spans="2:15" x14ac:dyDescent="0.35">
      <c r="B30" s="271"/>
      <c r="C30" s="271"/>
      <c r="D30" s="271"/>
      <c r="E30" s="191"/>
      <c r="F30" s="307"/>
      <c r="G30" s="307"/>
      <c r="H30" s="307"/>
      <c r="I30" s="307"/>
      <c r="J30" s="307"/>
      <c r="K30" s="307"/>
      <c r="L30" s="308">
        <f t="shared" si="1"/>
        <v>0</v>
      </c>
      <c r="M30" s="307"/>
      <c r="N30" s="307"/>
      <c r="O30" s="280">
        <f t="shared" si="0"/>
        <v>0</v>
      </c>
    </row>
    <row r="31" spans="2:15" x14ac:dyDescent="0.35">
      <c r="B31" s="271"/>
      <c r="C31" s="271"/>
      <c r="D31" s="271"/>
      <c r="E31" s="191"/>
      <c r="F31" s="307"/>
      <c r="G31" s="307"/>
      <c r="H31" s="307"/>
      <c r="I31" s="307"/>
      <c r="J31" s="307"/>
      <c r="K31" s="307"/>
      <c r="L31" s="308">
        <f t="shared" si="1"/>
        <v>0</v>
      </c>
      <c r="M31" s="307"/>
      <c r="N31" s="307"/>
      <c r="O31" s="280">
        <f t="shared" si="0"/>
        <v>0</v>
      </c>
    </row>
    <row r="32" spans="2:15" x14ac:dyDescent="0.35">
      <c r="B32" s="271"/>
      <c r="C32" s="271"/>
      <c r="D32" s="271"/>
      <c r="E32" s="191"/>
      <c r="F32" s="307"/>
      <c r="G32" s="307"/>
      <c r="H32" s="307"/>
      <c r="I32" s="307"/>
      <c r="J32" s="307"/>
      <c r="K32" s="307"/>
      <c r="L32" s="308">
        <f t="shared" si="1"/>
        <v>0</v>
      </c>
      <c r="M32" s="307"/>
      <c r="N32" s="307"/>
      <c r="O32" s="280">
        <f t="shared" si="0"/>
        <v>0</v>
      </c>
    </row>
    <row r="33" spans="2:15" x14ac:dyDescent="0.35">
      <c r="B33" s="271"/>
      <c r="C33" s="271"/>
      <c r="D33" s="271"/>
      <c r="E33" s="191"/>
      <c r="F33" s="307"/>
      <c r="G33" s="307"/>
      <c r="H33" s="307"/>
      <c r="I33" s="307"/>
      <c r="J33" s="307"/>
      <c r="K33" s="307"/>
      <c r="L33" s="308">
        <f t="shared" si="1"/>
        <v>0</v>
      </c>
      <c r="M33" s="307"/>
      <c r="N33" s="307"/>
      <c r="O33" s="280">
        <f t="shared" si="0"/>
        <v>0</v>
      </c>
    </row>
    <row r="34" spans="2:15" x14ac:dyDescent="0.35">
      <c r="B34" s="271"/>
      <c r="C34" s="271"/>
      <c r="D34" s="271"/>
      <c r="E34" s="191"/>
      <c r="F34" s="307"/>
      <c r="G34" s="307"/>
      <c r="H34" s="307"/>
      <c r="I34" s="307"/>
      <c r="J34" s="307"/>
      <c r="K34" s="307"/>
      <c r="L34" s="308">
        <f t="shared" si="1"/>
        <v>0</v>
      </c>
      <c r="M34" s="307"/>
      <c r="N34" s="307"/>
      <c r="O34" s="280">
        <f t="shared" si="0"/>
        <v>0</v>
      </c>
    </row>
    <row r="35" spans="2:15" x14ac:dyDescent="0.35">
      <c r="B35" s="271"/>
      <c r="C35" s="271"/>
      <c r="D35" s="271"/>
      <c r="E35" s="191"/>
      <c r="F35" s="307"/>
      <c r="G35" s="307"/>
      <c r="H35" s="307"/>
      <c r="I35" s="307"/>
      <c r="J35" s="307"/>
      <c r="K35" s="307"/>
      <c r="L35" s="308">
        <f t="shared" si="1"/>
        <v>0</v>
      </c>
      <c r="M35" s="307"/>
      <c r="N35" s="307"/>
      <c r="O35" s="280">
        <f t="shared" si="0"/>
        <v>0</v>
      </c>
    </row>
    <row r="36" spans="2:15" x14ac:dyDescent="0.35">
      <c r="B36" s="271"/>
      <c r="C36" s="271"/>
      <c r="D36" s="271"/>
      <c r="E36" s="191"/>
      <c r="F36" s="307"/>
      <c r="G36" s="307"/>
      <c r="H36" s="307"/>
      <c r="I36" s="307"/>
      <c r="J36" s="307"/>
      <c r="K36" s="307"/>
      <c r="L36" s="308">
        <f t="shared" si="1"/>
        <v>0</v>
      </c>
      <c r="M36" s="307"/>
      <c r="N36" s="307"/>
      <c r="O36" s="280">
        <f t="shared" si="0"/>
        <v>0</v>
      </c>
    </row>
    <row r="37" spans="2:15" x14ac:dyDescent="0.35">
      <c r="B37" s="271"/>
      <c r="C37" s="271"/>
      <c r="D37" s="271"/>
      <c r="E37" s="191"/>
      <c r="F37" s="307"/>
      <c r="G37" s="307"/>
      <c r="H37" s="307"/>
      <c r="I37" s="307"/>
      <c r="J37" s="307"/>
      <c r="K37" s="307"/>
      <c r="L37" s="308">
        <f t="shared" si="1"/>
        <v>0</v>
      </c>
      <c r="M37" s="307"/>
      <c r="N37" s="307"/>
      <c r="O37" s="280">
        <f t="shared" si="0"/>
        <v>0</v>
      </c>
    </row>
    <row r="38" spans="2:15" x14ac:dyDescent="0.35">
      <c r="B38" s="271"/>
      <c r="C38" s="271"/>
      <c r="D38" s="271"/>
      <c r="E38" s="191"/>
      <c r="F38" s="307"/>
      <c r="G38" s="307"/>
      <c r="H38" s="307"/>
      <c r="I38" s="307"/>
      <c r="J38" s="307"/>
      <c r="K38" s="307"/>
      <c r="L38" s="308">
        <f t="shared" si="1"/>
        <v>0</v>
      </c>
      <c r="M38" s="307"/>
      <c r="N38" s="307"/>
      <c r="O38" s="280">
        <f t="shared" si="0"/>
        <v>0</v>
      </c>
    </row>
    <row r="39" spans="2:15" x14ac:dyDescent="0.35">
      <c r="B39" s="271"/>
      <c r="C39" s="271"/>
      <c r="D39" s="271"/>
      <c r="E39" s="191"/>
      <c r="F39" s="307"/>
      <c r="G39" s="307"/>
      <c r="H39" s="307"/>
      <c r="I39" s="307"/>
      <c r="J39" s="307"/>
      <c r="K39" s="307"/>
      <c r="L39" s="308">
        <f t="shared" si="1"/>
        <v>0</v>
      </c>
      <c r="M39" s="307"/>
      <c r="N39" s="307"/>
      <c r="O39" s="280">
        <f t="shared" si="0"/>
        <v>0</v>
      </c>
    </row>
    <row r="40" spans="2:15" x14ac:dyDescent="0.35">
      <c r="B40" s="271"/>
      <c r="C40" s="271"/>
      <c r="D40" s="271"/>
      <c r="E40" s="191"/>
      <c r="F40" s="307"/>
      <c r="G40" s="307"/>
      <c r="H40" s="307"/>
      <c r="I40" s="307"/>
      <c r="J40" s="307"/>
      <c r="K40" s="307"/>
      <c r="L40" s="308">
        <f t="shared" si="1"/>
        <v>0</v>
      </c>
      <c r="M40" s="307"/>
      <c r="N40" s="307"/>
      <c r="O40" s="280">
        <f t="shared" si="0"/>
        <v>0</v>
      </c>
    </row>
    <row r="41" spans="2:15" x14ac:dyDescent="0.35">
      <c r="B41" s="271"/>
      <c r="C41" s="271"/>
      <c r="D41" s="271"/>
      <c r="E41" s="191"/>
      <c r="F41" s="307"/>
      <c r="G41" s="307"/>
      <c r="H41" s="307"/>
      <c r="I41" s="307"/>
      <c r="J41" s="307"/>
      <c r="K41" s="307"/>
      <c r="L41" s="308">
        <f t="shared" si="1"/>
        <v>0</v>
      </c>
      <c r="M41" s="307"/>
      <c r="N41" s="307"/>
      <c r="O41" s="280">
        <f t="shared" si="0"/>
        <v>0</v>
      </c>
    </row>
    <row r="42" spans="2:15" x14ac:dyDescent="0.35">
      <c r="B42" s="271"/>
      <c r="C42" s="271"/>
      <c r="D42" s="271"/>
      <c r="E42" s="191"/>
      <c r="F42" s="307"/>
      <c r="G42" s="307"/>
      <c r="H42" s="307"/>
      <c r="I42" s="307"/>
      <c r="J42" s="307"/>
      <c r="K42" s="307"/>
      <c r="L42" s="308">
        <f t="shared" ref="L42:L52" si="2">SUM(H42:K42)</f>
        <v>0</v>
      </c>
      <c r="M42" s="307"/>
      <c r="N42" s="307"/>
      <c r="O42" s="280">
        <f t="shared" si="0"/>
        <v>0</v>
      </c>
    </row>
    <row r="43" spans="2:15" x14ac:dyDescent="0.35">
      <c r="B43" s="271"/>
      <c r="C43" s="271"/>
      <c r="D43" s="271"/>
      <c r="E43" s="191"/>
      <c r="F43" s="307"/>
      <c r="G43" s="307"/>
      <c r="H43" s="307"/>
      <c r="I43" s="307"/>
      <c r="J43" s="307"/>
      <c r="K43" s="307"/>
      <c r="L43" s="308">
        <f t="shared" si="2"/>
        <v>0</v>
      </c>
      <c r="M43" s="307"/>
      <c r="N43" s="307"/>
      <c r="O43" s="280">
        <f t="shared" si="0"/>
        <v>0</v>
      </c>
    </row>
    <row r="44" spans="2:15" x14ac:dyDescent="0.35">
      <c r="B44" s="271"/>
      <c r="C44" s="271"/>
      <c r="D44" s="271"/>
      <c r="E44" s="191"/>
      <c r="F44" s="307"/>
      <c r="G44" s="307"/>
      <c r="H44" s="307"/>
      <c r="I44" s="307"/>
      <c r="J44" s="307"/>
      <c r="K44" s="307"/>
      <c r="L44" s="308">
        <f t="shared" si="2"/>
        <v>0</v>
      </c>
      <c r="M44" s="307"/>
      <c r="N44" s="307"/>
      <c r="O44" s="280">
        <f t="shared" si="0"/>
        <v>0</v>
      </c>
    </row>
    <row r="45" spans="2:15" x14ac:dyDescent="0.35">
      <c r="B45" s="271"/>
      <c r="C45" s="271"/>
      <c r="D45" s="271"/>
      <c r="E45" s="191"/>
      <c r="F45" s="307"/>
      <c r="G45" s="307"/>
      <c r="H45" s="307"/>
      <c r="I45" s="307"/>
      <c r="J45" s="307"/>
      <c r="K45" s="307"/>
      <c r="L45" s="308">
        <f t="shared" si="2"/>
        <v>0</v>
      </c>
      <c r="M45" s="307"/>
      <c r="N45" s="307"/>
      <c r="O45" s="280">
        <f t="shared" si="0"/>
        <v>0</v>
      </c>
    </row>
    <row r="46" spans="2:15" x14ac:dyDescent="0.35">
      <c r="B46" s="271"/>
      <c r="C46" s="271"/>
      <c r="D46" s="271"/>
      <c r="E46" s="191"/>
      <c r="F46" s="307"/>
      <c r="G46" s="307"/>
      <c r="H46" s="307"/>
      <c r="I46" s="307"/>
      <c r="J46" s="307"/>
      <c r="K46" s="307"/>
      <c r="L46" s="308">
        <f t="shared" si="2"/>
        <v>0</v>
      </c>
      <c r="M46" s="307"/>
      <c r="N46" s="307"/>
      <c r="O46" s="280">
        <f t="shared" si="0"/>
        <v>0</v>
      </c>
    </row>
    <row r="47" spans="2:15" x14ac:dyDescent="0.35">
      <c r="B47" s="271"/>
      <c r="C47" s="271"/>
      <c r="D47" s="271"/>
      <c r="E47" s="191"/>
      <c r="F47" s="307"/>
      <c r="G47" s="307"/>
      <c r="H47" s="307"/>
      <c r="I47" s="307"/>
      <c r="J47" s="307"/>
      <c r="K47" s="307"/>
      <c r="L47" s="308">
        <f t="shared" si="2"/>
        <v>0</v>
      </c>
      <c r="M47" s="307"/>
      <c r="N47" s="307"/>
      <c r="O47" s="280">
        <f t="shared" si="0"/>
        <v>0</v>
      </c>
    </row>
    <row r="48" spans="2:15" x14ac:dyDescent="0.35">
      <c r="B48" s="271"/>
      <c r="C48" s="271"/>
      <c r="D48" s="271"/>
      <c r="E48" s="191"/>
      <c r="F48" s="307"/>
      <c r="G48" s="307"/>
      <c r="H48" s="307"/>
      <c r="I48" s="307"/>
      <c r="J48" s="307"/>
      <c r="K48" s="307"/>
      <c r="L48" s="308">
        <f t="shared" si="2"/>
        <v>0</v>
      </c>
      <c r="M48" s="307"/>
      <c r="N48" s="307"/>
      <c r="O48" s="280">
        <f t="shared" si="0"/>
        <v>0</v>
      </c>
    </row>
    <row r="49" spans="2:15" x14ac:dyDescent="0.35">
      <c r="B49" s="271"/>
      <c r="C49" s="271"/>
      <c r="D49" s="271"/>
      <c r="E49" s="191"/>
      <c r="F49" s="307"/>
      <c r="G49" s="307"/>
      <c r="H49" s="307"/>
      <c r="I49" s="307"/>
      <c r="J49" s="307"/>
      <c r="K49" s="307"/>
      <c r="L49" s="308">
        <f t="shared" si="2"/>
        <v>0</v>
      </c>
      <c r="M49" s="307"/>
      <c r="N49" s="307"/>
      <c r="O49" s="280">
        <f t="shared" si="0"/>
        <v>0</v>
      </c>
    </row>
    <row r="50" spans="2:15" x14ac:dyDescent="0.35">
      <c r="B50" s="271"/>
      <c r="C50" s="271"/>
      <c r="D50" s="271"/>
      <c r="E50" s="191"/>
      <c r="F50" s="307"/>
      <c r="G50" s="307"/>
      <c r="H50" s="307"/>
      <c r="I50" s="307"/>
      <c r="J50" s="307"/>
      <c r="K50" s="307"/>
      <c r="L50" s="308">
        <f t="shared" si="2"/>
        <v>0</v>
      </c>
      <c r="M50" s="307"/>
      <c r="N50" s="307"/>
      <c r="O50" s="280">
        <f t="shared" si="0"/>
        <v>0</v>
      </c>
    </row>
    <row r="51" spans="2:15" x14ac:dyDescent="0.35">
      <c r="B51" s="271"/>
      <c r="C51" s="271"/>
      <c r="D51" s="271"/>
      <c r="E51" s="191"/>
      <c r="F51" s="307"/>
      <c r="G51" s="307"/>
      <c r="H51" s="307"/>
      <c r="I51" s="307"/>
      <c r="J51" s="307"/>
      <c r="K51" s="307"/>
      <c r="L51" s="308">
        <f t="shared" si="2"/>
        <v>0</v>
      </c>
      <c r="M51" s="307"/>
      <c r="N51" s="307"/>
      <c r="O51" s="280">
        <f t="shared" si="0"/>
        <v>0</v>
      </c>
    </row>
    <row r="52" spans="2:15" x14ac:dyDescent="0.35">
      <c r="B52" s="271"/>
      <c r="C52" s="271"/>
      <c r="D52" s="271"/>
      <c r="E52" s="191"/>
      <c r="F52" s="307"/>
      <c r="G52" s="307"/>
      <c r="H52" s="307"/>
      <c r="I52" s="307"/>
      <c r="J52" s="307"/>
      <c r="K52" s="307"/>
      <c r="L52" s="308">
        <f t="shared" si="2"/>
        <v>0</v>
      </c>
      <c r="M52" s="307"/>
      <c r="N52" s="307"/>
      <c r="O52" s="280">
        <f t="shared" si="0"/>
        <v>0</v>
      </c>
    </row>
    <row r="53" spans="2:15" ht="13.15" x14ac:dyDescent="0.4">
      <c r="B53" s="41"/>
      <c r="C53" s="40"/>
      <c r="D53" s="40" t="s">
        <v>78</v>
      </c>
      <c r="E53" s="43"/>
      <c r="F53" s="309"/>
      <c r="G53" s="282">
        <f>SUM(G9:G52)</f>
        <v>0</v>
      </c>
      <c r="H53" s="282">
        <f t="shared" ref="H53:O53" si="3">SUM(H9:H52)</f>
        <v>14995787.9836</v>
      </c>
      <c r="I53" s="282">
        <f t="shared" si="3"/>
        <v>55904515.8244</v>
      </c>
      <c r="J53" s="282">
        <f t="shared" si="3"/>
        <v>214771.52</v>
      </c>
      <c r="K53" s="282">
        <f t="shared" si="3"/>
        <v>0</v>
      </c>
      <c r="L53" s="282">
        <f t="shared" si="3"/>
        <v>71115075.327999994</v>
      </c>
      <c r="M53" s="282">
        <f t="shared" si="3"/>
        <v>-4244493.125805012</v>
      </c>
      <c r="N53" s="282">
        <f t="shared" si="3"/>
        <v>-1391848.1983422015</v>
      </c>
      <c r="O53" s="282">
        <f t="shared" si="3"/>
        <v>65478734.003852792</v>
      </c>
    </row>
    <row r="56" spans="2:15" ht="15" x14ac:dyDescent="0.4">
      <c r="B56" s="362" t="s">
        <v>310</v>
      </c>
    </row>
    <row r="58" spans="2:15" ht="46.5" customHeight="1" x14ac:dyDescent="0.35">
      <c r="B58" s="122" t="s">
        <v>222</v>
      </c>
      <c r="C58" s="122" t="s">
        <v>19</v>
      </c>
      <c r="D58" s="123" t="s">
        <v>0</v>
      </c>
      <c r="E58" s="122" t="s">
        <v>71</v>
      </c>
      <c r="F58" s="122" t="s">
        <v>72</v>
      </c>
      <c r="G58" s="123" t="s">
        <v>496</v>
      </c>
      <c r="H58" s="122" t="s">
        <v>74</v>
      </c>
      <c r="I58" s="123" t="s">
        <v>486</v>
      </c>
      <c r="J58" s="219" t="s">
        <v>308</v>
      </c>
      <c r="K58" s="122" t="s">
        <v>75</v>
      </c>
      <c r="L58" s="219" t="s">
        <v>309</v>
      </c>
      <c r="M58" s="122" t="s">
        <v>497</v>
      </c>
      <c r="N58" s="122" t="s">
        <v>76</v>
      </c>
    </row>
    <row r="59" spans="2:15" x14ac:dyDescent="0.35">
      <c r="B59" s="124"/>
      <c r="C59" s="124"/>
      <c r="D59" s="218"/>
      <c r="E59" s="124"/>
      <c r="F59" s="128" t="s">
        <v>77</v>
      </c>
      <c r="G59" s="128" t="s">
        <v>182</v>
      </c>
      <c r="H59" s="128" t="s">
        <v>182</v>
      </c>
      <c r="I59" s="128" t="s">
        <v>182</v>
      </c>
      <c r="J59" s="128" t="s">
        <v>182</v>
      </c>
      <c r="K59" s="128" t="s">
        <v>182</v>
      </c>
      <c r="L59" s="128" t="s">
        <v>182</v>
      </c>
      <c r="M59" s="128" t="s">
        <v>182</v>
      </c>
      <c r="N59" s="128" t="s">
        <v>182</v>
      </c>
    </row>
    <row r="60" spans="2:15" x14ac:dyDescent="0.35">
      <c r="B60" s="387" t="s">
        <v>569</v>
      </c>
      <c r="C60" s="272" t="s">
        <v>570</v>
      </c>
      <c r="D60" s="272" t="s">
        <v>432</v>
      </c>
      <c r="E60" s="191" t="s">
        <v>602</v>
      </c>
      <c r="F60" s="270">
        <f>'3.1 Asset useful life'!$E$27</f>
        <v>5</v>
      </c>
      <c r="G60" s="307">
        <v>32272.298570094012</v>
      </c>
      <c r="H60" s="307">
        <v>0</v>
      </c>
      <c r="I60" s="307">
        <v>0</v>
      </c>
      <c r="J60" s="307">
        <v>-997.40480954097643</v>
      </c>
      <c r="K60" s="308">
        <f t="shared" ref="K60:K66" si="4">SUM(G60:J60)</f>
        <v>31274.893760553034</v>
      </c>
      <c r="L60" s="307">
        <v>-31274.893760553034</v>
      </c>
      <c r="M60" s="307">
        <f t="shared" ref="M60:M65" si="5">IF(SUM(K60:L60)&gt;0,-K60/F60,0)</f>
        <v>0</v>
      </c>
      <c r="N60" s="280">
        <f t="shared" ref="N60:N77" si="6">SUM(K60:M60)</f>
        <v>0</v>
      </c>
    </row>
    <row r="61" spans="2:15" x14ac:dyDescent="0.35">
      <c r="B61" s="387" t="s">
        <v>569</v>
      </c>
      <c r="C61" s="272" t="s">
        <v>570</v>
      </c>
      <c r="D61" s="272" t="s">
        <v>432</v>
      </c>
      <c r="E61" s="191" t="s">
        <v>603</v>
      </c>
      <c r="F61" s="270">
        <f>'3.1 Asset useful life'!$E$27</f>
        <v>5</v>
      </c>
      <c r="G61" s="307">
        <v>1920.6653826041911</v>
      </c>
      <c r="H61" s="307">
        <v>0</v>
      </c>
      <c r="I61" s="307">
        <v>0</v>
      </c>
      <c r="J61" s="307">
        <v>-391.2174403462792</v>
      </c>
      <c r="K61" s="308">
        <f t="shared" si="4"/>
        <v>1529.447942257912</v>
      </c>
      <c r="L61" s="307">
        <v>-1529.447942257912</v>
      </c>
      <c r="M61" s="307">
        <f t="shared" si="5"/>
        <v>0</v>
      </c>
      <c r="N61" s="280">
        <f>SUM(K61:M61)</f>
        <v>0</v>
      </c>
    </row>
    <row r="62" spans="2:15" x14ac:dyDescent="0.35">
      <c r="B62" s="387" t="s">
        <v>569</v>
      </c>
      <c r="C62" s="272" t="s">
        <v>570</v>
      </c>
      <c r="D62" s="272" t="s">
        <v>432</v>
      </c>
      <c r="E62" s="191" t="s">
        <v>604</v>
      </c>
      <c r="F62" s="270">
        <f>'3.1 Asset useful life'!$E$27</f>
        <v>5</v>
      </c>
      <c r="G62" s="307">
        <v>1287.8075204418722</v>
      </c>
      <c r="H62" s="307">
        <v>0</v>
      </c>
      <c r="I62" s="307">
        <v>0</v>
      </c>
      <c r="J62" s="307">
        <v>-147.37794445077483</v>
      </c>
      <c r="K62" s="308">
        <f t="shared" si="4"/>
        <v>1140.4295759910974</v>
      </c>
      <c r="L62" s="307">
        <v>-1140.4295759910974</v>
      </c>
      <c r="M62" s="307">
        <f t="shared" si="5"/>
        <v>0</v>
      </c>
      <c r="N62" s="280">
        <f>SUM(K62:M62)</f>
        <v>0</v>
      </c>
    </row>
    <row r="63" spans="2:15" x14ac:dyDescent="0.35">
      <c r="B63" s="387" t="s">
        <v>569</v>
      </c>
      <c r="C63" s="272" t="s">
        <v>570</v>
      </c>
      <c r="D63" s="272" t="s">
        <v>432</v>
      </c>
      <c r="E63" s="191" t="s">
        <v>605</v>
      </c>
      <c r="F63" s="270">
        <f>'3.1 Asset useful life'!$E$27</f>
        <v>5</v>
      </c>
      <c r="G63" s="307">
        <v>53331.816159394868</v>
      </c>
      <c r="H63" s="307">
        <v>0</v>
      </c>
      <c r="I63" s="307">
        <v>0</v>
      </c>
      <c r="J63" s="307">
        <v>-565.56894472533088</v>
      </c>
      <c r="K63" s="308">
        <f t="shared" si="4"/>
        <v>52766.247214669536</v>
      </c>
      <c r="L63" s="307">
        <v>-52766.247214669536</v>
      </c>
      <c r="M63" s="307">
        <f t="shared" si="5"/>
        <v>0</v>
      </c>
      <c r="N63" s="280">
        <f>SUM(K63:M63)</f>
        <v>0</v>
      </c>
    </row>
    <row r="64" spans="2:15" x14ac:dyDescent="0.35">
      <c r="B64" s="387" t="s">
        <v>569</v>
      </c>
      <c r="C64" s="272" t="s">
        <v>570</v>
      </c>
      <c r="D64" s="272" t="s">
        <v>432</v>
      </c>
      <c r="E64" s="191" t="s">
        <v>606</v>
      </c>
      <c r="F64" s="270">
        <f>'3.1 Asset useful life'!$E$27</f>
        <v>5</v>
      </c>
      <c r="G64" s="307">
        <v>25041.294965614121</v>
      </c>
      <c r="H64" s="307">
        <v>0</v>
      </c>
      <c r="I64" s="307">
        <v>0</v>
      </c>
      <c r="J64" s="307">
        <v>-5796.7105197077881</v>
      </c>
      <c r="K64" s="308">
        <f t="shared" si="4"/>
        <v>19244.584445906334</v>
      </c>
      <c r="L64" s="307">
        <v>-19244.584445906334</v>
      </c>
      <c r="M64" s="307">
        <f t="shared" si="5"/>
        <v>0</v>
      </c>
      <c r="N64" s="280">
        <f>SUM(K64:M64)</f>
        <v>0</v>
      </c>
    </row>
    <row r="65" spans="2:14" x14ac:dyDescent="0.35">
      <c r="B65" s="387" t="s">
        <v>569</v>
      </c>
      <c r="C65" s="272" t="s">
        <v>570</v>
      </c>
      <c r="D65" s="272" t="s">
        <v>432</v>
      </c>
      <c r="E65" s="191" t="s">
        <v>571</v>
      </c>
      <c r="F65" s="270">
        <f>'3.1 Asset useful life'!$E$27</f>
        <v>5</v>
      </c>
      <c r="G65" s="307">
        <v>16720.822580762037</v>
      </c>
      <c r="H65" s="307">
        <v>0</v>
      </c>
      <c r="I65" s="307">
        <v>0</v>
      </c>
      <c r="J65" s="307">
        <v>-1702.7521754971758</v>
      </c>
      <c r="K65" s="308">
        <f t="shared" si="4"/>
        <v>15018.070405264862</v>
      </c>
      <c r="L65" s="307">
        <v>-15018.070405264862</v>
      </c>
      <c r="M65" s="307">
        <f t="shared" si="5"/>
        <v>0</v>
      </c>
      <c r="N65" s="280">
        <f>SUM(K65:M65)</f>
        <v>0</v>
      </c>
    </row>
    <row r="66" spans="2:14" x14ac:dyDescent="0.35">
      <c r="B66" s="387" t="s">
        <v>569</v>
      </c>
      <c r="C66" s="272" t="s">
        <v>570</v>
      </c>
      <c r="D66" s="272" t="s">
        <v>432</v>
      </c>
      <c r="E66" s="191" t="s">
        <v>572</v>
      </c>
      <c r="F66" s="270">
        <f>'3.1 Asset useful life'!$E$27</f>
        <v>5</v>
      </c>
      <c r="G66" s="307">
        <v>15094.126339182894</v>
      </c>
      <c r="H66" s="307">
        <v>0</v>
      </c>
      <c r="I66" s="307">
        <v>0</v>
      </c>
      <c r="J66" s="307">
        <v>-4290.7813404933204</v>
      </c>
      <c r="K66" s="308">
        <f t="shared" si="4"/>
        <v>10803.344998689574</v>
      </c>
      <c r="L66" s="307">
        <v>-10803.344998689574</v>
      </c>
      <c r="M66" s="307">
        <f t="shared" ref="M66:M72" si="7">IF(SUM(K66:L66)&gt;0,-K66/F66,0)</f>
        <v>0</v>
      </c>
      <c r="N66" s="280">
        <f t="shared" si="6"/>
        <v>0</v>
      </c>
    </row>
    <row r="67" spans="2:14" x14ac:dyDescent="0.35">
      <c r="B67" s="387" t="s">
        <v>569</v>
      </c>
      <c r="C67" s="272" t="s">
        <v>570</v>
      </c>
      <c r="D67" s="272" t="s">
        <v>432</v>
      </c>
      <c r="E67" s="191" t="s">
        <v>573</v>
      </c>
      <c r="F67" s="270">
        <f>'3.1 Asset useful life'!$E$27</f>
        <v>5</v>
      </c>
      <c r="G67" s="307">
        <v>64599.61090881133</v>
      </c>
      <c r="H67" s="307">
        <v>0</v>
      </c>
      <c r="I67" s="307">
        <v>0</v>
      </c>
      <c r="J67" s="307">
        <v>-5472.0980436376631</v>
      </c>
      <c r="K67" s="308">
        <f t="shared" ref="K67:K76" si="8">SUM(G67:J67)</f>
        <v>59127.512865173667</v>
      </c>
      <c r="L67" s="307">
        <v>-59127.512865173667</v>
      </c>
      <c r="M67" s="307">
        <f t="shared" si="7"/>
        <v>0</v>
      </c>
      <c r="N67" s="280">
        <f t="shared" si="6"/>
        <v>0</v>
      </c>
    </row>
    <row r="68" spans="2:14" x14ac:dyDescent="0.35">
      <c r="B68" s="387" t="s">
        <v>569</v>
      </c>
      <c r="C68" s="272" t="s">
        <v>570</v>
      </c>
      <c r="D68" s="272" t="s">
        <v>432</v>
      </c>
      <c r="E68" s="191" t="s">
        <v>574</v>
      </c>
      <c r="F68" s="270">
        <f>'3.1 Asset useful life'!$E$27</f>
        <v>5</v>
      </c>
      <c r="G68" s="307">
        <v>107030.38588912717</v>
      </c>
      <c r="H68" s="307">
        <v>0</v>
      </c>
      <c r="I68" s="307">
        <v>0</v>
      </c>
      <c r="J68" s="307">
        <v>-6615.4952105369694</v>
      </c>
      <c r="K68" s="308">
        <f t="shared" si="8"/>
        <v>100414.89067859019</v>
      </c>
      <c r="L68" s="307">
        <v>-80331.91254287216</v>
      </c>
      <c r="M68" s="307">
        <f t="shared" si="7"/>
        <v>-20082.97813571804</v>
      </c>
      <c r="N68" s="280">
        <f t="shared" si="6"/>
        <v>0</v>
      </c>
    </row>
    <row r="69" spans="2:14" x14ac:dyDescent="0.35">
      <c r="B69" s="387" t="s">
        <v>569</v>
      </c>
      <c r="C69" s="272" t="s">
        <v>570</v>
      </c>
      <c r="D69" s="272" t="s">
        <v>432</v>
      </c>
      <c r="E69" s="191" t="s">
        <v>575</v>
      </c>
      <c r="F69" s="270">
        <f>'3.1 Asset useful life'!$E$27</f>
        <v>5</v>
      </c>
      <c r="G69" s="307">
        <v>70799.140821330278</v>
      </c>
      <c r="H69" s="307">
        <v>0</v>
      </c>
      <c r="I69" s="307">
        <v>0</v>
      </c>
      <c r="J69" s="307">
        <v>-8039.6273486016598</v>
      </c>
      <c r="K69" s="308">
        <f t="shared" si="8"/>
        <v>62759.51347272862</v>
      </c>
      <c r="L69" s="307">
        <v>-37655.708083637175</v>
      </c>
      <c r="M69" s="307">
        <f t="shared" si="7"/>
        <v>-12551.902694545724</v>
      </c>
      <c r="N69" s="280">
        <f t="shared" si="6"/>
        <v>12551.902694545721</v>
      </c>
    </row>
    <row r="70" spans="2:14" x14ac:dyDescent="0.35">
      <c r="B70" s="387" t="s">
        <v>569</v>
      </c>
      <c r="C70" s="272" t="s">
        <v>570</v>
      </c>
      <c r="D70" s="272" t="s">
        <v>432</v>
      </c>
      <c r="E70" s="191" t="s">
        <v>576</v>
      </c>
      <c r="F70" s="270">
        <f>'3.1 Asset useful life'!$E$27</f>
        <v>5</v>
      </c>
      <c r="G70" s="307">
        <v>104983.7707979674</v>
      </c>
      <c r="H70" s="307">
        <v>0</v>
      </c>
      <c r="I70" s="307">
        <v>0</v>
      </c>
      <c r="J70" s="307">
        <v>-8887.7648614843638</v>
      </c>
      <c r="K70" s="308">
        <f t="shared" si="8"/>
        <v>96096.005936483038</v>
      </c>
      <c r="L70" s="307">
        <v>-38438.402374593214</v>
      </c>
      <c r="M70" s="307">
        <f t="shared" si="7"/>
        <v>-19219.201187296607</v>
      </c>
      <c r="N70" s="280">
        <f t="shared" si="6"/>
        <v>38438.402374593221</v>
      </c>
    </row>
    <row r="71" spans="2:14" x14ac:dyDescent="0.35">
      <c r="B71" s="387" t="s">
        <v>569</v>
      </c>
      <c r="C71" s="272" t="s">
        <v>570</v>
      </c>
      <c r="D71" s="272" t="s">
        <v>432</v>
      </c>
      <c r="E71" s="191" t="s">
        <v>577</v>
      </c>
      <c r="F71" s="270">
        <f>'3.1 Asset useful life'!$E$27</f>
        <v>5</v>
      </c>
      <c r="G71" s="307">
        <v>228338.70385459322</v>
      </c>
      <c r="H71" s="307">
        <v>0</v>
      </c>
      <c r="I71" s="307">
        <v>0</v>
      </c>
      <c r="J71" s="307">
        <v>-4262.9718378931721</v>
      </c>
      <c r="K71" s="308">
        <f t="shared" si="8"/>
        <v>224075.73201670003</v>
      </c>
      <c r="L71" s="307">
        <v>-44815.146403340004</v>
      </c>
      <c r="M71" s="307">
        <f t="shared" si="7"/>
        <v>-44815.146403340004</v>
      </c>
      <c r="N71" s="280">
        <f t="shared" si="6"/>
        <v>134445.43921002001</v>
      </c>
    </row>
    <row r="72" spans="2:14" x14ac:dyDescent="0.35">
      <c r="B72" s="387" t="s">
        <v>569</v>
      </c>
      <c r="C72" s="272" t="s">
        <v>570</v>
      </c>
      <c r="D72" s="272" t="s">
        <v>432</v>
      </c>
      <c r="E72" s="191" t="s">
        <v>578</v>
      </c>
      <c r="F72" s="270">
        <f>'3.1 Asset useful life'!$E$27</f>
        <v>5</v>
      </c>
      <c r="G72" s="307">
        <v>293628.00717038347</v>
      </c>
      <c r="H72" s="307">
        <v>0</v>
      </c>
      <c r="I72" s="307">
        <v>0</v>
      </c>
      <c r="J72" s="307">
        <v>-6373.4181028182011</v>
      </c>
      <c r="K72" s="308">
        <f t="shared" si="8"/>
        <v>287254.58906756528</v>
      </c>
      <c r="L72" s="307">
        <v>0</v>
      </c>
      <c r="M72" s="307">
        <f t="shared" si="7"/>
        <v>-57450.917813513057</v>
      </c>
      <c r="N72" s="280">
        <f t="shared" si="6"/>
        <v>229803.67125405223</v>
      </c>
    </row>
    <row r="73" spans="2:14" x14ac:dyDescent="0.35">
      <c r="B73" s="387" t="s">
        <v>569</v>
      </c>
      <c r="C73" s="272" t="s">
        <v>570</v>
      </c>
      <c r="D73" s="272" t="s">
        <v>432</v>
      </c>
      <c r="E73" s="191" t="s">
        <v>579</v>
      </c>
      <c r="F73" s="270">
        <f>'3.1 Asset useful life'!$E$27</f>
        <v>5</v>
      </c>
      <c r="G73" s="307">
        <v>189594.0739616495</v>
      </c>
      <c r="H73" s="307">
        <v>0</v>
      </c>
      <c r="I73" s="307">
        <v>0</v>
      </c>
      <c r="J73" s="307">
        <v>-11871.676956420057</v>
      </c>
      <c r="K73" s="308">
        <f t="shared" ref="K73" si="9">SUM(G73:J73)</f>
        <v>177722.39700522943</v>
      </c>
      <c r="L73" s="307"/>
      <c r="M73" s="307"/>
      <c r="N73" s="280">
        <f t="shared" si="6"/>
        <v>177722.39700522943</v>
      </c>
    </row>
    <row r="74" spans="2:14" x14ac:dyDescent="0.35">
      <c r="B74" s="387" t="s">
        <v>569</v>
      </c>
      <c r="C74" s="272" t="s">
        <v>313</v>
      </c>
      <c r="D74" s="272" t="s">
        <v>313</v>
      </c>
      <c r="E74" s="191" t="s">
        <v>655</v>
      </c>
      <c r="F74" s="270" t="str">
        <f>'3.1 Asset useful life'!E33</f>
        <v>Various</v>
      </c>
      <c r="G74" s="307">
        <v>172034.61822661289</v>
      </c>
      <c r="H74" s="307">
        <v>66031.526328047679</v>
      </c>
      <c r="I74" s="307">
        <v>0</v>
      </c>
      <c r="J74" s="307">
        <v>-189.10444201108203</v>
      </c>
      <c r="K74" s="308">
        <f t="shared" si="8"/>
        <v>237877.0401126495</v>
      </c>
      <c r="L74" s="307">
        <v>-54371.894368640424</v>
      </c>
      <c r="M74" s="307">
        <v>0</v>
      </c>
      <c r="N74" s="280">
        <f t="shared" si="6"/>
        <v>183505.14574400906</v>
      </c>
    </row>
    <row r="75" spans="2:14" x14ac:dyDescent="0.35">
      <c r="B75" s="387" t="s">
        <v>569</v>
      </c>
      <c r="C75" s="272" t="s">
        <v>313</v>
      </c>
      <c r="D75" s="272" t="s">
        <v>313</v>
      </c>
      <c r="E75" s="191" t="s">
        <v>579</v>
      </c>
      <c r="F75" s="270" t="str">
        <f>'3.1 Asset useful life'!E33</f>
        <v>Various</v>
      </c>
      <c r="G75" s="307">
        <v>0</v>
      </c>
      <c r="H75" s="307">
        <v>59895.770416821491</v>
      </c>
      <c r="I75" s="307">
        <v>0</v>
      </c>
      <c r="J75" s="307">
        <v>-8751.6455987203917</v>
      </c>
      <c r="K75" s="308">
        <f t="shared" si="8"/>
        <v>51144.124818101103</v>
      </c>
      <c r="L75" s="307">
        <v>0</v>
      </c>
      <c r="M75" s="307">
        <v>-63985.983524120405</v>
      </c>
      <c r="N75" s="280">
        <f t="shared" si="6"/>
        <v>-12841.858706019302</v>
      </c>
    </row>
    <row r="76" spans="2:14" x14ac:dyDescent="0.35">
      <c r="B76" s="387"/>
      <c r="C76" s="272"/>
      <c r="D76" s="272"/>
      <c r="E76" s="191"/>
      <c r="F76" s="270"/>
      <c r="G76" s="307"/>
      <c r="H76" s="307"/>
      <c r="I76" s="307"/>
      <c r="J76" s="307"/>
      <c r="K76" s="308">
        <f t="shared" si="8"/>
        <v>0</v>
      </c>
      <c r="L76" s="307"/>
      <c r="M76" s="307"/>
      <c r="N76" s="280">
        <f t="shared" si="6"/>
        <v>0</v>
      </c>
    </row>
    <row r="77" spans="2:14" x14ac:dyDescent="0.35">
      <c r="B77" s="387"/>
      <c r="C77" s="272"/>
      <c r="D77" s="272"/>
      <c r="E77" s="191"/>
      <c r="F77" s="270"/>
      <c r="G77" s="307"/>
      <c r="H77" s="307"/>
      <c r="I77" s="307"/>
      <c r="J77" s="307"/>
      <c r="K77" s="308">
        <f>SUM(G77:J77)</f>
        <v>0</v>
      </c>
      <c r="L77" s="307"/>
      <c r="M77" s="307"/>
      <c r="N77" s="280">
        <f t="shared" si="6"/>
        <v>0</v>
      </c>
    </row>
    <row r="78" spans="2:14" ht="13.15" x14ac:dyDescent="0.4">
      <c r="B78" s="41"/>
      <c r="C78" s="40"/>
      <c r="D78" s="40" t="s">
        <v>26</v>
      </c>
      <c r="E78" s="46"/>
      <c r="F78" s="46"/>
      <c r="G78" s="282">
        <f t="shared" ref="G78:L78" si="10">SUM(G60:G77)</f>
        <v>1376677.1431485692</v>
      </c>
      <c r="H78" s="282">
        <f t="shared" si="10"/>
        <v>125927.29674486918</v>
      </c>
      <c r="I78" s="282">
        <f t="shared" si="10"/>
        <v>0</v>
      </c>
      <c r="J78" s="282">
        <f t="shared" si="10"/>
        <v>-74355.615576885204</v>
      </c>
      <c r="K78" s="282">
        <f t="shared" si="10"/>
        <v>1428248.8243165533</v>
      </c>
      <c r="L78" s="282">
        <f t="shared" si="10"/>
        <v>-446517.59498158901</v>
      </c>
      <c r="M78" s="282">
        <f>SUM(M60:M77)</f>
        <v>-218106.12975853385</v>
      </c>
      <c r="N78" s="282">
        <f>SUM(N60:N77)</f>
        <v>763625.09957643028</v>
      </c>
    </row>
    <row r="89" ht="29.25" customHeight="1" x14ac:dyDescent="0.35"/>
  </sheetData>
  <mergeCells count="1">
    <mergeCell ref="I5:K5"/>
  </mergeCells>
  <phoneticPr fontId="35" type="noConversion"/>
  <dataValidations count="3">
    <dataValidation type="list" showInputMessage="1" showErrorMessage="1" sqref="D9:D10 D12:D52" xr:uid="{00000000-0002-0000-0E00-000000000000}">
      <formula1>rpipelines</formula1>
    </dataValidation>
    <dataValidation type="list" allowBlank="1" showInputMessage="1" showErrorMessage="1" sqref="D60:D77" xr:uid="{00000000-0002-0000-0E00-000001000000}">
      <formula1>rsharedassets</formula1>
    </dataValidation>
    <dataValidation type="list" allowBlank="1" showInputMessage="1" showErrorMessage="1" sqref="D11" xr:uid="{00000000-0002-0000-0E00-000002000000}">
      <formula1>rpipelines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8.86328125" style="34" customWidth="1"/>
    <col min="5" max="5" width="22.59765625" style="34" customWidth="1"/>
    <col min="6" max="6" width="20.59765625" style="34" customWidth="1"/>
    <col min="7" max="7" width="22.59765625" style="34" customWidth="1"/>
    <col min="8" max="8" width="9.3984375" style="34" customWidth="1"/>
    <col min="9" max="9" width="25.1328125" style="34" customWidth="1"/>
    <col min="10" max="16384" width="9.1328125" style="34"/>
  </cols>
  <sheetData>
    <row r="1" spans="2:7" ht="20.65" x14ac:dyDescent="0.6">
      <c r="B1" s="35" t="s">
        <v>120</v>
      </c>
      <c r="C1" s="35"/>
      <c r="D1" s="21"/>
      <c r="E1" s="21"/>
      <c r="F1" s="21"/>
      <c r="G1" s="21"/>
    </row>
    <row r="2" spans="2:7" ht="20.65" x14ac:dyDescent="0.6">
      <c r="B2" s="51" t="str">
        <f>Tradingname</f>
        <v>APA OPERATIONS PTY LIMITED</v>
      </c>
      <c r="C2" s="52"/>
      <c r="D2" s="35"/>
      <c r="E2" s="469" t="s">
        <v>484</v>
      </c>
      <c r="F2" s="469"/>
      <c r="G2" s="469"/>
    </row>
    <row r="3" spans="2:7" ht="17.25" customHeight="1" x14ac:dyDescent="0.4">
      <c r="B3" s="53" t="s">
        <v>239</v>
      </c>
      <c r="C3" s="54" t="str">
        <f>TEXT(Yearstart,"dd/mm/yyyy")&amp;" to "&amp;TEXT(Yearending,"dd/mm/yyyy")</f>
        <v>01/07/2020 to 30/06/2021</v>
      </c>
      <c r="E3" s="469"/>
      <c r="F3" s="469"/>
      <c r="G3" s="469"/>
    </row>
    <row r="4" spans="2:7" x14ac:dyDescent="0.35">
      <c r="E4" s="469"/>
      <c r="F4" s="469"/>
      <c r="G4" s="469"/>
    </row>
    <row r="5" spans="2:7" ht="15" x14ac:dyDescent="0.4">
      <c r="B5" s="38" t="s">
        <v>214</v>
      </c>
      <c r="C5" s="36"/>
      <c r="D5" s="36"/>
      <c r="E5" s="36"/>
      <c r="F5" s="37"/>
      <c r="G5" s="36"/>
    </row>
    <row r="6" spans="2:7" ht="15" x14ac:dyDescent="0.4">
      <c r="B6" s="38"/>
      <c r="C6" s="36"/>
      <c r="D6" s="36"/>
      <c r="E6" s="36"/>
      <c r="F6" s="37"/>
      <c r="G6" s="36"/>
    </row>
    <row r="7" spans="2:7" ht="40.5" customHeight="1" x14ac:dyDescent="0.35">
      <c r="B7" s="110" t="s">
        <v>222</v>
      </c>
      <c r="C7" s="110" t="s">
        <v>169</v>
      </c>
      <c r="D7" s="110" t="s">
        <v>170</v>
      </c>
      <c r="E7" s="119" t="s">
        <v>171</v>
      </c>
      <c r="F7" s="119" t="s">
        <v>69</v>
      </c>
      <c r="G7" s="119" t="s">
        <v>136</v>
      </c>
    </row>
    <row r="8" spans="2:7" ht="13.15" x14ac:dyDescent="0.4">
      <c r="B8" s="112"/>
      <c r="C8" s="112"/>
      <c r="D8" s="116"/>
      <c r="E8" s="125" t="s">
        <v>182</v>
      </c>
      <c r="F8" s="125"/>
      <c r="G8" s="125" t="s">
        <v>182</v>
      </c>
    </row>
    <row r="9" spans="2:7" x14ac:dyDescent="0.35">
      <c r="B9" s="387" t="s">
        <v>569</v>
      </c>
      <c r="C9" s="388" t="s">
        <v>570</v>
      </c>
      <c r="D9" s="388" t="s">
        <v>432</v>
      </c>
      <c r="E9" s="294">
        <v>241717622.80000001</v>
      </c>
      <c r="F9" s="114">
        <v>4.7130517261805647E-3</v>
      </c>
      <c r="G9" s="310">
        <f t="shared" ref="G9:G35" si="0">E9*F9</f>
        <v>1139227.6593858027</v>
      </c>
    </row>
    <row r="10" spans="2:7" x14ac:dyDescent="0.35">
      <c r="B10" s="387" t="s">
        <v>569</v>
      </c>
      <c r="C10" s="388" t="s">
        <v>313</v>
      </c>
      <c r="D10" s="388" t="s">
        <v>313</v>
      </c>
      <c r="E10" s="294">
        <v>35022652.776000008</v>
      </c>
      <c r="F10" s="114">
        <v>8.2524064290415006E-3</v>
      </c>
      <c r="G10" s="310">
        <f t="shared" si="0"/>
        <v>289021.16493075062</v>
      </c>
    </row>
    <row r="11" spans="2:7" x14ac:dyDescent="0.35">
      <c r="B11" s="145"/>
      <c r="C11" s="145"/>
      <c r="D11" s="145"/>
      <c r="E11" s="294"/>
      <c r="F11" s="114"/>
      <c r="G11" s="310">
        <f t="shared" si="0"/>
        <v>0</v>
      </c>
    </row>
    <row r="12" spans="2:7" x14ac:dyDescent="0.35">
      <c r="B12" s="145"/>
      <c r="C12" s="145"/>
      <c r="D12" s="145"/>
      <c r="E12" s="294"/>
      <c r="F12" s="114"/>
      <c r="G12" s="310">
        <f t="shared" si="0"/>
        <v>0</v>
      </c>
    </row>
    <row r="13" spans="2:7" x14ac:dyDescent="0.35">
      <c r="B13" s="145"/>
      <c r="C13" s="145"/>
      <c r="D13" s="145"/>
      <c r="E13" s="294"/>
      <c r="F13" s="114"/>
      <c r="G13" s="310">
        <f t="shared" si="0"/>
        <v>0</v>
      </c>
    </row>
    <row r="14" spans="2:7" x14ac:dyDescent="0.35">
      <c r="B14" s="145"/>
      <c r="C14" s="145"/>
      <c r="D14" s="145"/>
      <c r="E14" s="294"/>
      <c r="F14" s="114"/>
      <c r="G14" s="310">
        <f t="shared" si="0"/>
        <v>0</v>
      </c>
    </row>
    <row r="15" spans="2:7" x14ac:dyDescent="0.35">
      <c r="B15" s="145"/>
      <c r="C15" s="145"/>
      <c r="D15" s="145"/>
      <c r="E15" s="294"/>
      <c r="F15" s="114"/>
      <c r="G15" s="310">
        <f t="shared" si="0"/>
        <v>0</v>
      </c>
    </row>
    <row r="16" spans="2:7" x14ac:dyDescent="0.35">
      <c r="B16" s="145"/>
      <c r="C16" s="145"/>
      <c r="D16" s="145"/>
      <c r="E16" s="294"/>
      <c r="F16" s="114"/>
      <c r="G16" s="310">
        <f t="shared" si="0"/>
        <v>0</v>
      </c>
    </row>
    <row r="17" spans="2:7" x14ac:dyDescent="0.35">
      <c r="B17" s="145"/>
      <c r="C17" s="145"/>
      <c r="D17" s="145"/>
      <c r="E17" s="294"/>
      <c r="F17" s="114"/>
      <c r="G17" s="310">
        <f t="shared" si="0"/>
        <v>0</v>
      </c>
    </row>
    <row r="18" spans="2:7" x14ac:dyDescent="0.35">
      <c r="B18" s="145"/>
      <c r="C18" s="145"/>
      <c r="D18" s="145"/>
      <c r="E18" s="294"/>
      <c r="F18" s="114"/>
      <c r="G18" s="310">
        <f t="shared" si="0"/>
        <v>0</v>
      </c>
    </row>
    <row r="19" spans="2:7" x14ac:dyDescent="0.35">
      <c r="B19" s="145"/>
      <c r="C19" s="145"/>
      <c r="D19" s="145"/>
      <c r="E19" s="294"/>
      <c r="F19" s="114"/>
      <c r="G19" s="310">
        <f t="shared" si="0"/>
        <v>0</v>
      </c>
    </row>
    <row r="20" spans="2:7" x14ac:dyDescent="0.35">
      <c r="B20" s="145"/>
      <c r="C20" s="145"/>
      <c r="D20" s="145"/>
      <c r="E20" s="294"/>
      <c r="F20" s="114"/>
      <c r="G20" s="310">
        <f t="shared" si="0"/>
        <v>0</v>
      </c>
    </row>
    <row r="21" spans="2:7" x14ac:dyDescent="0.35">
      <c r="B21" s="145"/>
      <c r="C21" s="145"/>
      <c r="D21" s="145"/>
      <c r="E21" s="294"/>
      <c r="F21" s="114"/>
      <c r="G21" s="310">
        <f t="shared" si="0"/>
        <v>0</v>
      </c>
    </row>
    <row r="22" spans="2:7" x14ac:dyDescent="0.35">
      <c r="B22" s="145"/>
      <c r="C22" s="145"/>
      <c r="D22" s="145"/>
      <c r="E22" s="294"/>
      <c r="F22" s="114"/>
      <c r="G22" s="310">
        <f t="shared" si="0"/>
        <v>0</v>
      </c>
    </row>
    <row r="23" spans="2:7" x14ac:dyDescent="0.35">
      <c r="B23" s="145"/>
      <c r="C23" s="145"/>
      <c r="D23" s="145"/>
      <c r="E23" s="294"/>
      <c r="F23" s="114"/>
      <c r="G23" s="310">
        <f t="shared" si="0"/>
        <v>0</v>
      </c>
    </row>
    <row r="24" spans="2:7" x14ac:dyDescent="0.35">
      <c r="B24" s="145"/>
      <c r="C24" s="145"/>
      <c r="D24" s="145"/>
      <c r="E24" s="294"/>
      <c r="F24" s="114"/>
      <c r="G24" s="310">
        <f t="shared" si="0"/>
        <v>0</v>
      </c>
    </row>
    <row r="25" spans="2:7" x14ac:dyDescent="0.35">
      <c r="B25" s="145"/>
      <c r="C25" s="145"/>
      <c r="D25" s="145"/>
      <c r="E25" s="294"/>
      <c r="F25" s="114"/>
      <c r="G25" s="310">
        <f t="shared" si="0"/>
        <v>0</v>
      </c>
    </row>
    <row r="26" spans="2:7" x14ac:dyDescent="0.35">
      <c r="B26" s="145"/>
      <c r="C26" s="145"/>
      <c r="D26" s="145"/>
      <c r="E26" s="294"/>
      <c r="F26" s="114"/>
      <c r="G26" s="310">
        <f t="shared" si="0"/>
        <v>0</v>
      </c>
    </row>
    <row r="27" spans="2:7" x14ac:dyDescent="0.35">
      <c r="B27" s="145"/>
      <c r="C27" s="145"/>
      <c r="D27" s="145"/>
      <c r="E27" s="294"/>
      <c r="F27" s="114"/>
      <c r="G27" s="310">
        <f t="shared" si="0"/>
        <v>0</v>
      </c>
    </row>
    <row r="28" spans="2:7" x14ac:dyDescent="0.35">
      <c r="B28" s="145"/>
      <c r="C28" s="145"/>
      <c r="D28" s="145"/>
      <c r="E28" s="294"/>
      <c r="F28" s="114"/>
      <c r="G28" s="310">
        <f t="shared" si="0"/>
        <v>0</v>
      </c>
    </row>
    <row r="29" spans="2:7" x14ac:dyDescent="0.35">
      <c r="B29" s="145"/>
      <c r="C29" s="145"/>
      <c r="D29" s="145"/>
      <c r="E29" s="294"/>
      <c r="F29" s="114"/>
      <c r="G29" s="310">
        <f t="shared" si="0"/>
        <v>0</v>
      </c>
    </row>
    <row r="30" spans="2:7" x14ac:dyDescent="0.35">
      <c r="B30" s="145"/>
      <c r="C30" s="145"/>
      <c r="D30" s="145"/>
      <c r="E30" s="294"/>
      <c r="F30" s="114"/>
      <c r="G30" s="310">
        <f t="shared" si="0"/>
        <v>0</v>
      </c>
    </row>
    <row r="31" spans="2:7" x14ac:dyDescent="0.35">
      <c r="B31" s="145"/>
      <c r="C31" s="145"/>
      <c r="D31" s="145"/>
      <c r="E31" s="294"/>
      <c r="F31" s="114"/>
      <c r="G31" s="310">
        <f t="shared" si="0"/>
        <v>0</v>
      </c>
    </row>
    <row r="32" spans="2:7" x14ac:dyDescent="0.35">
      <c r="B32" s="145"/>
      <c r="C32" s="145"/>
      <c r="D32" s="145"/>
      <c r="E32" s="294"/>
      <c r="F32" s="114"/>
      <c r="G32" s="310">
        <f t="shared" si="0"/>
        <v>0</v>
      </c>
    </row>
    <row r="33" spans="2:7" x14ac:dyDescent="0.35">
      <c r="B33" s="145"/>
      <c r="C33" s="145"/>
      <c r="D33" s="145"/>
      <c r="E33" s="294"/>
      <c r="F33" s="114"/>
      <c r="G33" s="310">
        <f t="shared" si="0"/>
        <v>0</v>
      </c>
    </row>
    <row r="34" spans="2:7" x14ac:dyDescent="0.35">
      <c r="B34" s="145"/>
      <c r="C34" s="145"/>
      <c r="D34" s="145"/>
      <c r="E34" s="294"/>
      <c r="F34" s="114"/>
      <c r="G34" s="310">
        <f t="shared" si="0"/>
        <v>0</v>
      </c>
    </row>
    <row r="35" spans="2:7" x14ac:dyDescent="0.35">
      <c r="B35" s="145"/>
      <c r="C35" s="145"/>
      <c r="D35" s="145"/>
      <c r="E35" s="294"/>
      <c r="F35" s="114"/>
      <c r="G35" s="310">
        <f t="shared" si="0"/>
        <v>0</v>
      </c>
    </row>
    <row r="36" spans="2:7" ht="13.15" x14ac:dyDescent="0.4">
      <c r="B36" s="42"/>
      <c r="C36" s="472" t="s">
        <v>25</v>
      </c>
      <c r="D36" s="473"/>
      <c r="E36" s="280">
        <f>SUM(E9:E35)</f>
        <v>276740275.57600003</v>
      </c>
      <c r="F36" s="39"/>
      <c r="G36" s="310">
        <f>SUM(G9:G35)</f>
        <v>1428248.8243165533</v>
      </c>
    </row>
    <row r="37" spans="2:7" x14ac:dyDescent="0.35">
      <c r="E37" s="273"/>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99CF-407D-4FFC-8744-1DD5F6C818AF}">
  <sheetPr>
    <tabColor rgb="FFFFE9D9"/>
  </sheetPr>
  <dimension ref="A1"/>
  <sheetViews>
    <sheetView zoomScale="80" zoomScaleNormal="80" workbookViewId="0"/>
  </sheetViews>
  <sheetFormatPr defaultRowHeight="12.75" x14ac:dyDescent="0.35"/>
  <cols>
    <col min="1" max="16384" width="9.06640625" style="360"/>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pane xSplit="5" ySplit="8" topLeftCell="F9" activePane="bottomRight" state="frozen"/>
      <selection pane="topRight"/>
      <selection pane="bottomLeft"/>
      <selection pane="bottomRight" activeCell="F9" sqref="F9"/>
    </sheetView>
  </sheetViews>
  <sheetFormatPr defaultColWidth="9" defaultRowHeight="12.75" outlineLevelCol="1" x14ac:dyDescent="0.35"/>
  <cols>
    <col min="1" max="1" width="11.3984375" style="360" customWidth="1"/>
    <col min="2" max="2" width="22.1328125" style="360" customWidth="1"/>
    <col min="3" max="3" width="25.3984375" style="360" customWidth="1"/>
    <col min="4" max="4" width="50.59765625" style="360" customWidth="1"/>
    <col min="5" max="5" width="23.86328125" style="360" customWidth="1"/>
    <col min="6" max="26" width="12" style="360" customWidth="1"/>
    <col min="27" max="29" width="13.59765625" style="360" bestFit="1" customWidth="1"/>
    <col min="30" max="30" width="13.59765625" style="360" hidden="1" customWidth="1" outlineLevel="1"/>
    <col min="31" max="31" width="12.1328125" style="360" hidden="1" customWidth="1" outlineLevel="1"/>
    <col min="32" max="60" width="12" style="360" hidden="1" customWidth="1" outlineLevel="1"/>
    <col min="61" max="61" width="18.86328125" style="360" customWidth="1" collapsed="1"/>
    <col min="62" max="16384" width="9" style="360"/>
  </cols>
  <sheetData>
    <row r="1" spans="2:61" ht="20.65" x14ac:dyDescent="0.6">
      <c r="B1" s="359" t="s">
        <v>163</v>
      </c>
    </row>
    <row r="2" spans="2:61" ht="13.9" x14ac:dyDescent="0.4">
      <c r="B2" s="51" t="str">
        <f>Tradingname</f>
        <v>APA OPERATIONS PTY LIMITED</v>
      </c>
      <c r="C2" s="52"/>
    </row>
    <row r="3" spans="2:61" ht="19.5" customHeight="1" x14ac:dyDescent="0.85">
      <c r="B3" s="53" t="s">
        <v>239</v>
      </c>
      <c r="C3" s="54" t="str">
        <f>TEXT(Yearstart,"dd/mm/yyyy")&amp;" to "&amp;TEXT(Yearending,"dd/mm/yyyy")</f>
        <v>01/07/2020 to 30/06/2021</v>
      </c>
      <c r="K3" s="363"/>
    </row>
    <row r="4" spans="2:61" ht="20.65" x14ac:dyDescent="0.6">
      <c r="B4" s="359"/>
    </row>
    <row r="5" spans="2:61" ht="15" x14ac:dyDescent="0.4">
      <c r="B5" s="362" t="s">
        <v>198</v>
      </c>
      <c r="D5" s="45"/>
      <c r="E5" s="45"/>
    </row>
    <row r="7" spans="2:61" ht="26.25" x14ac:dyDescent="0.35">
      <c r="B7" s="122" t="s">
        <v>222</v>
      </c>
      <c r="C7" s="123" t="s">
        <v>84</v>
      </c>
      <c r="D7" s="123"/>
      <c r="E7" s="126" t="s">
        <v>25</v>
      </c>
      <c r="F7" s="474" t="s">
        <v>83</v>
      </c>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c r="AG7" s="475"/>
      <c r="AH7" s="475"/>
      <c r="AI7" s="475"/>
      <c r="AJ7" s="475"/>
      <c r="AK7" s="475"/>
      <c r="AL7" s="475"/>
      <c r="AM7" s="475"/>
      <c r="AN7" s="475"/>
      <c r="AO7" s="475"/>
      <c r="AP7" s="475"/>
      <c r="AQ7" s="475"/>
      <c r="AR7" s="475"/>
      <c r="AS7" s="475"/>
      <c r="AT7" s="475"/>
      <c r="AU7" s="475"/>
      <c r="AV7" s="475"/>
      <c r="AW7" s="475"/>
      <c r="AX7" s="475"/>
      <c r="AY7" s="475"/>
      <c r="AZ7" s="475"/>
      <c r="BA7" s="475"/>
      <c r="BB7" s="475"/>
      <c r="BC7" s="475"/>
      <c r="BD7" s="475"/>
      <c r="BE7" s="475"/>
      <c r="BF7" s="475"/>
      <c r="BG7" s="475"/>
      <c r="BH7" s="475"/>
      <c r="BI7" s="127" t="s">
        <v>205</v>
      </c>
    </row>
    <row r="8" spans="2:61" s="361" customFormat="1" x14ac:dyDescent="0.35">
      <c r="B8" s="128"/>
      <c r="C8" s="274"/>
      <c r="D8" s="274"/>
      <c r="E8" s="274"/>
      <c r="F8" s="337" t="str">
        <f>RIGHT(TEXT(C38,"dd/mm/yyyy"),4)</f>
        <v>1998</v>
      </c>
      <c r="G8" s="338">
        <f>F8+1</f>
        <v>1999</v>
      </c>
      <c r="H8" s="338">
        <f t="shared" ref="H8:BH8" si="0">G8+1</f>
        <v>2000</v>
      </c>
      <c r="I8" s="338">
        <f t="shared" si="0"/>
        <v>2001</v>
      </c>
      <c r="J8" s="338">
        <f t="shared" si="0"/>
        <v>2002</v>
      </c>
      <c r="K8" s="338">
        <f t="shared" si="0"/>
        <v>2003</v>
      </c>
      <c r="L8" s="338">
        <f t="shared" si="0"/>
        <v>2004</v>
      </c>
      <c r="M8" s="338">
        <f t="shared" si="0"/>
        <v>2005</v>
      </c>
      <c r="N8" s="338">
        <f t="shared" si="0"/>
        <v>2006</v>
      </c>
      <c r="O8" s="338">
        <f t="shared" si="0"/>
        <v>2007</v>
      </c>
      <c r="P8" s="338">
        <f t="shared" si="0"/>
        <v>2008</v>
      </c>
      <c r="Q8" s="338">
        <f t="shared" si="0"/>
        <v>2009</v>
      </c>
      <c r="R8" s="338">
        <f t="shared" si="0"/>
        <v>2010</v>
      </c>
      <c r="S8" s="338">
        <f t="shared" si="0"/>
        <v>2011</v>
      </c>
      <c r="T8" s="338">
        <f t="shared" si="0"/>
        <v>2012</v>
      </c>
      <c r="U8" s="338">
        <f t="shared" si="0"/>
        <v>2013</v>
      </c>
      <c r="V8" s="338">
        <f t="shared" si="0"/>
        <v>2014</v>
      </c>
      <c r="W8" s="338">
        <f t="shared" si="0"/>
        <v>2015</v>
      </c>
      <c r="X8" s="338">
        <f t="shared" si="0"/>
        <v>2016</v>
      </c>
      <c r="Y8" s="338">
        <f t="shared" si="0"/>
        <v>2017</v>
      </c>
      <c r="Z8" s="338">
        <f t="shared" si="0"/>
        <v>2018</v>
      </c>
      <c r="AA8" s="338">
        <f t="shared" si="0"/>
        <v>2019</v>
      </c>
      <c r="AB8" s="338">
        <f t="shared" si="0"/>
        <v>2020</v>
      </c>
      <c r="AC8" s="338">
        <f t="shared" si="0"/>
        <v>2021</v>
      </c>
      <c r="AD8" s="338">
        <f t="shared" si="0"/>
        <v>2022</v>
      </c>
      <c r="AE8" s="338">
        <f t="shared" si="0"/>
        <v>2023</v>
      </c>
      <c r="AF8" s="338">
        <f t="shared" si="0"/>
        <v>2024</v>
      </c>
      <c r="AG8" s="338">
        <f t="shared" si="0"/>
        <v>2025</v>
      </c>
      <c r="AH8" s="338">
        <f t="shared" si="0"/>
        <v>2026</v>
      </c>
      <c r="AI8" s="338">
        <f t="shared" si="0"/>
        <v>2027</v>
      </c>
      <c r="AJ8" s="338">
        <f t="shared" si="0"/>
        <v>2028</v>
      </c>
      <c r="AK8" s="338">
        <f t="shared" si="0"/>
        <v>2029</v>
      </c>
      <c r="AL8" s="338">
        <f t="shared" si="0"/>
        <v>2030</v>
      </c>
      <c r="AM8" s="338">
        <f t="shared" si="0"/>
        <v>2031</v>
      </c>
      <c r="AN8" s="338">
        <f t="shared" si="0"/>
        <v>2032</v>
      </c>
      <c r="AO8" s="338">
        <f t="shared" si="0"/>
        <v>2033</v>
      </c>
      <c r="AP8" s="338">
        <f t="shared" si="0"/>
        <v>2034</v>
      </c>
      <c r="AQ8" s="338">
        <f t="shared" si="0"/>
        <v>2035</v>
      </c>
      <c r="AR8" s="338">
        <f t="shared" si="0"/>
        <v>2036</v>
      </c>
      <c r="AS8" s="338">
        <f t="shared" si="0"/>
        <v>2037</v>
      </c>
      <c r="AT8" s="338">
        <f t="shared" si="0"/>
        <v>2038</v>
      </c>
      <c r="AU8" s="338">
        <f t="shared" si="0"/>
        <v>2039</v>
      </c>
      <c r="AV8" s="338">
        <f t="shared" si="0"/>
        <v>2040</v>
      </c>
      <c r="AW8" s="338">
        <f t="shared" si="0"/>
        <v>2041</v>
      </c>
      <c r="AX8" s="338">
        <f t="shared" si="0"/>
        <v>2042</v>
      </c>
      <c r="AY8" s="338">
        <f t="shared" si="0"/>
        <v>2043</v>
      </c>
      <c r="AZ8" s="338">
        <f t="shared" si="0"/>
        <v>2044</v>
      </c>
      <c r="BA8" s="338">
        <f t="shared" si="0"/>
        <v>2045</v>
      </c>
      <c r="BB8" s="338">
        <f t="shared" si="0"/>
        <v>2046</v>
      </c>
      <c r="BC8" s="338">
        <f t="shared" si="0"/>
        <v>2047</v>
      </c>
      <c r="BD8" s="338">
        <f t="shared" si="0"/>
        <v>2048</v>
      </c>
      <c r="BE8" s="338">
        <f t="shared" si="0"/>
        <v>2049</v>
      </c>
      <c r="BF8" s="338">
        <f t="shared" si="0"/>
        <v>2050</v>
      </c>
      <c r="BG8" s="338">
        <f t="shared" si="0"/>
        <v>2051</v>
      </c>
      <c r="BH8" s="338">
        <f t="shared" si="0"/>
        <v>2052</v>
      </c>
    </row>
    <row r="9" spans="2:61" ht="13.15" x14ac:dyDescent="0.35">
      <c r="B9" s="389">
        <v>3</v>
      </c>
      <c r="C9" s="155" t="s">
        <v>66</v>
      </c>
      <c r="D9" s="156"/>
      <c r="E9" s="280"/>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row>
    <row r="10" spans="2:61" ht="13.15" x14ac:dyDescent="0.35">
      <c r="B10" s="322"/>
      <c r="C10" s="129"/>
      <c r="D10" s="151" t="s">
        <v>73</v>
      </c>
      <c r="E10" s="280">
        <f t="shared" ref="E10:E32" si="1">SUM(F10:BH10)</f>
        <v>16860431.90574909</v>
      </c>
      <c r="F10" s="281">
        <v>16860431.90574909</v>
      </c>
      <c r="G10" s="281">
        <v>0</v>
      </c>
      <c r="H10" s="281">
        <v>0</v>
      </c>
      <c r="I10" s="281">
        <v>0</v>
      </c>
      <c r="J10" s="281">
        <v>0</v>
      </c>
      <c r="K10" s="281">
        <v>0</v>
      </c>
      <c r="L10" s="281">
        <v>0</v>
      </c>
      <c r="M10" s="281">
        <v>0</v>
      </c>
      <c r="N10" s="281">
        <v>0</v>
      </c>
      <c r="O10" s="281">
        <v>0</v>
      </c>
      <c r="P10" s="281">
        <v>0</v>
      </c>
      <c r="Q10" s="281">
        <v>0</v>
      </c>
      <c r="R10" s="281">
        <v>0</v>
      </c>
      <c r="S10" s="281">
        <v>0</v>
      </c>
      <c r="T10" s="281">
        <v>0</v>
      </c>
      <c r="U10" s="281">
        <v>0</v>
      </c>
      <c r="V10" s="281">
        <v>0</v>
      </c>
      <c r="W10" s="281">
        <v>0</v>
      </c>
      <c r="X10" s="281">
        <v>0</v>
      </c>
      <c r="Y10" s="281">
        <v>0</v>
      </c>
      <c r="Z10" s="281">
        <v>0</v>
      </c>
      <c r="AA10" s="281">
        <v>0</v>
      </c>
      <c r="AB10" s="281">
        <v>0</v>
      </c>
      <c r="AC10" s="281">
        <v>0</v>
      </c>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row>
    <row r="11" spans="2:61" ht="13.15" x14ac:dyDescent="0.35">
      <c r="B11" s="322"/>
      <c r="C11" s="129"/>
      <c r="D11" s="151" t="s">
        <v>166</v>
      </c>
      <c r="E11" s="280">
        <f>SUM(F11:BH11)</f>
        <v>1288518.2428191723</v>
      </c>
      <c r="F11" s="281">
        <v>731028.02664993447</v>
      </c>
      <c r="G11" s="281">
        <v>7592.2792085303226</v>
      </c>
      <c r="H11" s="281">
        <v>22776.83762559155</v>
      </c>
      <c r="I11" s="281">
        <v>46638.286566687166</v>
      </c>
      <c r="J11" s="281">
        <v>22776.837625591434</v>
      </c>
      <c r="K11" s="281">
        <v>21692.226310087135</v>
      </c>
      <c r="L11" s="281">
        <v>21692.226310087135</v>
      </c>
      <c r="M11" s="281">
        <v>21692.226310087135</v>
      </c>
      <c r="N11" s="281">
        <v>35792.173411643831</v>
      </c>
      <c r="O11" s="281">
        <v>19523.003679078305</v>
      </c>
      <c r="P11" s="281">
        <v>42299.841304669739</v>
      </c>
      <c r="Q11" s="281">
        <v>14099.947101556696</v>
      </c>
      <c r="R11" s="281">
        <v>31453.728149626171</v>
      </c>
      <c r="S11" s="281">
        <v>36876.784727148013</v>
      </c>
      <c r="T11" s="281">
        <v>13015.335786052281</v>
      </c>
      <c r="U11" s="281">
        <v>26030.671572104329</v>
      </c>
      <c r="V11" s="281">
        <v>33622.950780635001</v>
      </c>
      <c r="W11" s="281">
        <v>17353.781048069475</v>
      </c>
      <c r="X11" s="281">
        <v>11930.724470547866</v>
      </c>
      <c r="Y11" s="281">
        <v>22776.83762559155</v>
      </c>
      <c r="Z11" s="281">
        <v>24946.060256600147</v>
      </c>
      <c r="AA11" s="281">
        <v>19523.003679078305</v>
      </c>
      <c r="AB11" s="281">
        <v>-4338.4452620171942</v>
      </c>
      <c r="AC11" s="281">
        <v>47722.897882191464</v>
      </c>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row>
    <row r="12" spans="2:61" ht="13.15" x14ac:dyDescent="0.35">
      <c r="B12" s="322"/>
      <c r="C12" s="129"/>
      <c r="D12" s="151" t="s">
        <v>74</v>
      </c>
      <c r="E12" s="280">
        <f t="shared" si="1"/>
        <v>58254285.378644317</v>
      </c>
      <c r="F12" s="281">
        <v>0</v>
      </c>
      <c r="G12" s="281">
        <v>202628.52237787677</v>
      </c>
      <c r="H12" s="281">
        <v>139782.7932419173</v>
      </c>
      <c r="I12" s="281">
        <v>0</v>
      </c>
      <c r="J12" s="281">
        <v>0</v>
      </c>
      <c r="K12" s="281">
        <v>0</v>
      </c>
      <c r="L12" s="281">
        <v>0</v>
      </c>
      <c r="M12" s="281">
        <v>0</v>
      </c>
      <c r="N12" s="281">
        <v>0</v>
      </c>
      <c r="O12" s="281">
        <v>0</v>
      </c>
      <c r="P12" s="281">
        <v>0</v>
      </c>
      <c r="Q12" s="281">
        <v>0</v>
      </c>
      <c r="R12" s="281">
        <v>0</v>
      </c>
      <c r="S12" s="281">
        <v>0</v>
      </c>
      <c r="T12" s="281">
        <v>55626.675554795707</v>
      </c>
      <c r="U12" s="281">
        <v>0</v>
      </c>
      <c r="V12" s="281">
        <v>0</v>
      </c>
      <c r="W12" s="281">
        <v>54977.179014749607</v>
      </c>
      <c r="X12" s="281">
        <v>288270.90319826256</v>
      </c>
      <c r="Y12" s="281">
        <v>790729.68958805862</v>
      </c>
      <c r="Z12" s="281">
        <v>33249.255669572434</v>
      </c>
      <c r="AA12" s="281">
        <v>34230378.571712188</v>
      </c>
      <c r="AB12" s="281">
        <v>5427917.9438046692</v>
      </c>
      <c r="AC12" s="281">
        <v>17030723.844482232</v>
      </c>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row>
    <row r="13" spans="2:61" ht="13.15" x14ac:dyDescent="0.35">
      <c r="B13" s="322"/>
      <c r="C13" s="129"/>
      <c r="D13" s="151" t="s">
        <v>124</v>
      </c>
      <c r="E13" s="280">
        <f t="shared" si="1"/>
        <v>224353.88264141753</v>
      </c>
      <c r="F13" s="281">
        <v>0</v>
      </c>
      <c r="G13" s="281">
        <v>0</v>
      </c>
      <c r="H13" s="281">
        <v>0</v>
      </c>
      <c r="I13" s="281">
        <v>0</v>
      </c>
      <c r="J13" s="281">
        <v>0</v>
      </c>
      <c r="K13" s="281">
        <v>0</v>
      </c>
      <c r="L13" s="281">
        <v>0</v>
      </c>
      <c r="M13" s="281">
        <v>0</v>
      </c>
      <c r="N13" s="281">
        <v>0</v>
      </c>
      <c r="O13" s="281">
        <v>0</v>
      </c>
      <c r="P13" s="281">
        <v>0</v>
      </c>
      <c r="Q13" s="281">
        <v>0</v>
      </c>
      <c r="R13" s="281">
        <v>0</v>
      </c>
      <c r="S13" s="281">
        <v>0</v>
      </c>
      <c r="T13" s="281">
        <v>163780.2809887664</v>
      </c>
      <c r="U13" s="281">
        <v>0</v>
      </c>
      <c r="V13" s="281">
        <v>60573.60165265113</v>
      </c>
      <c r="W13" s="281">
        <v>0</v>
      </c>
      <c r="X13" s="281">
        <v>0</v>
      </c>
      <c r="Y13" s="281">
        <v>0</v>
      </c>
      <c r="Z13" s="281">
        <v>0</v>
      </c>
      <c r="AA13" s="281">
        <v>0</v>
      </c>
      <c r="AB13" s="281">
        <v>0</v>
      </c>
      <c r="AC13" s="281">
        <v>0</v>
      </c>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row>
    <row r="14" spans="2:61" ht="13.15" x14ac:dyDescent="0.35">
      <c r="B14" s="322"/>
      <c r="C14" s="129"/>
      <c r="D14" s="151" t="s">
        <v>79</v>
      </c>
      <c r="E14" s="280">
        <f t="shared" si="1"/>
        <v>0</v>
      </c>
      <c r="F14" s="281">
        <v>0</v>
      </c>
      <c r="G14" s="281">
        <v>0</v>
      </c>
      <c r="H14" s="281">
        <v>0</v>
      </c>
      <c r="I14" s="281">
        <v>0</v>
      </c>
      <c r="J14" s="281">
        <v>0</v>
      </c>
      <c r="K14" s="281">
        <v>0</v>
      </c>
      <c r="L14" s="281">
        <v>0</v>
      </c>
      <c r="M14" s="281">
        <v>0</v>
      </c>
      <c r="N14" s="281">
        <v>0</v>
      </c>
      <c r="O14" s="281">
        <v>0</v>
      </c>
      <c r="P14" s="281">
        <v>0</v>
      </c>
      <c r="Q14" s="281">
        <v>0</v>
      </c>
      <c r="R14" s="281">
        <v>0</v>
      </c>
      <c r="S14" s="281">
        <v>0</v>
      </c>
      <c r="T14" s="281">
        <v>0</v>
      </c>
      <c r="U14" s="281">
        <v>0</v>
      </c>
      <c r="V14" s="281">
        <v>0</v>
      </c>
      <c r="W14" s="281">
        <v>0</v>
      </c>
      <c r="X14" s="281">
        <v>0</v>
      </c>
      <c r="Y14" s="281">
        <v>0</v>
      </c>
      <c r="Z14" s="281">
        <v>0</v>
      </c>
      <c r="AA14" s="281">
        <v>0</v>
      </c>
      <c r="AB14" s="281">
        <v>0</v>
      </c>
      <c r="AC14" s="281">
        <v>0</v>
      </c>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row>
    <row r="15" spans="2:61" ht="13.15" x14ac:dyDescent="0.35">
      <c r="B15" s="322"/>
      <c r="C15" s="129"/>
      <c r="D15" s="151" t="s">
        <v>316</v>
      </c>
      <c r="E15" s="280">
        <f t="shared" si="1"/>
        <v>30885.797020505899</v>
      </c>
      <c r="F15" s="281">
        <v>0</v>
      </c>
      <c r="G15" s="281">
        <v>0</v>
      </c>
      <c r="H15" s="281">
        <v>0</v>
      </c>
      <c r="I15" s="281">
        <v>0</v>
      </c>
      <c r="J15" s="281">
        <v>0</v>
      </c>
      <c r="K15" s="281">
        <v>0</v>
      </c>
      <c r="L15" s="281">
        <v>0</v>
      </c>
      <c r="M15" s="281">
        <v>0</v>
      </c>
      <c r="N15" s="281">
        <v>0</v>
      </c>
      <c r="O15" s="281">
        <v>0</v>
      </c>
      <c r="P15" s="281">
        <v>0</v>
      </c>
      <c r="Q15" s="281">
        <v>0</v>
      </c>
      <c r="R15" s="281">
        <v>0</v>
      </c>
      <c r="S15" s="281">
        <v>0</v>
      </c>
      <c r="T15" s="281">
        <v>0</v>
      </c>
      <c r="U15" s="281">
        <v>0</v>
      </c>
      <c r="V15" s="281">
        <v>0</v>
      </c>
      <c r="W15" s="281">
        <v>0</v>
      </c>
      <c r="X15" s="281">
        <v>0</v>
      </c>
      <c r="Y15" s="281">
        <v>0</v>
      </c>
      <c r="Z15" s="281">
        <v>0</v>
      </c>
      <c r="AA15" s="281">
        <v>0</v>
      </c>
      <c r="AB15" s="281">
        <v>32059.162814823099</v>
      </c>
      <c r="AC15" s="281">
        <v>-1173.3657943171997</v>
      </c>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row>
    <row r="16" spans="2:61" ht="13.15" x14ac:dyDescent="0.4">
      <c r="B16" s="322"/>
      <c r="C16" s="129"/>
      <c r="D16" s="152" t="s">
        <v>75</v>
      </c>
      <c r="E16" s="280">
        <f>SUM(F16:BH16)</f>
        <v>76658475.206874505</v>
      </c>
      <c r="F16" s="282">
        <f>SUM(F9:F15)</f>
        <v>17591459.932399023</v>
      </c>
      <c r="G16" s="282">
        <f t="shared" ref="G16:BH16" si="2">SUM(G9:G15)</f>
        <v>210220.80158640709</v>
      </c>
      <c r="H16" s="282">
        <f t="shared" si="2"/>
        <v>162559.63086750885</v>
      </c>
      <c r="I16" s="282">
        <f t="shared" si="2"/>
        <v>46638.286566687166</v>
      </c>
      <c r="J16" s="282">
        <f t="shared" si="2"/>
        <v>22776.837625591434</v>
      </c>
      <c r="K16" s="282">
        <f t="shared" si="2"/>
        <v>21692.226310087135</v>
      </c>
      <c r="L16" s="282">
        <f t="shared" si="2"/>
        <v>21692.226310087135</v>
      </c>
      <c r="M16" s="282">
        <f t="shared" si="2"/>
        <v>21692.226310087135</v>
      </c>
      <c r="N16" s="282">
        <f t="shared" si="2"/>
        <v>35792.173411643831</v>
      </c>
      <c r="O16" s="282">
        <f t="shared" si="2"/>
        <v>19523.003679078305</v>
      </c>
      <c r="P16" s="282">
        <f t="shared" si="2"/>
        <v>42299.841304669739</v>
      </c>
      <c r="Q16" s="282">
        <f t="shared" si="2"/>
        <v>14099.947101556696</v>
      </c>
      <c r="R16" s="282">
        <f t="shared" si="2"/>
        <v>31453.728149626171</v>
      </c>
      <c r="S16" s="282">
        <f t="shared" si="2"/>
        <v>36876.784727148013</v>
      </c>
      <c r="T16" s="282">
        <f t="shared" si="2"/>
        <v>232422.2923296144</v>
      </c>
      <c r="U16" s="282">
        <f t="shared" si="2"/>
        <v>26030.671572104329</v>
      </c>
      <c r="V16" s="282">
        <f t="shared" si="2"/>
        <v>94196.552433286124</v>
      </c>
      <c r="W16" s="282">
        <f t="shared" si="2"/>
        <v>72330.960062819082</v>
      </c>
      <c r="X16" s="282">
        <f t="shared" si="2"/>
        <v>300201.62766881043</v>
      </c>
      <c r="Y16" s="282">
        <f t="shared" si="2"/>
        <v>813506.52721365017</v>
      </c>
      <c r="Z16" s="282">
        <f t="shared" si="2"/>
        <v>58195.315926172581</v>
      </c>
      <c r="AA16" s="282">
        <f t="shared" si="2"/>
        <v>34249901.57539127</v>
      </c>
      <c r="AB16" s="282">
        <f t="shared" si="2"/>
        <v>5455638.6613574745</v>
      </c>
      <c r="AC16" s="282">
        <f t="shared" si="2"/>
        <v>17077273.376570106</v>
      </c>
      <c r="AD16" s="282">
        <f t="shared" si="2"/>
        <v>0</v>
      </c>
      <c r="AE16" s="282">
        <f t="shared" si="2"/>
        <v>0</v>
      </c>
      <c r="AF16" s="282">
        <f t="shared" si="2"/>
        <v>0</v>
      </c>
      <c r="AG16" s="282">
        <f t="shared" si="2"/>
        <v>0</v>
      </c>
      <c r="AH16" s="282">
        <f t="shared" si="2"/>
        <v>0</v>
      </c>
      <c r="AI16" s="282">
        <f t="shared" si="2"/>
        <v>0</v>
      </c>
      <c r="AJ16" s="282">
        <f t="shared" si="2"/>
        <v>0</v>
      </c>
      <c r="AK16" s="282">
        <f t="shared" si="2"/>
        <v>0</v>
      </c>
      <c r="AL16" s="282">
        <f t="shared" si="2"/>
        <v>0</v>
      </c>
      <c r="AM16" s="282">
        <f t="shared" si="2"/>
        <v>0</v>
      </c>
      <c r="AN16" s="282">
        <f t="shared" si="2"/>
        <v>0</v>
      </c>
      <c r="AO16" s="282">
        <f t="shared" si="2"/>
        <v>0</v>
      </c>
      <c r="AP16" s="282">
        <f t="shared" si="2"/>
        <v>0</v>
      </c>
      <c r="AQ16" s="282">
        <f t="shared" si="2"/>
        <v>0</v>
      </c>
      <c r="AR16" s="282">
        <f t="shared" si="2"/>
        <v>0</v>
      </c>
      <c r="AS16" s="282">
        <f t="shared" si="2"/>
        <v>0</v>
      </c>
      <c r="AT16" s="282">
        <f t="shared" si="2"/>
        <v>0</v>
      </c>
      <c r="AU16" s="282">
        <f t="shared" si="2"/>
        <v>0</v>
      </c>
      <c r="AV16" s="282">
        <f t="shared" si="2"/>
        <v>0</v>
      </c>
      <c r="AW16" s="282">
        <f t="shared" si="2"/>
        <v>0</v>
      </c>
      <c r="AX16" s="282">
        <f t="shared" si="2"/>
        <v>0</v>
      </c>
      <c r="AY16" s="282">
        <f t="shared" si="2"/>
        <v>0</v>
      </c>
      <c r="AZ16" s="282">
        <f t="shared" si="2"/>
        <v>0</v>
      </c>
      <c r="BA16" s="282">
        <f t="shared" si="2"/>
        <v>0</v>
      </c>
      <c r="BB16" s="282">
        <f t="shared" si="2"/>
        <v>0</v>
      </c>
      <c r="BC16" s="282">
        <f t="shared" si="2"/>
        <v>0</v>
      </c>
      <c r="BD16" s="282">
        <f t="shared" si="2"/>
        <v>0</v>
      </c>
      <c r="BE16" s="282">
        <f t="shared" si="2"/>
        <v>0</v>
      </c>
      <c r="BF16" s="282">
        <f t="shared" si="2"/>
        <v>0</v>
      </c>
      <c r="BG16" s="282">
        <f t="shared" si="2"/>
        <v>0</v>
      </c>
      <c r="BH16" s="282">
        <f t="shared" si="2"/>
        <v>0</v>
      </c>
    </row>
    <row r="17" spans="2:60" ht="13.15" x14ac:dyDescent="0.4">
      <c r="B17" s="389" t="s">
        <v>580</v>
      </c>
      <c r="C17" s="155" t="s">
        <v>162</v>
      </c>
      <c r="D17" s="156"/>
      <c r="E17" s="280"/>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row>
    <row r="18" spans="2:60" ht="25.5" x14ac:dyDescent="0.35">
      <c r="B18" s="322"/>
      <c r="C18" s="129"/>
      <c r="D18" s="151" t="s">
        <v>325</v>
      </c>
      <c r="E18" s="280">
        <f t="shared" si="1"/>
        <v>0</v>
      </c>
      <c r="F18" s="281">
        <v>0</v>
      </c>
      <c r="G18" s="281">
        <v>0</v>
      </c>
      <c r="H18" s="281">
        <v>0</v>
      </c>
      <c r="I18" s="281">
        <v>0</v>
      </c>
      <c r="J18" s="281">
        <v>0</v>
      </c>
      <c r="K18" s="281">
        <v>0</v>
      </c>
      <c r="L18" s="281">
        <v>0</v>
      </c>
      <c r="M18" s="281">
        <v>0</v>
      </c>
      <c r="N18" s="281">
        <v>0</v>
      </c>
      <c r="O18" s="281">
        <v>0</v>
      </c>
      <c r="P18" s="281">
        <v>0</v>
      </c>
      <c r="Q18" s="281">
        <v>0</v>
      </c>
      <c r="R18" s="281">
        <v>0</v>
      </c>
      <c r="S18" s="281">
        <v>0</v>
      </c>
      <c r="T18" s="281">
        <v>0</v>
      </c>
      <c r="U18" s="281">
        <v>0</v>
      </c>
      <c r="V18" s="281">
        <v>0</v>
      </c>
      <c r="W18" s="281">
        <v>0</v>
      </c>
      <c r="X18" s="281">
        <v>0</v>
      </c>
      <c r="Y18" s="281">
        <v>0</v>
      </c>
      <c r="Z18" s="281">
        <v>0</v>
      </c>
      <c r="AA18" s="281">
        <v>0</v>
      </c>
      <c r="AB18" s="281">
        <v>0</v>
      </c>
      <c r="AC18" s="281">
        <v>0</v>
      </c>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row>
    <row r="19" spans="2:60" ht="13.15" x14ac:dyDescent="0.35">
      <c r="B19" s="322"/>
      <c r="C19" s="129"/>
      <c r="D19" s="151" t="s">
        <v>74</v>
      </c>
      <c r="E19" s="280">
        <f t="shared" si="1"/>
        <v>1201720.642479992</v>
      </c>
      <c r="F19" s="281">
        <v>0</v>
      </c>
      <c r="G19" s="281">
        <v>0</v>
      </c>
      <c r="H19" s="281">
        <v>0</v>
      </c>
      <c r="I19" s="281">
        <v>0</v>
      </c>
      <c r="J19" s="281">
        <v>0</v>
      </c>
      <c r="K19" s="281">
        <v>0</v>
      </c>
      <c r="L19" s="281">
        <v>0</v>
      </c>
      <c r="M19" s="281">
        <v>0</v>
      </c>
      <c r="N19" s="281">
        <v>0</v>
      </c>
      <c r="O19" s="281">
        <v>0</v>
      </c>
      <c r="P19" s="281">
        <v>32679.124986532039</v>
      </c>
      <c r="Q19" s="281">
        <v>1604.6750751933853</v>
      </c>
      <c r="R19" s="281">
        <v>1196.772511916942</v>
      </c>
      <c r="S19" s="281">
        <v>55201.065478015575</v>
      </c>
      <c r="T19" s="281">
        <v>20111.836975171125</v>
      </c>
      <c r="U19" s="281">
        <v>15718.496035230592</v>
      </c>
      <c r="V19" s="281">
        <v>11272.281167084868</v>
      </c>
      <c r="W19" s="281">
        <v>61679.570423789919</v>
      </c>
      <c r="X19" s="281">
        <v>104701.14959620523</v>
      </c>
      <c r="Y19" s="281">
        <v>65388.395397080385</v>
      </c>
      <c r="Z19" s="281">
        <v>100082.30778287924</v>
      </c>
      <c r="AA19" s="281">
        <v>232359.68999669797</v>
      </c>
      <c r="AB19" s="281">
        <v>303737.23774522549</v>
      </c>
      <c r="AC19" s="281">
        <v>195988.03930896914</v>
      </c>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row>
    <row r="20" spans="2:60" ht="13.15" x14ac:dyDescent="0.35">
      <c r="B20" s="322"/>
      <c r="C20" s="129"/>
      <c r="D20" s="151" t="s">
        <v>124</v>
      </c>
      <c r="E20" s="280">
        <f t="shared" si="1"/>
        <v>0</v>
      </c>
      <c r="F20" s="281">
        <v>0</v>
      </c>
      <c r="G20" s="281">
        <v>0</v>
      </c>
      <c r="H20" s="281">
        <v>0</v>
      </c>
      <c r="I20" s="281">
        <v>0</v>
      </c>
      <c r="J20" s="281">
        <v>0</v>
      </c>
      <c r="K20" s="281">
        <v>0</v>
      </c>
      <c r="L20" s="281">
        <v>0</v>
      </c>
      <c r="M20" s="281">
        <v>0</v>
      </c>
      <c r="N20" s="281">
        <v>0</v>
      </c>
      <c r="O20" s="281">
        <v>0</v>
      </c>
      <c r="P20" s="281">
        <v>0</v>
      </c>
      <c r="Q20" s="281">
        <v>0</v>
      </c>
      <c r="R20" s="281">
        <v>0</v>
      </c>
      <c r="S20" s="281">
        <v>0</v>
      </c>
      <c r="T20" s="281">
        <v>0</v>
      </c>
      <c r="U20" s="281">
        <v>0</v>
      </c>
      <c r="V20" s="281">
        <v>0</v>
      </c>
      <c r="W20" s="281">
        <v>0</v>
      </c>
      <c r="X20" s="281">
        <v>0</v>
      </c>
      <c r="Y20" s="281">
        <v>0</v>
      </c>
      <c r="Z20" s="281">
        <v>0</v>
      </c>
      <c r="AA20" s="281">
        <v>0</v>
      </c>
      <c r="AB20" s="281">
        <v>0</v>
      </c>
      <c r="AC20" s="281">
        <v>0</v>
      </c>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row>
    <row r="21" spans="2:60" ht="13.15" x14ac:dyDescent="0.35">
      <c r="B21" s="322"/>
      <c r="C21" s="129"/>
      <c r="D21" s="151" t="s">
        <v>79</v>
      </c>
      <c r="E21" s="280">
        <f t="shared" si="1"/>
        <v>-28107.295461517511</v>
      </c>
      <c r="F21" s="281">
        <v>0</v>
      </c>
      <c r="G21" s="281">
        <v>0</v>
      </c>
      <c r="H21" s="281">
        <v>0</v>
      </c>
      <c r="I21" s="281">
        <v>0</v>
      </c>
      <c r="J21" s="281">
        <v>0</v>
      </c>
      <c r="K21" s="281">
        <v>0</v>
      </c>
      <c r="L21" s="281">
        <v>0</v>
      </c>
      <c r="M21" s="281">
        <v>0</v>
      </c>
      <c r="N21" s="281">
        <v>0</v>
      </c>
      <c r="O21" s="281">
        <v>0</v>
      </c>
      <c r="P21" s="281">
        <v>0</v>
      </c>
      <c r="Q21" s="281">
        <v>0</v>
      </c>
      <c r="R21" s="281">
        <v>0</v>
      </c>
      <c r="S21" s="281">
        <v>0</v>
      </c>
      <c r="T21" s="281">
        <v>0</v>
      </c>
      <c r="U21" s="281">
        <v>0</v>
      </c>
      <c r="V21" s="281">
        <v>0</v>
      </c>
      <c r="W21" s="281">
        <v>0</v>
      </c>
      <c r="X21" s="281">
        <v>0</v>
      </c>
      <c r="Y21" s="281">
        <v>0</v>
      </c>
      <c r="Z21" s="281">
        <v>0</v>
      </c>
      <c r="AA21" s="281">
        <v>0</v>
      </c>
      <c r="AB21" s="281">
        <v>-6788.4616648662286</v>
      </c>
      <c r="AC21" s="281">
        <v>-21318.833796651281</v>
      </c>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row>
    <row r="22" spans="2:60" ht="13.15" x14ac:dyDescent="0.35">
      <c r="B22" s="322"/>
      <c r="C22" s="129"/>
      <c r="D22" s="151" t="s">
        <v>316</v>
      </c>
      <c r="E22" s="280">
        <f t="shared" si="1"/>
        <v>308178.1777554804</v>
      </c>
      <c r="F22" s="281">
        <v>0</v>
      </c>
      <c r="G22" s="281">
        <v>0</v>
      </c>
      <c r="H22" s="281">
        <v>0</v>
      </c>
      <c r="I22" s="281">
        <v>0</v>
      </c>
      <c r="J22" s="281">
        <v>0</v>
      </c>
      <c r="K22" s="281">
        <v>0</v>
      </c>
      <c r="L22" s="281">
        <v>0</v>
      </c>
      <c r="M22" s="281">
        <v>0</v>
      </c>
      <c r="N22" s="281">
        <v>0</v>
      </c>
      <c r="O22" s="281">
        <v>0</v>
      </c>
      <c r="P22" s="281">
        <v>0</v>
      </c>
      <c r="Q22" s="281">
        <v>0</v>
      </c>
      <c r="R22" s="281">
        <v>0</v>
      </c>
      <c r="S22" s="281">
        <v>0</v>
      </c>
      <c r="T22" s="281">
        <v>0</v>
      </c>
      <c r="U22" s="281">
        <v>0</v>
      </c>
      <c r="V22" s="281">
        <v>0</v>
      </c>
      <c r="W22" s="281">
        <v>0</v>
      </c>
      <c r="X22" s="281">
        <v>0</v>
      </c>
      <c r="Y22" s="281">
        <v>0</v>
      </c>
      <c r="Z22" s="281">
        <v>0</v>
      </c>
      <c r="AA22" s="281">
        <v>0</v>
      </c>
      <c r="AB22" s="281">
        <v>246262.45242923679</v>
      </c>
      <c r="AC22" s="281">
        <v>61915.725326243584</v>
      </c>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row>
    <row r="23" spans="2:60" ht="13.15" x14ac:dyDescent="0.4">
      <c r="B23" s="322"/>
      <c r="C23" s="129"/>
      <c r="D23" s="152" t="s">
        <v>75</v>
      </c>
      <c r="E23" s="280">
        <f>SUM(F23:BH23)</f>
        <v>1481791.5247739546</v>
      </c>
      <c r="F23" s="282">
        <f>SUM(F18:F22)</f>
        <v>0</v>
      </c>
      <c r="G23" s="282">
        <f t="shared" ref="G23:BH23" si="3">SUM(G18:G22)</f>
        <v>0</v>
      </c>
      <c r="H23" s="282">
        <f t="shared" si="3"/>
        <v>0</v>
      </c>
      <c r="I23" s="282">
        <f t="shared" si="3"/>
        <v>0</v>
      </c>
      <c r="J23" s="282">
        <f t="shared" si="3"/>
        <v>0</v>
      </c>
      <c r="K23" s="282">
        <f t="shared" si="3"/>
        <v>0</v>
      </c>
      <c r="L23" s="282">
        <f t="shared" si="3"/>
        <v>0</v>
      </c>
      <c r="M23" s="282">
        <f t="shared" si="3"/>
        <v>0</v>
      </c>
      <c r="N23" s="282">
        <f t="shared" si="3"/>
        <v>0</v>
      </c>
      <c r="O23" s="282">
        <f t="shared" si="3"/>
        <v>0</v>
      </c>
      <c r="P23" s="282">
        <f t="shared" si="3"/>
        <v>32679.124986532039</v>
      </c>
      <c r="Q23" s="282">
        <f t="shared" si="3"/>
        <v>1604.6750751933853</v>
      </c>
      <c r="R23" s="282">
        <f t="shared" si="3"/>
        <v>1196.772511916942</v>
      </c>
      <c r="S23" s="282">
        <f t="shared" si="3"/>
        <v>55201.065478015575</v>
      </c>
      <c r="T23" s="282">
        <f t="shared" si="3"/>
        <v>20111.836975171125</v>
      </c>
      <c r="U23" s="282">
        <f t="shared" si="3"/>
        <v>15718.496035230592</v>
      </c>
      <c r="V23" s="282">
        <f t="shared" si="3"/>
        <v>11272.281167084868</v>
      </c>
      <c r="W23" s="282">
        <f t="shared" si="3"/>
        <v>61679.570423789919</v>
      </c>
      <c r="X23" s="282">
        <f t="shared" si="3"/>
        <v>104701.14959620523</v>
      </c>
      <c r="Y23" s="282">
        <f t="shared" si="3"/>
        <v>65388.395397080385</v>
      </c>
      <c r="Z23" s="282">
        <f t="shared" si="3"/>
        <v>100082.30778287924</v>
      </c>
      <c r="AA23" s="282">
        <f t="shared" si="3"/>
        <v>232359.68999669797</v>
      </c>
      <c r="AB23" s="282">
        <f t="shared" si="3"/>
        <v>543211.22850959608</v>
      </c>
      <c r="AC23" s="282">
        <f t="shared" si="3"/>
        <v>236584.93083856144</v>
      </c>
      <c r="AD23" s="282">
        <f t="shared" si="3"/>
        <v>0</v>
      </c>
      <c r="AE23" s="282">
        <f t="shared" si="3"/>
        <v>0</v>
      </c>
      <c r="AF23" s="282">
        <f t="shared" si="3"/>
        <v>0</v>
      </c>
      <c r="AG23" s="282">
        <f t="shared" si="3"/>
        <v>0</v>
      </c>
      <c r="AH23" s="282">
        <f t="shared" si="3"/>
        <v>0</v>
      </c>
      <c r="AI23" s="282">
        <f t="shared" si="3"/>
        <v>0</v>
      </c>
      <c r="AJ23" s="282">
        <f t="shared" si="3"/>
        <v>0</v>
      </c>
      <c r="AK23" s="282">
        <f t="shared" si="3"/>
        <v>0</v>
      </c>
      <c r="AL23" s="282">
        <f t="shared" si="3"/>
        <v>0</v>
      </c>
      <c r="AM23" s="282">
        <f t="shared" si="3"/>
        <v>0</v>
      </c>
      <c r="AN23" s="282">
        <f t="shared" si="3"/>
        <v>0</v>
      </c>
      <c r="AO23" s="282">
        <f t="shared" si="3"/>
        <v>0</v>
      </c>
      <c r="AP23" s="282">
        <f t="shared" si="3"/>
        <v>0</v>
      </c>
      <c r="AQ23" s="282">
        <f t="shared" si="3"/>
        <v>0</v>
      </c>
      <c r="AR23" s="282">
        <f t="shared" si="3"/>
        <v>0</v>
      </c>
      <c r="AS23" s="282">
        <f t="shared" si="3"/>
        <v>0</v>
      </c>
      <c r="AT23" s="282">
        <f t="shared" si="3"/>
        <v>0</v>
      </c>
      <c r="AU23" s="282">
        <f t="shared" si="3"/>
        <v>0</v>
      </c>
      <c r="AV23" s="282">
        <f t="shared" si="3"/>
        <v>0</v>
      </c>
      <c r="AW23" s="282">
        <f t="shared" si="3"/>
        <v>0</v>
      </c>
      <c r="AX23" s="282">
        <f t="shared" si="3"/>
        <v>0</v>
      </c>
      <c r="AY23" s="282">
        <f t="shared" si="3"/>
        <v>0</v>
      </c>
      <c r="AZ23" s="282">
        <f t="shared" si="3"/>
        <v>0</v>
      </c>
      <c r="BA23" s="282">
        <f t="shared" si="3"/>
        <v>0</v>
      </c>
      <c r="BB23" s="282">
        <f t="shared" si="3"/>
        <v>0</v>
      </c>
      <c r="BC23" s="282">
        <f t="shared" si="3"/>
        <v>0</v>
      </c>
      <c r="BD23" s="282">
        <f t="shared" si="3"/>
        <v>0</v>
      </c>
      <c r="BE23" s="282">
        <f t="shared" si="3"/>
        <v>0</v>
      </c>
      <c r="BF23" s="282">
        <f t="shared" si="3"/>
        <v>0</v>
      </c>
      <c r="BG23" s="282">
        <f t="shared" si="3"/>
        <v>0</v>
      </c>
      <c r="BH23" s="282">
        <f t="shared" si="3"/>
        <v>0</v>
      </c>
    </row>
    <row r="24" spans="2:60" ht="13.15" x14ac:dyDescent="0.4">
      <c r="B24" s="322"/>
      <c r="C24" s="129"/>
      <c r="D24" s="152" t="s">
        <v>96</v>
      </c>
      <c r="E24" s="280">
        <f>E16+E23</f>
        <v>78140266.73164846</v>
      </c>
      <c r="F24" s="282">
        <f t="shared" ref="F24:BH24" si="4">F16+F23</f>
        <v>17591459.932399023</v>
      </c>
      <c r="G24" s="282">
        <f t="shared" si="4"/>
        <v>210220.80158640709</v>
      </c>
      <c r="H24" s="282">
        <f t="shared" si="4"/>
        <v>162559.63086750885</v>
      </c>
      <c r="I24" s="282">
        <f t="shared" si="4"/>
        <v>46638.286566687166</v>
      </c>
      <c r="J24" s="282">
        <f t="shared" si="4"/>
        <v>22776.837625591434</v>
      </c>
      <c r="K24" s="282">
        <f t="shared" si="4"/>
        <v>21692.226310087135</v>
      </c>
      <c r="L24" s="282">
        <f t="shared" si="4"/>
        <v>21692.226310087135</v>
      </c>
      <c r="M24" s="282">
        <f t="shared" si="4"/>
        <v>21692.226310087135</v>
      </c>
      <c r="N24" s="282">
        <f t="shared" si="4"/>
        <v>35792.173411643831</v>
      </c>
      <c r="O24" s="282">
        <f t="shared" si="4"/>
        <v>19523.003679078305</v>
      </c>
      <c r="P24" s="282">
        <f t="shared" si="4"/>
        <v>74978.966291201781</v>
      </c>
      <c r="Q24" s="282">
        <f t="shared" si="4"/>
        <v>15704.622176750081</v>
      </c>
      <c r="R24" s="282">
        <f t="shared" si="4"/>
        <v>32650.500661543112</v>
      </c>
      <c r="S24" s="282">
        <f t="shared" si="4"/>
        <v>92077.850205163588</v>
      </c>
      <c r="T24" s="282">
        <f t="shared" si="4"/>
        <v>252534.12930478551</v>
      </c>
      <c r="U24" s="282">
        <f t="shared" si="4"/>
        <v>41749.167607334923</v>
      </c>
      <c r="V24" s="282">
        <f t="shared" si="4"/>
        <v>105468.833600371</v>
      </c>
      <c r="W24" s="282">
        <f t="shared" si="4"/>
        <v>134010.530486609</v>
      </c>
      <c r="X24" s="282">
        <f t="shared" si="4"/>
        <v>404902.77726501564</v>
      </c>
      <c r="Y24" s="282">
        <f t="shared" si="4"/>
        <v>878894.92261073051</v>
      </c>
      <c r="Z24" s="282">
        <f t="shared" si="4"/>
        <v>158277.62370905181</v>
      </c>
      <c r="AA24" s="282">
        <f t="shared" si="4"/>
        <v>34482261.265387967</v>
      </c>
      <c r="AB24" s="282">
        <f t="shared" si="4"/>
        <v>5998849.8898670711</v>
      </c>
      <c r="AC24" s="282">
        <f t="shared" si="4"/>
        <v>17313858.307408668</v>
      </c>
      <c r="AD24" s="282">
        <f t="shared" si="4"/>
        <v>0</v>
      </c>
      <c r="AE24" s="282">
        <f t="shared" si="4"/>
        <v>0</v>
      </c>
      <c r="AF24" s="282">
        <f t="shared" si="4"/>
        <v>0</v>
      </c>
      <c r="AG24" s="282">
        <f t="shared" si="4"/>
        <v>0</v>
      </c>
      <c r="AH24" s="282">
        <f t="shared" si="4"/>
        <v>0</v>
      </c>
      <c r="AI24" s="282">
        <f t="shared" si="4"/>
        <v>0</v>
      </c>
      <c r="AJ24" s="282">
        <f t="shared" si="4"/>
        <v>0</v>
      </c>
      <c r="AK24" s="282">
        <f t="shared" si="4"/>
        <v>0</v>
      </c>
      <c r="AL24" s="282">
        <f t="shared" si="4"/>
        <v>0</v>
      </c>
      <c r="AM24" s="282">
        <f t="shared" si="4"/>
        <v>0</v>
      </c>
      <c r="AN24" s="282">
        <f t="shared" si="4"/>
        <v>0</v>
      </c>
      <c r="AO24" s="282">
        <f t="shared" si="4"/>
        <v>0</v>
      </c>
      <c r="AP24" s="282">
        <f t="shared" si="4"/>
        <v>0</v>
      </c>
      <c r="AQ24" s="282">
        <f t="shared" si="4"/>
        <v>0</v>
      </c>
      <c r="AR24" s="282">
        <f t="shared" si="4"/>
        <v>0</v>
      </c>
      <c r="AS24" s="282">
        <f t="shared" si="4"/>
        <v>0</v>
      </c>
      <c r="AT24" s="282">
        <f t="shared" si="4"/>
        <v>0</v>
      </c>
      <c r="AU24" s="282">
        <f t="shared" si="4"/>
        <v>0</v>
      </c>
      <c r="AV24" s="282">
        <f t="shared" si="4"/>
        <v>0</v>
      </c>
      <c r="AW24" s="282">
        <f t="shared" si="4"/>
        <v>0</v>
      </c>
      <c r="AX24" s="282">
        <f t="shared" si="4"/>
        <v>0</v>
      </c>
      <c r="AY24" s="282">
        <f t="shared" si="4"/>
        <v>0</v>
      </c>
      <c r="AZ24" s="282">
        <f t="shared" si="4"/>
        <v>0</v>
      </c>
      <c r="BA24" s="282">
        <f t="shared" si="4"/>
        <v>0</v>
      </c>
      <c r="BB24" s="282">
        <f t="shared" si="4"/>
        <v>0</v>
      </c>
      <c r="BC24" s="282">
        <f t="shared" si="4"/>
        <v>0</v>
      </c>
      <c r="BD24" s="282">
        <f t="shared" si="4"/>
        <v>0</v>
      </c>
      <c r="BE24" s="282">
        <f t="shared" si="4"/>
        <v>0</v>
      </c>
      <c r="BF24" s="282">
        <f t="shared" si="4"/>
        <v>0</v>
      </c>
      <c r="BG24" s="282">
        <f t="shared" si="4"/>
        <v>0</v>
      </c>
      <c r="BH24" s="282">
        <f t="shared" si="4"/>
        <v>0</v>
      </c>
    </row>
    <row r="25" spans="2:60" ht="13.15" x14ac:dyDescent="0.35">
      <c r="B25" s="322"/>
      <c r="C25" s="155" t="s">
        <v>203</v>
      </c>
      <c r="D25" s="156"/>
      <c r="E25" s="280"/>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row>
    <row r="26" spans="2:60" ht="13.15" x14ac:dyDescent="0.35">
      <c r="B26" s="389" t="s">
        <v>581</v>
      </c>
      <c r="C26" s="129"/>
      <c r="D26" s="153" t="s">
        <v>117</v>
      </c>
      <c r="E26" s="280">
        <f t="shared" si="1"/>
        <v>81540611.379939377</v>
      </c>
      <c r="F26" s="281">
        <v>895801.66032008256</v>
      </c>
      <c r="G26" s="281">
        <v>1892142.9958654793</v>
      </c>
      <c r="H26" s="281">
        <v>1740030.9234703672</v>
      </c>
      <c r="I26" s="281">
        <v>1767982.77072819</v>
      </c>
      <c r="J26" s="281">
        <v>1667828.832298941</v>
      </c>
      <c r="K26" s="281">
        <v>1664939.9626778383</v>
      </c>
      <c r="L26" s="281">
        <v>1628050.8122673105</v>
      </c>
      <c r="M26" s="281">
        <v>1581649.0755658851</v>
      </c>
      <c r="N26" s="281">
        <v>1595299.0895304875</v>
      </c>
      <c r="O26" s="281">
        <v>1604096.186425746</v>
      </c>
      <c r="P26" s="281">
        <v>2056078.93</v>
      </c>
      <c r="Q26" s="281">
        <v>2399161.2200000002</v>
      </c>
      <c r="R26" s="281">
        <v>2617691.54</v>
      </c>
      <c r="S26" s="281">
        <v>2587945.58</v>
      </c>
      <c r="T26" s="281">
        <v>2762030.7300000004</v>
      </c>
      <c r="U26" s="281">
        <v>2816635.3600000003</v>
      </c>
      <c r="V26" s="281">
        <v>2914283.62</v>
      </c>
      <c r="W26" s="281">
        <v>2865595.57</v>
      </c>
      <c r="X26" s="281">
        <v>3464308.41</v>
      </c>
      <c r="Y26" s="281">
        <v>5134243.78</v>
      </c>
      <c r="Z26" s="281">
        <v>4731990.51</v>
      </c>
      <c r="AA26" s="281">
        <v>7560717.4107890902</v>
      </c>
      <c r="AB26" s="281">
        <v>11597528.830000002</v>
      </c>
      <c r="AC26" s="281">
        <v>11994577.579999952</v>
      </c>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row>
    <row r="27" spans="2:60" ht="13.15" x14ac:dyDescent="0.35">
      <c r="B27" s="389" t="s">
        <v>581</v>
      </c>
      <c r="C27" s="129"/>
      <c r="D27" s="153" t="s">
        <v>118</v>
      </c>
      <c r="E27" s="280">
        <f t="shared" si="1"/>
        <v>-17130949.696542263</v>
      </c>
      <c r="F27" s="281">
        <v>0</v>
      </c>
      <c r="G27" s="281">
        <v>0</v>
      </c>
      <c r="H27" s="281">
        <v>0</v>
      </c>
      <c r="I27" s="281">
        <v>0</v>
      </c>
      <c r="J27" s="281">
        <v>0</v>
      </c>
      <c r="K27" s="281">
        <v>0</v>
      </c>
      <c r="L27" s="281">
        <v>0</v>
      </c>
      <c r="M27" s="281">
        <v>0</v>
      </c>
      <c r="N27" s="281">
        <v>0</v>
      </c>
      <c r="O27" s="281">
        <v>0</v>
      </c>
      <c r="P27" s="281">
        <v>-493457.81999999995</v>
      </c>
      <c r="Q27" s="281">
        <v>-262058.52000000002</v>
      </c>
      <c r="R27" s="281">
        <v>-262483.78354848962</v>
      </c>
      <c r="S27" s="281">
        <v>-467652.27098620264</v>
      </c>
      <c r="T27" s="281">
        <v>-574285.25569669995</v>
      </c>
      <c r="U27" s="281">
        <v>-520580.78999999992</v>
      </c>
      <c r="V27" s="281">
        <v>-645055.88691528526</v>
      </c>
      <c r="W27" s="281">
        <v>-624805.66121240007</v>
      </c>
      <c r="X27" s="281">
        <v>-657634.22178101784</v>
      </c>
      <c r="Y27" s="281">
        <v>-911793.34842475597</v>
      </c>
      <c r="Z27" s="281">
        <v>-1022205.5347873003</v>
      </c>
      <c r="AA27" s="281">
        <v>-2600836.8634922481</v>
      </c>
      <c r="AB27" s="281">
        <v>-4205583.4301651204</v>
      </c>
      <c r="AC27" s="281">
        <v>-3882516.3095327434</v>
      </c>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row>
    <row r="28" spans="2:60" ht="13.15" x14ac:dyDescent="0.35">
      <c r="B28" s="389" t="s">
        <v>582</v>
      </c>
      <c r="C28" s="129"/>
      <c r="D28" s="153" t="s">
        <v>119</v>
      </c>
      <c r="E28" s="280">
        <f t="shared" si="1"/>
        <v>-6044127.2803722704</v>
      </c>
      <c r="F28" s="281">
        <v>-164165.45832363851</v>
      </c>
      <c r="G28" s="281">
        <v>0</v>
      </c>
      <c r="H28" s="281">
        <v>0</v>
      </c>
      <c r="I28" s="281">
        <v>0</v>
      </c>
      <c r="J28" s="281">
        <v>0</v>
      </c>
      <c r="K28" s="281">
        <v>0</v>
      </c>
      <c r="L28" s="281">
        <v>0</v>
      </c>
      <c r="M28" s="281">
        <v>0</v>
      </c>
      <c r="N28" s="281">
        <v>0</v>
      </c>
      <c r="O28" s="281">
        <v>0</v>
      </c>
      <c r="P28" s="281">
        <v>0</v>
      </c>
      <c r="Q28" s="281">
        <v>0</v>
      </c>
      <c r="R28" s="281">
        <v>0</v>
      </c>
      <c r="S28" s="281">
        <v>0</v>
      </c>
      <c r="T28" s="281">
        <v>-69469.265088343687</v>
      </c>
      <c r="U28" s="281">
        <v>-162800.99763354007</v>
      </c>
      <c r="V28" s="281">
        <v>-163589.23344277704</v>
      </c>
      <c r="W28" s="281">
        <v>-163828.84002157729</v>
      </c>
      <c r="X28" s="281">
        <v>-338472.36641328951</v>
      </c>
      <c r="Y28" s="281">
        <v>-767133.15353097534</v>
      </c>
      <c r="Z28" s="281">
        <v>-891640.58967061073</v>
      </c>
      <c r="AA28" s="281">
        <v>-1041080.3014967538</v>
      </c>
      <c r="AB28" s="281">
        <v>-1110725.8714170887</v>
      </c>
      <c r="AC28" s="281">
        <v>-1171221.2033336761</v>
      </c>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row>
    <row r="29" spans="2:60" ht="13.15" x14ac:dyDescent="0.35">
      <c r="B29" s="389"/>
      <c r="C29" s="129"/>
      <c r="D29" s="153" t="s">
        <v>317</v>
      </c>
      <c r="E29" s="280">
        <f t="shared" si="1"/>
        <v>-16894.895809084315</v>
      </c>
      <c r="F29" s="281">
        <v>0</v>
      </c>
      <c r="G29" s="281">
        <v>0</v>
      </c>
      <c r="H29" s="281">
        <v>0</v>
      </c>
      <c r="I29" s="281">
        <v>0</v>
      </c>
      <c r="J29" s="281">
        <v>0</v>
      </c>
      <c r="K29" s="281">
        <v>0</v>
      </c>
      <c r="L29" s="281">
        <v>0</v>
      </c>
      <c r="M29" s="281">
        <v>0</v>
      </c>
      <c r="N29" s="281">
        <v>0</v>
      </c>
      <c r="O29" s="281">
        <v>0</v>
      </c>
      <c r="P29" s="281">
        <v>0</v>
      </c>
      <c r="Q29" s="281">
        <v>0</v>
      </c>
      <c r="R29" s="281">
        <v>0</v>
      </c>
      <c r="S29" s="281">
        <v>0</v>
      </c>
      <c r="T29" s="281">
        <v>0</v>
      </c>
      <c r="U29" s="281">
        <v>0</v>
      </c>
      <c r="V29" s="281">
        <v>0</v>
      </c>
      <c r="W29" s="281">
        <v>0</v>
      </c>
      <c r="X29" s="281">
        <v>0</v>
      </c>
      <c r="Y29" s="281">
        <v>0</v>
      </c>
      <c r="Z29" s="281">
        <v>0</v>
      </c>
      <c r="AA29" s="281">
        <v>0</v>
      </c>
      <c r="AB29" s="281">
        <v>-9070.336646964437</v>
      </c>
      <c r="AC29" s="281">
        <v>-7824.5591621198782</v>
      </c>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row>
    <row r="30" spans="2:60" ht="13.15" x14ac:dyDescent="0.35">
      <c r="B30" s="389" t="s">
        <v>583</v>
      </c>
      <c r="C30" s="129"/>
      <c r="D30" s="153" t="s">
        <v>164</v>
      </c>
      <c r="E30" s="280">
        <f t="shared" si="1"/>
        <v>-40595545.894214928</v>
      </c>
      <c r="F30" s="281">
        <v>0</v>
      </c>
      <c r="G30" s="281">
        <v>-1944604.2726254254</v>
      </c>
      <c r="H30" s="281">
        <v>-1818751.2724380419</v>
      </c>
      <c r="I30" s="281">
        <v>-1868666.5347221</v>
      </c>
      <c r="J30" s="281">
        <v>-1779422.9944234951</v>
      </c>
      <c r="K30" s="281">
        <v>-1791183.8673918722</v>
      </c>
      <c r="L30" s="281">
        <v>-1769969.8345993967</v>
      </c>
      <c r="M30" s="281">
        <v>-1739642.4512177589</v>
      </c>
      <c r="N30" s="281">
        <v>-1782997.2094575213</v>
      </c>
      <c r="O30" s="281">
        <v>-1823666.3568113684</v>
      </c>
      <c r="P30" s="281">
        <v>-1688092.5388580598</v>
      </c>
      <c r="Q30" s="281">
        <v>-1880133.9231576896</v>
      </c>
      <c r="R30" s="281">
        <v>-1860983.9599308558</v>
      </c>
      <c r="S30" s="281">
        <v>-1681878.8944933545</v>
      </c>
      <c r="T30" s="281">
        <v>-1609088.5301863034</v>
      </c>
      <c r="U30" s="281">
        <v>-1648419.8414407405</v>
      </c>
      <c r="V30" s="281">
        <v>-1487485.0926932516</v>
      </c>
      <c r="W30" s="281">
        <v>-1435946.1313589048</v>
      </c>
      <c r="X30" s="281">
        <v>-1376320.2590417531</v>
      </c>
      <c r="Y30" s="281">
        <v>-1292984.8304506852</v>
      </c>
      <c r="Z30" s="281">
        <v>-1175225.6691825921</v>
      </c>
      <c r="AA30" s="281">
        <v>-933684.58853204525</v>
      </c>
      <c r="AB30" s="281">
        <v>-3038686.9443797907</v>
      </c>
      <c r="AC30" s="281">
        <v>-3167709.8968219263</v>
      </c>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row>
    <row r="31" spans="2:60" ht="13.15" x14ac:dyDescent="0.4">
      <c r="B31" s="322"/>
      <c r="C31" s="129"/>
      <c r="D31" s="152" t="s">
        <v>165</v>
      </c>
      <c r="E31" s="280">
        <f t="shared" si="1"/>
        <v>17753093.613000821</v>
      </c>
      <c r="F31" s="282">
        <f>SUM(F26:F30)</f>
        <v>731636.20199644403</v>
      </c>
      <c r="G31" s="282">
        <f t="shared" ref="G31:BH31" si="5">SUM(G26:G30)</f>
        <v>-52461.27675994602</v>
      </c>
      <c r="H31" s="282">
        <f t="shared" si="5"/>
        <v>-78720.348967674654</v>
      </c>
      <c r="I31" s="282">
        <f t="shared" si="5"/>
        <v>-100683.76399391005</v>
      </c>
      <c r="J31" s="282">
        <f t="shared" si="5"/>
        <v>-111594.16212455416</v>
      </c>
      <c r="K31" s="282">
        <f t="shared" si="5"/>
        <v>-126243.90471403394</v>
      </c>
      <c r="L31" s="282">
        <f t="shared" si="5"/>
        <v>-141919.02233208623</v>
      </c>
      <c r="M31" s="282">
        <f t="shared" si="5"/>
        <v>-157993.37565187388</v>
      </c>
      <c r="N31" s="282">
        <f t="shared" si="5"/>
        <v>-187698.11992703378</v>
      </c>
      <c r="O31" s="282">
        <f t="shared" si="5"/>
        <v>-219570.17038562242</v>
      </c>
      <c r="P31" s="282">
        <f t="shared" si="5"/>
        <v>-125471.42885805992</v>
      </c>
      <c r="Q31" s="282">
        <f t="shared" si="5"/>
        <v>256968.77684231056</v>
      </c>
      <c r="R31" s="282">
        <f t="shared" si="5"/>
        <v>494223.79652065458</v>
      </c>
      <c r="S31" s="282">
        <f t="shared" si="5"/>
        <v>438414.41452044295</v>
      </c>
      <c r="T31" s="282">
        <f t="shared" si="5"/>
        <v>509187.67902865354</v>
      </c>
      <c r="U31" s="282">
        <f t="shared" si="5"/>
        <v>484833.73092571972</v>
      </c>
      <c r="V31" s="282">
        <f t="shared" si="5"/>
        <v>618153.40694868658</v>
      </c>
      <c r="W31" s="282">
        <f t="shared" si="5"/>
        <v>641014.9374071178</v>
      </c>
      <c r="X31" s="282">
        <f t="shared" si="5"/>
        <v>1091881.5627639396</v>
      </c>
      <c r="Y31" s="282">
        <f t="shared" si="5"/>
        <v>2162332.4475935837</v>
      </c>
      <c r="Z31" s="282">
        <f t="shared" si="5"/>
        <v>1642918.716359497</v>
      </c>
      <c r="AA31" s="282">
        <f t="shared" si="5"/>
        <v>2985115.6572680436</v>
      </c>
      <c r="AB31" s="282">
        <f t="shared" si="5"/>
        <v>3233462.2473910376</v>
      </c>
      <c r="AC31" s="282">
        <f t="shared" si="5"/>
        <v>3765305.6111494862</v>
      </c>
      <c r="AD31" s="282">
        <f t="shared" si="5"/>
        <v>0</v>
      </c>
      <c r="AE31" s="282">
        <f t="shared" si="5"/>
        <v>0</v>
      </c>
      <c r="AF31" s="282">
        <f t="shared" si="5"/>
        <v>0</v>
      </c>
      <c r="AG31" s="282">
        <f t="shared" si="5"/>
        <v>0</v>
      </c>
      <c r="AH31" s="282">
        <f t="shared" si="5"/>
        <v>0</v>
      </c>
      <c r="AI31" s="282">
        <f t="shared" si="5"/>
        <v>0</v>
      </c>
      <c r="AJ31" s="282">
        <f t="shared" si="5"/>
        <v>0</v>
      </c>
      <c r="AK31" s="282">
        <f t="shared" si="5"/>
        <v>0</v>
      </c>
      <c r="AL31" s="282">
        <f t="shared" si="5"/>
        <v>0</v>
      </c>
      <c r="AM31" s="282">
        <f t="shared" si="5"/>
        <v>0</v>
      </c>
      <c r="AN31" s="282">
        <f t="shared" si="5"/>
        <v>0</v>
      </c>
      <c r="AO31" s="282">
        <f t="shared" si="5"/>
        <v>0</v>
      </c>
      <c r="AP31" s="282">
        <f t="shared" si="5"/>
        <v>0</v>
      </c>
      <c r="AQ31" s="282">
        <f t="shared" si="5"/>
        <v>0</v>
      </c>
      <c r="AR31" s="282">
        <f t="shared" si="5"/>
        <v>0</v>
      </c>
      <c r="AS31" s="282">
        <f t="shared" si="5"/>
        <v>0</v>
      </c>
      <c r="AT31" s="282">
        <f t="shared" si="5"/>
        <v>0</v>
      </c>
      <c r="AU31" s="282">
        <f t="shared" si="5"/>
        <v>0</v>
      </c>
      <c r="AV31" s="282">
        <f t="shared" si="5"/>
        <v>0</v>
      </c>
      <c r="AW31" s="282">
        <f t="shared" si="5"/>
        <v>0</v>
      </c>
      <c r="AX31" s="282">
        <f t="shared" si="5"/>
        <v>0</v>
      </c>
      <c r="AY31" s="282">
        <f t="shared" si="5"/>
        <v>0</v>
      </c>
      <c r="AZ31" s="282">
        <f t="shared" si="5"/>
        <v>0</v>
      </c>
      <c r="BA31" s="282">
        <f t="shared" si="5"/>
        <v>0</v>
      </c>
      <c r="BB31" s="282">
        <f t="shared" si="5"/>
        <v>0</v>
      </c>
      <c r="BC31" s="282">
        <f t="shared" si="5"/>
        <v>0</v>
      </c>
      <c r="BD31" s="282">
        <f t="shared" si="5"/>
        <v>0</v>
      </c>
      <c r="BE31" s="282">
        <f t="shared" si="5"/>
        <v>0</v>
      </c>
      <c r="BF31" s="282">
        <f t="shared" si="5"/>
        <v>0</v>
      </c>
      <c r="BG31" s="282">
        <f t="shared" si="5"/>
        <v>0</v>
      </c>
      <c r="BH31" s="282">
        <f t="shared" si="5"/>
        <v>0</v>
      </c>
    </row>
    <row r="32" spans="2:60" ht="15" x14ac:dyDescent="0.4">
      <c r="B32" s="322"/>
      <c r="C32" s="40"/>
      <c r="D32" s="56" t="s">
        <v>204</v>
      </c>
      <c r="E32" s="280">
        <f t="shared" si="1"/>
        <v>60387173.11864765</v>
      </c>
      <c r="F32" s="282">
        <f>F16+F23-F31</f>
        <v>16859823.730402578</v>
      </c>
      <c r="G32" s="282">
        <f t="shared" ref="G32:BH32" si="6">G16+G23-G31</f>
        <v>262682.07834635314</v>
      </c>
      <c r="H32" s="282">
        <f t="shared" si="6"/>
        <v>241279.97983518351</v>
      </c>
      <c r="I32" s="282">
        <f t="shared" si="6"/>
        <v>147322.05056059721</v>
      </c>
      <c r="J32" s="282">
        <f t="shared" si="6"/>
        <v>134370.99975014559</v>
      </c>
      <c r="K32" s="282">
        <f t="shared" si="6"/>
        <v>147936.13102412107</v>
      </c>
      <c r="L32" s="282">
        <f t="shared" si="6"/>
        <v>163611.24864217336</v>
      </c>
      <c r="M32" s="282">
        <f t="shared" si="6"/>
        <v>179685.60196196102</v>
      </c>
      <c r="N32" s="282">
        <f t="shared" si="6"/>
        <v>223490.29333867761</v>
      </c>
      <c r="O32" s="282">
        <f t="shared" si="6"/>
        <v>239093.17406470072</v>
      </c>
      <c r="P32" s="282">
        <f t="shared" si="6"/>
        <v>200450.39514926169</v>
      </c>
      <c r="Q32" s="282">
        <f t="shared" si="6"/>
        <v>-241264.15466556049</v>
      </c>
      <c r="R32" s="282">
        <f t="shared" si="6"/>
        <v>-461573.29585911147</v>
      </c>
      <c r="S32" s="282">
        <f t="shared" si="6"/>
        <v>-346336.56431527936</v>
      </c>
      <c r="T32" s="282">
        <f t="shared" si="6"/>
        <v>-256653.54972386803</v>
      </c>
      <c r="U32" s="282">
        <f t="shared" si="6"/>
        <v>-443084.56331838481</v>
      </c>
      <c r="V32" s="282">
        <f t="shared" si="6"/>
        <v>-512684.57334831555</v>
      </c>
      <c r="W32" s="282">
        <f t="shared" si="6"/>
        <v>-507004.40692050883</v>
      </c>
      <c r="X32" s="282">
        <f t="shared" si="6"/>
        <v>-686978.78549892397</v>
      </c>
      <c r="Y32" s="282">
        <f t="shared" si="6"/>
        <v>-1283437.5249828533</v>
      </c>
      <c r="Z32" s="282">
        <f t="shared" si="6"/>
        <v>-1484641.0926504452</v>
      </c>
      <c r="AA32" s="282">
        <f t="shared" si="6"/>
        <v>31497145.608119924</v>
      </c>
      <c r="AB32" s="282">
        <f t="shared" si="6"/>
        <v>2765387.6424760334</v>
      </c>
      <c r="AC32" s="282">
        <f t="shared" si="6"/>
        <v>13548552.696259182</v>
      </c>
      <c r="AD32" s="282">
        <f t="shared" si="6"/>
        <v>0</v>
      </c>
      <c r="AE32" s="282">
        <f t="shared" si="6"/>
        <v>0</v>
      </c>
      <c r="AF32" s="282">
        <f t="shared" si="6"/>
        <v>0</v>
      </c>
      <c r="AG32" s="282">
        <f t="shared" si="6"/>
        <v>0</v>
      </c>
      <c r="AH32" s="282">
        <f t="shared" si="6"/>
        <v>0</v>
      </c>
      <c r="AI32" s="282">
        <f t="shared" si="6"/>
        <v>0</v>
      </c>
      <c r="AJ32" s="282">
        <f t="shared" si="6"/>
        <v>0</v>
      </c>
      <c r="AK32" s="282">
        <f t="shared" si="6"/>
        <v>0</v>
      </c>
      <c r="AL32" s="282">
        <f t="shared" si="6"/>
        <v>0</v>
      </c>
      <c r="AM32" s="282">
        <f t="shared" si="6"/>
        <v>0</v>
      </c>
      <c r="AN32" s="282">
        <f t="shared" si="6"/>
        <v>0</v>
      </c>
      <c r="AO32" s="282">
        <f t="shared" si="6"/>
        <v>0</v>
      </c>
      <c r="AP32" s="282">
        <f t="shared" si="6"/>
        <v>0</v>
      </c>
      <c r="AQ32" s="282">
        <f t="shared" si="6"/>
        <v>0</v>
      </c>
      <c r="AR32" s="282">
        <f t="shared" si="6"/>
        <v>0</v>
      </c>
      <c r="AS32" s="282">
        <f t="shared" si="6"/>
        <v>0</v>
      </c>
      <c r="AT32" s="282">
        <f t="shared" si="6"/>
        <v>0</v>
      </c>
      <c r="AU32" s="282">
        <f t="shared" si="6"/>
        <v>0</v>
      </c>
      <c r="AV32" s="282">
        <f t="shared" si="6"/>
        <v>0</v>
      </c>
      <c r="AW32" s="282">
        <f t="shared" si="6"/>
        <v>0</v>
      </c>
      <c r="AX32" s="282">
        <f t="shared" si="6"/>
        <v>0</v>
      </c>
      <c r="AY32" s="282">
        <f t="shared" si="6"/>
        <v>0</v>
      </c>
      <c r="AZ32" s="282">
        <f t="shared" si="6"/>
        <v>0</v>
      </c>
      <c r="BA32" s="282">
        <f t="shared" si="6"/>
        <v>0</v>
      </c>
      <c r="BB32" s="282">
        <f t="shared" si="6"/>
        <v>0</v>
      </c>
      <c r="BC32" s="282">
        <f t="shared" si="6"/>
        <v>0</v>
      </c>
      <c r="BD32" s="282">
        <f t="shared" si="6"/>
        <v>0</v>
      </c>
      <c r="BE32" s="282">
        <f t="shared" si="6"/>
        <v>0</v>
      </c>
      <c r="BF32" s="282">
        <f t="shared" si="6"/>
        <v>0</v>
      </c>
      <c r="BG32" s="282">
        <f t="shared" si="6"/>
        <v>0</v>
      </c>
      <c r="BH32" s="282">
        <f t="shared" si="6"/>
        <v>0</v>
      </c>
    </row>
    <row r="33" spans="2:60" ht="14.25" customHeight="1" x14ac:dyDescent="0.4">
      <c r="B33" s="323"/>
      <c r="C33" s="221" t="s">
        <v>500</v>
      </c>
      <c r="D33" s="339" t="s">
        <v>444</v>
      </c>
      <c r="E33" s="280"/>
      <c r="F33" s="282"/>
      <c r="G33" s="280">
        <f t="shared" ref="G33:AL33" si="7">F24+F33-F31</f>
        <v>16859823.730402578</v>
      </c>
      <c r="H33" s="280">
        <f t="shared" si="7"/>
        <v>17122505.808748931</v>
      </c>
      <c r="I33" s="280">
        <f t="shared" si="7"/>
        <v>17363785.788584113</v>
      </c>
      <c r="J33" s="280">
        <f t="shared" si="7"/>
        <v>17511107.83914471</v>
      </c>
      <c r="K33" s="280">
        <f t="shared" si="7"/>
        <v>17645478.838894859</v>
      </c>
      <c r="L33" s="280">
        <f t="shared" si="7"/>
        <v>17793414.969918977</v>
      </c>
      <c r="M33" s="280">
        <f t="shared" si="7"/>
        <v>17957026.21856115</v>
      </c>
      <c r="N33" s="280">
        <f t="shared" si="7"/>
        <v>18136711.820523109</v>
      </c>
      <c r="O33" s="280">
        <f t="shared" si="7"/>
        <v>18360202.113861788</v>
      </c>
      <c r="P33" s="280">
        <f t="shared" si="7"/>
        <v>18599295.287926488</v>
      </c>
      <c r="Q33" s="280">
        <f t="shared" si="7"/>
        <v>18799745.683075748</v>
      </c>
      <c r="R33" s="280">
        <f t="shared" si="7"/>
        <v>18558481.528410189</v>
      </c>
      <c r="S33" s="280">
        <f t="shared" si="7"/>
        <v>18096908.232551079</v>
      </c>
      <c r="T33" s="280">
        <f t="shared" si="7"/>
        <v>17750571.668235801</v>
      </c>
      <c r="U33" s="280">
        <f t="shared" si="7"/>
        <v>17493918.118511934</v>
      </c>
      <c r="V33" s="280">
        <f t="shared" si="7"/>
        <v>17050833.555193547</v>
      </c>
      <c r="W33" s="280">
        <f t="shared" si="7"/>
        <v>16538148.981845234</v>
      </c>
      <c r="X33" s="280">
        <f t="shared" si="7"/>
        <v>16031144.574924726</v>
      </c>
      <c r="Y33" s="280">
        <f t="shared" si="7"/>
        <v>15344165.789425801</v>
      </c>
      <c r="Z33" s="280">
        <f t="shared" si="7"/>
        <v>14060728.264442947</v>
      </c>
      <c r="AA33" s="280">
        <f t="shared" si="7"/>
        <v>12576087.1717925</v>
      </c>
      <c r="AB33" s="280">
        <f t="shared" si="7"/>
        <v>44073232.779912427</v>
      </c>
      <c r="AC33" s="280">
        <f t="shared" si="7"/>
        <v>46838620.422388457</v>
      </c>
      <c r="AD33" s="280">
        <f t="shared" si="7"/>
        <v>60387173.118647635</v>
      </c>
      <c r="AE33" s="280">
        <f t="shared" si="7"/>
        <v>60387173.118647635</v>
      </c>
      <c r="AF33" s="280">
        <f t="shared" si="7"/>
        <v>60387173.118647635</v>
      </c>
      <c r="AG33" s="280">
        <f t="shared" si="7"/>
        <v>60387173.118647635</v>
      </c>
      <c r="AH33" s="280">
        <f t="shared" si="7"/>
        <v>60387173.118647635</v>
      </c>
      <c r="AI33" s="280">
        <f t="shared" si="7"/>
        <v>60387173.118647635</v>
      </c>
      <c r="AJ33" s="280">
        <f t="shared" si="7"/>
        <v>60387173.118647635</v>
      </c>
      <c r="AK33" s="280">
        <f t="shared" si="7"/>
        <v>60387173.118647635</v>
      </c>
      <c r="AL33" s="280">
        <f t="shared" si="7"/>
        <v>60387173.118647635</v>
      </c>
      <c r="AM33" s="280">
        <f t="shared" ref="AM33:BH33" si="8">AL24+AL33-AL31</f>
        <v>60387173.118647635</v>
      </c>
      <c r="AN33" s="280">
        <f t="shared" si="8"/>
        <v>60387173.118647635</v>
      </c>
      <c r="AO33" s="280">
        <f t="shared" si="8"/>
        <v>60387173.118647635</v>
      </c>
      <c r="AP33" s="280">
        <f t="shared" si="8"/>
        <v>60387173.118647635</v>
      </c>
      <c r="AQ33" s="280">
        <f t="shared" si="8"/>
        <v>60387173.118647635</v>
      </c>
      <c r="AR33" s="280">
        <f t="shared" si="8"/>
        <v>60387173.118647635</v>
      </c>
      <c r="AS33" s="280">
        <f t="shared" si="8"/>
        <v>60387173.118647635</v>
      </c>
      <c r="AT33" s="280">
        <f t="shared" si="8"/>
        <v>60387173.118647635</v>
      </c>
      <c r="AU33" s="280">
        <f t="shared" si="8"/>
        <v>60387173.118647635</v>
      </c>
      <c r="AV33" s="280">
        <f t="shared" si="8"/>
        <v>60387173.118647635</v>
      </c>
      <c r="AW33" s="280">
        <f t="shared" si="8"/>
        <v>60387173.118647635</v>
      </c>
      <c r="AX33" s="280">
        <f t="shared" si="8"/>
        <v>60387173.118647635</v>
      </c>
      <c r="AY33" s="280">
        <f t="shared" si="8"/>
        <v>60387173.118647635</v>
      </c>
      <c r="AZ33" s="280">
        <f t="shared" si="8"/>
        <v>60387173.118647635</v>
      </c>
      <c r="BA33" s="280">
        <f t="shared" si="8"/>
        <v>60387173.118647635</v>
      </c>
      <c r="BB33" s="280">
        <f t="shared" si="8"/>
        <v>60387173.118647635</v>
      </c>
      <c r="BC33" s="280">
        <f t="shared" si="8"/>
        <v>60387173.118647635</v>
      </c>
      <c r="BD33" s="280">
        <f t="shared" si="8"/>
        <v>60387173.118647635</v>
      </c>
      <c r="BE33" s="280">
        <f t="shared" si="8"/>
        <v>60387173.118647635</v>
      </c>
      <c r="BF33" s="280">
        <f t="shared" si="8"/>
        <v>60387173.118647635</v>
      </c>
      <c r="BG33" s="280">
        <f t="shared" si="8"/>
        <v>60387173.118647635</v>
      </c>
      <c r="BH33" s="280">
        <f t="shared" si="8"/>
        <v>60387173.118647635</v>
      </c>
    </row>
    <row r="34" spans="2:60" ht="14.25" customHeight="1" x14ac:dyDescent="0.35">
      <c r="B34" s="323"/>
      <c r="C34" s="221" t="s">
        <v>500</v>
      </c>
      <c r="D34" s="339" t="s">
        <v>445</v>
      </c>
      <c r="E34" s="280"/>
      <c r="F34" s="404" t="s">
        <v>565</v>
      </c>
      <c r="G34" s="404">
        <v>0.11533953757291102</v>
      </c>
      <c r="H34" s="404">
        <v>0.10621992439381922</v>
      </c>
      <c r="I34" s="404">
        <v>0.10761861252346605</v>
      </c>
      <c r="J34" s="404">
        <v>0.10161681435401443</v>
      </c>
      <c r="K34" s="404">
        <v>0.10150950754839672</v>
      </c>
      <c r="L34" s="404">
        <v>9.9473307265168343E-2</v>
      </c>
      <c r="M34" s="404">
        <v>9.6878092733394247E-2</v>
      </c>
      <c r="N34" s="404">
        <v>9.83087357345514E-2</v>
      </c>
      <c r="O34" s="404">
        <v>9.9327139510872631E-2</v>
      </c>
      <c r="P34" s="404">
        <v>9.0761102113038908E-2</v>
      </c>
      <c r="Q34" s="404">
        <v>0.10000847643647956</v>
      </c>
      <c r="R34" s="404">
        <v>0.10027673638503098</v>
      </c>
      <c r="S34" s="404">
        <v>9.2937361060832654E-2</v>
      </c>
      <c r="T34" s="404">
        <v>9.0649955407674371E-2</v>
      </c>
      <c r="U34" s="404">
        <v>9.422816719922765E-2</v>
      </c>
      <c r="V34" s="404">
        <v>8.7238262450821683E-2</v>
      </c>
      <c r="W34" s="404">
        <v>8.6826290713381285E-2</v>
      </c>
      <c r="X34" s="404">
        <v>8.5852900434479171E-2</v>
      </c>
      <c r="Y34" s="404">
        <v>8.4265567004087397E-2</v>
      </c>
      <c r="Z34" s="404">
        <v>8.3582133661918967E-2</v>
      </c>
      <c r="AA34" s="404">
        <v>7.4242852787013952E-2</v>
      </c>
      <c r="AB34" s="404">
        <v>6.8946313957816932E-2</v>
      </c>
      <c r="AC34" s="404">
        <v>6.7630298848592646E-2</v>
      </c>
      <c r="AD34" s="281"/>
      <c r="AE34" s="281"/>
      <c r="AF34" s="281"/>
      <c r="AG34" s="281"/>
      <c r="AH34" s="281"/>
      <c r="AI34" s="281"/>
      <c r="AJ34" s="281"/>
      <c r="AK34" s="281"/>
      <c r="AL34" s="281"/>
      <c r="AM34" s="281"/>
      <c r="AN34" s="281"/>
      <c r="AO34" s="281"/>
      <c r="AP34" s="281"/>
      <c r="AQ34" s="281"/>
      <c r="AR34" s="281"/>
      <c r="AS34" s="281"/>
      <c r="AT34" s="281"/>
      <c r="AU34" s="281"/>
      <c r="AV34" s="281"/>
      <c r="AW34" s="281"/>
      <c r="AX34" s="281"/>
      <c r="AY34" s="281"/>
      <c r="AZ34" s="281"/>
      <c r="BA34" s="281"/>
      <c r="BB34" s="281"/>
      <c r="BC34" s="281"/>
      <c r="BD34" s="281"/>
      <c r="BE34" s="281"/>
      <c r="BF34" s="281"/>
      <c r="BG34" s="281"/>
      <c r="BH34" s="281"/>
    </row>
    <row r="35" spans="2:60" ht="29.25" customHeight="1" x14ac:dyDescent="0.35"/>
    <row r="36" spans="2:60" ht="15" x14ac:dyDescent="0.4">
      <c r="B36" s="364" t="s">
        <v>221</v>
      </c>
      <c r="C36" s="365"/>
    </row>
    <row r="37" spans="2:60" ht="13.15" x14ac:dyDescent="0.4">
      <c r="B37" s="366"/>
      <c r="C37" s="367"/>
    </row>
    <row r="38" spans="2:60" x14ac:dyDescent="0.35">
      <c r="B38" s="95" t="s">
        <v>137</v>
      </c>
      <c r="C38" s="130">
        <v>35796</v>
      </c>
    </row>
    <row r="39" spans="2:60" x14ac:dyDescent="0.35">
      <c r="B39" s="95" t="s">
        <v>166</v>
      </c>
      <c r="C39" s="418">
        <f>E11</f>
        <v>1288518.2428191723</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62" style="34" bestFit="1" customWidth="1"/>
    <col min="4" max="4" width="16.59765625" style="34" bestFit="1" customWidth="1"/>
    <col min="5" max="5" width="22" style="34" bestFit="1" customWidth="1"/>
    <col min="6" max="6" width="9.3984375" style="34" customWidth="1"/>
    <col min="7" max="7" width="25.1328125" style="34" customWidth="1"/>
    <col min="8" max="16384" width="9.1328125" style="34"/>
  </cols>
  <sheetData>
    <row r="1" spans="2:5" ht="20.65" x14ac:dyDescent="0.6">
      <c r="B1" s="468" t="s">
        <v>199</v>
      </c>
      <c r="C1" s="468"/>
      <c r="D1" s="21"/>
      <c r="E1" s="21"/>
    </row>
    <row r="2" spans="2:5" ht="20.65" x14ac:dyDescent="0.6">
      <c r="B2" s="51" t="str">
        <f>Tradingname</f>
        <v>APA OPERATIONS PTY LIMITED</v>
      </c>
      <c r="C2" s="52"/>
      <c r="D2" s="35"/>
      <c r="E2" s="35"/>
    </row>
    <row r="3" spans="2:5" ht="15.75" customHeight="1" x14ac:dyDescent="0.85">
      <c r="B3" s="53" t="s">
        <v>239</v>
      </c>
      <c r="C3" s="54" t="str">
        <f>TEXT(Yearstart,"dd/mm/yyyy")&amp;" to "&amp;TEXT(Yearending,"dd/mm/yyyy")</f>
        <v>01/07/2020 to 30/06/2021</v>
      </c>
      <c r="E3" s="47"/>
    </row>
    <row r="4" spans="2:5" ht="20.65" x14ac:dyDescent="0.6">
      <c r="B4" s="20"/>
    </row>
    <row r="5" spans="2:5" ht="15" x14ac:dyDescent="0.4">
      <c r="B5" s="38" t="s">
        <v>225</v>
      </c>
      <c r="C5" s="36"/>
      <c r="D5" s="36"/>
      <c r="E5" s="36"/>
    </row>
    <row r="6" spans="2:5" ht="15" x14ac:dyDescent="0.4">
      <c r="B6" s="38"/>
      <c r="C6" s="36"/>
      <c r="D6" s="36"/>
      <c r="E6" s="36"/>
    </row>
    <row r="7" spans="2:5" ht="26.25" x14ac:dyDescent="0.35">
      <c r="B7" s="110" t="s">
        <v>222</v>
      </c>
      <c r="C7" s="110" t="s">
        <v>172</v>
      </c>
      <c r="D7" s="110" t="s">
        <v>173</v>
      </c>
      <c r="E7" s="110" t="s">
        <v>209</v>
      </c>
    </row>
    <row r="8" spans="2:5" x14ac:dyDescent="0.35">
      <c r="B8" s="385" t="s">
        <v>591</v>
      </c>
      <c r="C8" s="388" t="s">
        <v>607</v>
      </c>
      <c r="D8" s="388" t="s">
        <v>588</v>
      </c>
      <c r="E8" s="312">
        <v>33010016.219999999</v>
      </c>
    </row>
    <row r="9" spans="2:5" x14ac:dyDescent="0.35">
      <c r="B9" s="385" t="s">
        <v>591</v>
      </c>
      <c r="C9" s="388" t="s">
        <v>667</v>
      </c>
      <c r="D9" s="388" t="s">
        <v>587</v>
      </c>
      <c r="E9" s="312">
        <v>5247261.55</v>
      </c>
    </row>
    <row r="10" spans="2:5" x14ac:dyDescent="0.35">
      <c r="B10" s="385" t="s">
        <v>591</v>
      </c>
      <c r="C10" s="388" t="s">
        <v>668</v>
      </c>
      <c r="D10" s="388" t="s">
        <v>589</v>
      </c>
      <c r="E10" s="312">
        <v>16475109.029999999</v>
      </c>
    </row>
    <row r="11" spans="2:5" x14ac:dyDescent="0.35">
      <c r="B11" s="385"/>
      <c r="C11" s="388"/>
      <c r="D11" s="388"/>
      <c r="E11" s="312"/>
    </row>
    <row r="12" spans="2:5" x14ac:dyDescent="0.35">
      <c r="B12" s="385"/>
      <c r="C12" s="388"/>
      <c r="D12" s="388"/>
      <c r="E12" s="312"/>
    </row>
    <row r="13" spans="2:5" x14ac:dyDescent="0.35">
      <c r="B13" s="385"/>
      <c r="C13" s="388"/>
      <c r="D13" s="388"/>
      <c r="E13" s="312"/>
    </row>
    <row r="14" spans="2:5" x14ac:dyDescent="0.35">
      <c r="B14" s="385"/>
      <c r="C14" s="388"/>
      <c r="D14" s="388"/>
      <c r="E14" s="312"/>
    </row>
    <row r="15" spans="2:5" x14ac:dyDescent="0.35">
      <c r="B15" s="385"/>
      <c r="C15" s="388"/>
      <c r="D15" s="388"/>
      <c r="E15" s="312"/>
    </row>
    <row r="16" spans="2:5" x14ac:dyDescent="0.35">
      <c r="B16" s="145"/>
      <c r="C16" s="145"/>
      <c r="D16" s="275"/>
      <c r="E16" s="312"/>
    </row>
    <row r="17" spans="2:5" x14ac:dyDescent="0.35">
      <c r="B17" s="145"/>
      <c r="C17" s="145"/>
      <c r="D17" s="275"/>
      <c r="E17" s="312"/>
    </row>
    <row r="18" spans="2:5" x14ac:dyDescent="0.35">
      <c r="B18" s="145"/>
      <c r="C18" s="145"/>
      <c r="D18" s="275"/>
      <c r="E18" s="312"/>
    </row>
    <row r="19" spans="2:5" x14ac:dyDescent="0.35">
      <c r="B19" s="145"/>
      <c r="C19" s="145"/>
      <c r="D19" s="275"/>
      <c r="E19" s="312"/>
    </row>
    <row r="20" spans="2:5" x14ac:dyDescent="0.35">
      <c r="B20" s="145"/>
      <c r="C20" s="145"/>
      <c r="D20" s="275"/>
      <c r="E20" s="312"/>
    </row>
    <row r="21" spans="2:5" x14ac:dyDescent="0.35">
      <c r="B21" s="145"/>
      <c r="C21" s="145"/>
      <c r="D21" s="275"/>
      <c r="E21" s="312"/>
    </row>
    <row r="22" spans="2:5" x14ac:dyDescent="0.35">
      <c r="B22" s="145"/>
      <c r="C22" s="145"/>
      <c r="D22" s="275"/>
      <c r="E22" s="312"/>
    </row>
    <row r="23" spans="2:5" x14ac:dyDescent="0.35">
      <c r="B23" s="145"/>
      <c r="C23" s="145"/>
      <c r="D23" s="275"/>
      <c r="E23" s="312"/>
    </row>
    <row r="24" spans="2:5" x14ac:dyDescent="0.35">
      <c r="B24" s="145"/>
      <c r="C24" s="145"/>
      <c r="D24" s="275"/>
      <c r="E24" s="312"/>
    </row>
    <row r="25" spans="2:5" x14ac:dyDescent="0.35">
      <c r="B25" s="145"/>
      <c r="C25" s="145"/>
      <c r="D25" s="275"/>
      <c r="E25" s="312"/>
    </row>
    <row r="26" spans="2:5" x14ac:dyDescent="0.35">
      <c r="B26" s="145"/>
      <c r="C26" s="145"/>
      <c r="D26" s="275"/>
      <c r="E26" s="312"/>
    </row>
    <row r="27" spans="2:5" x14ac:dyDescent="0.35">
      <c r="B27" s="145"/>
      <c r="C27" s="145"/>
      <c r="D27" s="275"/>
      <c r="E27" s="312"/>
    </row>
    <row r="28" spans="2:5" x14ac:dyDescent="0.35">
      <c r="B28" s="145"/>
      <c r="C28" s="145"/>
      <c r="D28" s="275"/>
      <c r="E28" s="312"/>
    </row>
    <row r="29" spans="2:5" x14ac:dyDescent="0.35">
      <c r="B29" s="145"/>
      <c r="C29" s="145"/>
      <c r="D29" s="275"/>
      <c r="E29" s="312"/>
    </row>
    <row r="30" spans="2:5" x14ac:dyDescent="0.35">
      <c r="B30" s="145"/>
      <c r="C30" s="145"/>
      <c r="D30" s="275"/>
      <c r="E30" s="312"/>
    </row>
    <row r="31" spans="2:5" x14ac:dyDescent="0.35">
      <c r="B31" s="145"/>
      <c r="C31" s="145"/>
      <c r="D31" s="275"/>
      <c r="E31" s="312"/>
    </row>
    <row r="32" spans="2:5" x14ac:dyDescent="0.35">
      <c r="B32" s="145"/>
      <c r="C32" s="145"/>
      <c r="D32" s="275"/>
      <c r="E32" s="312"/>
    </row>
    <row r="33" spans="2:5" x14ac:dyDescent="0.35">
      <c r="B33" s="145"/>
      <c r="C33" s="145"/>
      <c r="D33" s="275"/>
      <c r="E33" s="312"/>
    </row>
    <row r="34" spans="2:5" x14ac:dyDescent="0.35">
      <c r="B34" s="145"/>
      <c r="C34" s="145"/>
      <c r="D34" s="275"/>
      <c r="E34" s="312"/>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3FEBF-2E15-48A4-8A26-EED8F8B7D3C1}">
  <sheetPr>
    <tabColor rgb="FFFFE9D9"/>
  </sheetPr>
  <dimension ref="A1"/>
  <sheetViews>
    <sheetView zoomScale="80" zoomScaleNormal="80" workbookViewId="0"/>
  </sheetViews>
  <sheetFormatPr defaultRowHeight="12.75" x14ac:dyDescent="0.35"/>
  <cols>
    <col min="1" max="16384" width="9.06640625" style="360"/>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3046875" style="22" customWidth="1"/>
    <col min="3" max="3" width="35.86328125" style="22" customWidth="1"/>
    <col min="4" max="4" width="18.1328125" style="22" customWidth="1"/>
    <col min="5" max="5" width="24.73046875" style="22" customWidth="1"/>
    <col min="6" max="11" width="9.1328125" style="22"/>
    <col min="12" max="12" width="13.26562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70" t="s">
        <v>200</v>
      </c>
      <c r="C1" s="470"/>
      <c r="D1" s="481"/>
      <c r="E1" s="204"/>
    </row>
    <row r="2" spans="2:62" ht="13.9" x14ac:dyDescent="0.4">
      <c r="B2" s="351" t="str">
        <f>Tradingname</f>
        <v>APA OPERATIONS PTY LIMITED</v>
      </c>
      <c r="C2" s="352"/>
    </row>
    <row r="3" spans="2:62" ht="13.9" x14ac:dyDescent="0.4">
      <c r="B3" s="353" t="s">
        <v>239</v>
      </c>
      <c r="C3" s="354" t="str">
        <f>TEXT(Yearstart,"dd/mm/yyyy")&amp;" to "&amp;TEXT(Yearending,"dd/mm/yyyy")</f>
        <v>01/07/2020 to 30/06/2021</v>
      </c>
    </row>
    <row r="4" spans="2:62" x14ac:dyDescent="0.35">
      <c r="B4" s="29"/>
      <c r="C4" s="29"/>
    </row>
    <row r="5" spans="2:62" ht="15" x14ac:dyDescent="0.35">
      <c r="B5" s="460" t="s">
        <v>202</v>
      </c>
      <c r="C5" s="460"/>
      <c r="D5" s="460"/>
      <c r="E5" s="203"/>
    </row>
    <row r="7" spans="2:62" s="30" customFormat="1" ht="13.35" customHeight="1" x14ac:dyDescent="0.4">
      <c r="B7" s="488" t="s">
        <v>502</v>
      </c>
      <c r="C7" s="488" t="s">
        <v>33</v>
      </c>
      <c r="D7" s="222"/>
      <c r="E7" s="491" t="s">
        <v>501</v>
      </c>
      <c r="F7" s="494" t="s">
        <v>101</v>
      </c>
      <c r="G7" s="495"/>
      <c r="H7" s="495"/>
      <c r="I7" s="495"/>
      <c r="J7" s="495"/>
      <c r="K7" s="496"/>
      <c r="L7" s="500" t="s">
        <v>102</v>
      </c>
      <c r="M7" s="501"/>
      <c r="N7" s="501"/>
      <c r="O7" s="501"/>
      <c r="P7" s="501"/>
      <c r="Q7" s="501"/>
      <c r="R7" s="502"/>
      <c r="S7" s="482" t="s">
        <v>103</v>
      </c>
      <c r="T7" s="483"/>
      <c r="U7" s="483"/>
      <c r="V7" s="483"/>
      <c r="W7" s="483"/>
      <c r="X7" s="483"/>
      <c r="Y7" s="483"/>
      <c r="Z7" s="483"/>
      <c r="AA7" s="483"/>
      <c r="AB7" s="483"/>
      <c r="AC7" s="483"/>
      <c r="AD7" s="483"/>
      <c r="AE7" s="483"/>
      <c r="AF7" s="483"/>
      <c r="AG7" s="483"/>
      <c r="AH7" s="483"/>
      <c r="AI7" s="483"/>
      <c r="AJ7" s="483"/>
      <c r="AK7" s="484"/>
      <c r="AL7" s="485" t="s">
        <v>104</v>
      </c>
      <c r="AM7" s="486"/>
      <c r="AN7" s="486"/>
      <c r="AO7" s="486"/>
      <c r="AP7" s="486"/>
      <c r="AQ7" s="486"/>
      <c r="AR7" s="486"/>
      <c r="AS7" s="486"/>
      <c r="AT7" s="486"/>
      <c r="AU7" s="486"/>
      <c r="AV7" s="486"/>
      <c r="AW7" s="486"/>
      <c r="AX7" s="486"/>
      <c r="AY7" s="486"/>
      <c r="AZ7" s="486"/>
      <c r="BA7" s="486"/>
      <c r="BB7" s="486"/>
      <c r="BC7" s="486"/>
      <c r="BD7" s="486"/>
      <c r="BE7" s="486"/>
      <c r="BF7" s="486"/>
      <c r="BG7" s="486"/>
      <c r="BH7" s="486"/>
      <c r="BI7" s="486"/>
      <c r="BJ7" s="487"/>
    </row>
    <row r="8" spans="2:62" s="29" customFormat="1" ht="13.9" x14ac:dyDescent="0.35">
      <c r="B8" s="489"/>
      <c r="C8" s="489"/>
      <c r="D8" s="223"/>
      <c r="E8" s="492"/>
      <c r="F8" s="497"/>
      <c r="G8" s="498"/>
      <c r="H8" s="498"/>
      <c r="I8" s="498"/>
      <c r="J8" s="498"/>
      <c r="K8" s="499"/>
      <c r="L8" s="503"/>
      <c r="M8" s="504"/>
      <c r="N8" s="504"/>
      <c r="O8" s="504"/>
      <c r="P8" s="504"/>
      <c r="Q8" s="504"/>
      <c r="R8" s="504"/>
      <c r="S8" s="226"/>
      <c r="T8" s="483" t="s">
        <v>105</v>
      </c>
      <c r="U8" s="483"/>
      <c r="V8" s="483"/>
      <c r="W8" s="483"/>
      <c r="X8" s="483"/>
      <c r="Y8" s="484"/>
      <c r="Z8" s="509" t="s">
        <v>106</v>
      </c>
      <c r="AA8" s="509"/>
      <c r="AB8" s="509"/>
      <c r="AC8" s="509"/>
      <c r="AD8" s="509"/>
      <c r="AE8" s="510"/>
      <c r="AF8" s="508" t="s">
        <v>107</v>
      </c>
      <c r="AG8" s="509"/>
      <c r="AH8" s="509"/>
      <c r="AI8" s="509"/>
      <c r="AJ8" s="509"/>
      <c r="AK8" s="510"/>
      <c r="AL8" s="227"/>
      <c r="AM8" s="476" t="s">
        <v>108</v>
      </c>
      <c r="AN8" s="477"/>
      <c r="AO8" s="477"/>
      <c r="AP8" s="477"/>
      <c r="AQ8" s="477"/>
      <c r="AR8" s="478"/>
      <c r="AS8" s="476" t="s">
        <v>109</v>
      </c>
      <c r="AT8" s="477"/>
      <c r="AU8" s="477"/>
      <c r="AV8" s="477"/>
      <c r="AW8" s="477"/>
      <c r="AX8" s="478"/>
      <c r="AY8" s="476" t="s">
        <v>110</v>
      </c>
      <c r="AZ8" s="477"/>
      <c r="BA8" s="477"/>
      <c r="BB8" s="477"/>
      <c r="BC8" s="477"/>
      <c r="BD8" s="478"/>
      <c r="BE8" s="476" t="s">
        <v>111</v>
      </c>
      <c r="BF8" s="477"/>
      <c r="BG8" s="477"/>
      <c r="BH8" s="477"/>
      <c r="BI8" s="477"/>
      <c r="BJ8" s="478"/>
    </row>
    <row r="9" spans="2:62" s="29" customFormat="1" ht="23.25" x14ac:dyDescent="0.35">
      <c r="B9" s="489"/>
      <c r="C9" s="489"/>
      <c r="D9" s="223" t="s">
        <v>22</v>
      </c>
      <c r="E9" s="492"/>
      <c r="F9" s="480" t="s">
        <v>112</v>
      </c>
      <c r="G9" s="480"/>
      <c r="H9" s="480"/>
      <c r="I9" s="479" t="s">
        <v>113</v>
      </c>
      <c r="J9" s="479"/>
      <c r="K9" s="479"/>
      <c r="L9" s="225" t="s">
        <v>114</v>
      </c>
      <c r="M9" s="480" t="s">
        <v>92</v>
      </c>
      <c r="N9" s="480"/>
      <c r="O9" s="480"/>
      <c r="P9" s="479" t="s">
        <v>93</v>
      </c>
      <c r="Q9" s="479"/>
      <c r="R9" s="479"/>
      <c r="S9" s="225" t="s">
        <v>115</v>
      </c>
      <c r="T9" s="480" t="s">
        <v>92</v>
      </c>
      <c r="U9" s="480"/>
      <c r="V9" s="480"/>
      <c r="W9" s="479" t="s">
        <v>93</v>
      </c>
      <c r="X9" s="479"/>
      <c r="Y9" s="479"/>
      <c r="Z9" s="480" t="s">
        <v>92</v>
      </c>
      <c r="AA9" s="480"/>
      <c r="AB9" s="480"/>
      <c r="AC9" s="479" t="s">
        <v>93</v>
      </c>
      <c r="AD9" s="479"/>
      <c r="AE9" s="479"/>
      <c r="AF9" s="480" t="s">
        <v>92</v>
      </c>
      <c r="AG9" s="480"/>
      <c r="AH9" s="480"/>
      <c r="AI9" s="479" t="s">
        <v>93</v>
      </c>
      <c r="AJ9" s="479"/>
      <c r="AK9" s="479"/>
      <c r="AL9" s="225" t="s">
        <v>116</v>
      </c>
      <c r="AM9" s="480" t="s">
        <v>92</v>
      </c>
      <c r="AN9" s="480"/>
      <c r="AO9" s="480"/>
      <c r="AP9" s="479" t="s">
        <v>93</v>
      </c>
      <c r="AQ9" s="479"/>
      <c r="AR9" s="479"/>
      <c r="AS9" s="480" t="s">
        <v>92</v>
      </c>
      <c r="AT9" s="480"/>
      <c r="AU9" s="480"/>
      <c r="AV9" s="479" t="s">
        <v>93</v>
      </c>
      <c r="AW9" s="479"/>
      <c r="AX9" s="479"/>
      <c r="AY9" s="480" t="s">
        <v>92</v>
      </c>
      <c r="AZ9" s="480"/>
      <c r="BA9" s="480"/>
      <c r="BB9" s="479" t="s">
        <v>93</v>
      </c>
      <c r="BC9" s="479"/>
      <c r="BD9" s="479"/>
      <c r="BE9" s="480" t="s">
        <v>92</v>
      </c>
      <c r="BF9" s="480"/>
      <c r="BG9" s="480"/>
      <c r="BH9" s="479" t="s">
        <v>93</v>
      </c>
      <c r="BI9" s="479"/>
      <c r="BJ9" s="479"/>
    </row>
    <row r="10" spans="2:62" s="29" customFormat="1" ht="32.25" customHeight="1" x14ac:dyDescent="0.35">
      <c r="B10" s="490"/>
      <c r="C10" s="490"/>
      <c r="D10" s="224" t="s">
        <v>175</v>
      </c>
      <c r="E10" s="493"/>
      <c r="F10" s="321" t="s">
        <v>503</v>
      </c>
      <c r="G10" s="321" t="s">
        <v>504</v>
      </c>
      <c r="H10" s="321" t="s">
        <v>450</v>
      </c>
      <c r="I10" s="321" t="s">
        <v>503</v>
      </c>
      <c r="J10" s="321" t="s">
        <v>451</v>
      </c>
      <c r="K10" s="321" t="s">
        <v>450</v>
      </c>
      <c r="L10" s="340" t="s">
        <v>505</v>
      </c>
      <c r="M10" s="341" t="s">
        <v>448</v>
      </c>
      <c r="N10" s="341" t="s">
        <v>504</v>
      </c>
      <c r="O10" s="341" t="s">
        <v>450</v>
      </c>
      <c r="P10" s="341" t="s">
        <v>448</v>
      </c>
      <c r="Q10" s="341" t="s">
        <v>451</v>
      </c>
      <c r="R10" s="341" t="s">
        <v>450</v>
      </c>
      <c r="S10" s="342" t="s">
        <v>175</v>
      </c>
      <c r="T10" s="342" t="s">
        <v>448</v>
      </c>
      <c r="U10" s="342" t="s">
        <v>504</v>
      </c>
      <c r="V10" s="342" t="s">
        <v>450</v>
      </c>
      <c r="W10" s="342" t="s">
        <v>448</v>
      </c>
      <c r="X10" s="342" t="s">
        <v>176</v>
      </c>
      <c r="Y10" s="342" t="s">
        <v>450</v>
      </c>
      <c r="Z10" s="342" t="s">
        <v>503</v>
      </c>
      <c r="AA10" s="342" t="s">
        <v>504</v>
      </c>
      <c r="AB10" s="342" t="s">
        <v>450</v>
      </c>
      <c r="AC10" s="342" t="s">
        <v>503</v>
      </c>
      <c r="AD10" s="342" t="s">
        <v>176</v>
      </c>
      <c r="AE10" s="342" t="s">
        <v>450</v>
      </c>
      <c r="AF10" s="342" t="s">
        <v>448</v>
      </c>
      <c r="AG10" s="342" t="s">
        <v>504</v>
      </c>
      <c r="AH10" s="342" t="s">
        <v>450</v>
      </c>
      <c r="AI10" s="342" t="s">
        <v>448</v>
      </c>
      <c r="AJ10" s="342" t="s">
        <v>176</v>
      </c>
      <c r="AK10" s="342" t="s">
        <v>450</v>
      </c>
      <c r="AL10" s="343" t="s">
        <v>175</v>
      </c>
      <c r="AM10" s="343" t="s">
        <v>503</v>
      </c>
      <c r="AN10" s="343" t="s">
        <v>504</v>
      </c>
      <c r="AO10" s="343" t="s">
        <v>450</v>
      </c>
      <c r="AP10" s="343" t="s">
        <v>503</v>
      </c>
      <c r="AQ10" s="343" t="s">
        <v>451</v>
      </c>
      <c r="AR10" s="343" t="s">
        <v>450</v>
      </c>
      <c r="AS10" s="343" t="s">
        <v>448</v>
      </c>
      <c r="AT10" s="343" t="s">
        <v>504</v>
      </c>
      <c r="AU10" s="343" t="s">
        <v>450</v>
      </c>
      <c r="AV10" s="343" t="s">
        <v>448</v>
      </c>
      <c r="AW10" s="343" t="s">
        <v>451</v>
      </c>
      <c r="AX10" s="343" t="s">
        <v>450</v>
      </c>
      <c r="AY10" s="343" t="s">
        <v>448</v>
      </c>
      <c r="AZ10" s="343" t="s">
        <v>504</v>
      </c>
      <c r="BA10" s="343" t="s">
        <v>450</v>
      </c>
      <c r="BB10" s="343" t="s">
        <v>448</v>
      </c>
      <c r="BC10" s="343" t="s">
        <v>451</v>
      </c>
      <c r="BD10" s="343" t="s">
        <v>450</v>
      </c>
      <c r="BE10" s="343" t="s">
        <v>503</v>
      </c>
      <c r="BF10" s="343" t="s">
        <v>504</v>
      </c>
      <c r="BG10" s="343" t="s">
        <v>450</v>
      </c>
      <c r="BH10" s="343" t="s">
        <v>503</v>
      </c>
      <c r="BI10" s="343" t="s">
        <v>176</v>
      </c>
      <c r="BJ10" s="343" t="s">
        <v>450</v>
      </c>
    </row>
    <row r="11" spans="2:62" s="29" customFormat="1" ht="13.35" customHeight="1" x14ac:dyDescent="0.35">
      <c r="B11" s="230"/>
      <c r="C11" s="132" t="s">
        <v>34</v>
      </c>
      <c r="D11" s="131"/>
      <c r="E11" s="131"/>
      <c r="F11" s="505"/>
      <c r="G11" s="506"/>
      <c r="H11" s="506"/>
      <c r="I11" s="506"/>
      <c r="J11" s="506"/>
      <c r="K11" s="507"/>
      <c r="L11" s="344"/>
      <c r="M11" s="344"/>
      <c r="N11" s="344"/>
      <c r="O11" s="344"/>
      <c r="P11" s="344"/>
      <c r="Q11" s="344"/>
      <c r="R11" s="344"/>
      <c r="S11" s="345"/>
      <c r="T11" s="346"/>
      <c r="U11" s="345"/>
      <c r="V11" s="345"/>
      <c r="W11" s="345"/>
      <c r="X11" s="345"/>
      <c r="Y11" s="347"/>
      <c r="Z11" s="346"/>
      <c r="AA11" s="345"/>
      <c r="AB11" s="345"/>
      <c r="AC11" s="345"/>
      <c r="AD11" s="345"/>
      <c r="AE11" s="347"/>
      <c r="AF11" s="346"/>
      <c r="AG11" s="345"/>
      <c r="AH11" s="345"/>
      <c r="AI11" s="345"/>
      <c r="AJ11" s="345"/>
      <c r="AK11" s="347"/>
      <c r="AL11" s="348"/>
      <c r="AM11" s="349"/>
      <c r="AN11" s="348"/>
      <c r="AO11" s="348"/>
      <c r="AP11" s="348"/>
      <c r="AQ11" s="348"/>
      <c r="AR11" s="350"/>
      <c r="AS11" s="349"/>
      <c r="AT11" s="348"/>
      <c r="AU11" s="348"/>
      <c r="AV11" s="348"/>
      <c r="AW11" s="348"/>
      <c r="AX11" s="350"/>
      <c r="AY11" s="349"/>
      <c r="AZ11" s="348"/>
      <c r="BA11" s="348"/>
      <c r="BB11" s="348"/>
      <c r="BC11" s="348"/>
      <c r="BD11" s="350"/>
      <c r="BE11" s="349"/>
      <c r="BF11" s="348"/>
      <c r="BG11" s="348"/>
      <c r="BH11" s="348"/>
      <c r="BI11" s="348"/>
      <c r="BJ11" s="350"/>
    </row>
    <row r="12" spans="2:62" s="29" customFormat="1" ht="25.5" x14ac:dyDescent="0.35">
      <c r="B12" s="412" t="s">
        <v>660</v>
      </c>
      <c r="C12" s="154" t="s">
        <v>153</v>
      </c>
      <c r="D12" s="300">
        <f>L12+S12+AL12</f>
        <v>11590.118653991558</v>
      </c>
      <c r="E12" s="228"/>
      <c r="F12" s="314"/>
      <c r="G12" s="314"/>
      <c r="H12" s="314"/>
      <c r="I12" s="314"/>
      <c r="J12" s="314"/>
      <c r="K12" s="314"/>
      <c r="L12" s="300">
        <f>M12+P12</f>
        <v>11590.118653991558</v>
      </c>
      <c r="M12" s="311">
        <v>11224.928412536639</v>
      </c>
      <c r="N12" s="311">
        <v>20044.287500000002</v>
      </c>
      <c r="O12" s="317">
        <f>IFERROR(M12/N12,0)</f>
        <v>0.56000635655104414</v>
      </c>
      <c r="P12" s="311">
        <v>365.19024145491881</v>
      </c>
      <c r="Q12" s="311">
        <v>10289.137499999999</v>
      </c>
      <c r="R12" s="317">
        <f>IFERROR(P12/Q12,0)</f>
        <v>3.5492794362493342E-2</v>
      </c>
      <c r="S12" s="300">
        <f>T12+W12+Z12+AC12+AF12+AI12</f>
        <v>0</v>
      </c>
      <c r="T12" s="311"/>
      <c r="U12" s="311"/>
      <c r="V12" s="317">
        <f>IFERROR(T12/U12,0)</f>
        <v>0</v>
      </c>
      <c r="W12" s="311"/>
      <c r="X12" s="311"/>
      <c r="Y12" s="317">
        <f>IFERROR(W12/X12,0)</f>
        <v>0</v>
      </c>
      <c r="Z12" s="311"/>
      <c r="AA12" s="311"/>
      <c r="AB12" s="317">
        <f>IFERROR(Z12/AA12,0)</f>
        <v>0</v>
      </c>
      <c r="AC12" s="311"/>
      <c r="AD12" s="311"/>
      <c r="AE12" s="317">
        <f>IFERROR(AC12/AD12,0)</f>
        <v>0</v>
      </c>
      <c r="AF12" s="311"/>
      <c r="AG12" s="311"/>
      <c r="AH12" s="317">
        <f>IFERROR(AF12/AG12,0)</f>
        <v>0</v>
      </c>
      <c r="AI12" s="311"/>
      <c r="AJ12" s="311"/>
      <c r="AK12" s="317">
        <f>IFERROR(AI12/AJ12,0)</f>
        <v>0</v>
      </c>
      <c r="AL12" s="300">
        <f>AM12+AP12+AS12+AV12+AY12+BB12+BE12+BH12</f>
        <v>0</v>
      </c>
      <c r="AM12" s="311"/>
      <c r="AN12" s="311"/>
      <c r="AO12" s="317">
        <f>IFERROR(AM12/AN12,0)</f>
        <v>0</v>
      </c>
      <c r="AP12" s="311"/>
      <c r="AQ12" s="311"/>
      <c r="AR12" s="317">
        <f>IFERROR(AP12/AQ12,0)</f>
        <v>0</v>
      </c>
      <c r="AS12" s="311"/>
      <c r="AT12" s="311"/>
      <c r="AU12" s="317">
        <f>IFERROR(AS12/AT12,0)</f>
        <v>0</v>
      </c>
      <c r="AV12" s="311"/>
      <c r="AW12" s="311"/>
      <c r="AX12" s="317">
        <f>IFERROR(AV12/AW12,0)</f>
        <v>0</v>
      </c>
      <c r="AY12" s="311"/>
      <c r="AZ12" s="311"/>
      <c r="BA12" s="317">
        <f>IFERROR(AY12/AZ12,0)</f>
        <v>0</v>
      </c>
      <c r="BB12" s="311"/>
      <c r="BC12" s="311"/>
      <c r="BD12" s="317">
        <f>IFERROR(BB12/BC12,0)</f>
        <v>0</v>
      </c>
      <c r="BE12" s="311"/>
      <c r="BF12" s="311"/>
      <c r="BG12" s="317">
        <f>IFERROR(BE12/BF12,0)</f>
        <v>0</v>
      </c>
      <c r="BH12" s="311"/>
      <c r="BI12" s="311"/>
      <c r="BJ12" s="317">
        <f>IFERROR(BH12/BI12,0)</f>
        <v>0</v>
      </c>
    </row>
    <row r="13" spans="2:62" s="29" customFormat="1" ht="25.5" x14ac:dyDescent="0.35">
      <c r="B13" s="412" t="s">
        <v>660</v>
      </c>
      <c r="C13" s="154" t="s">
        <v>201</v>
      </c>
      <c r="D13" s="300">
        <f>L13+S13+AL13</f>
        <v>226.08995732954509</v>
      </c>
      <c r="E13" s="228"/>
      <c r="F13" s="314"/>
      <c r="G13" s="314"/>
      <c r="H13" s="314"/>
      <c r="I13" s="314"/>
      <c r="J13" s="314"/>
      <c r="K13" s="314"/>
      <c r="L13" s="300">
        <f>M13+P13</f>
        <v>226.08995732954509</v>
      </c>
      <c r="M13" s="311">
        <v>119.64032195416894</v>
      </c>
      <c r="N13" s="311">
        <v>730</v>
      </c>
      <c r="O13" s="317">
        <f>IFERROR(M13/N13,0)</f>
        <v>0.16389085199201225</v>
      </c>
      <c r="P13" s="311">
        <v>106.44963537537616</v>
      </c>
      <c r="Q13" s="311">
        <v>539.03300000000002</v>
      </c>
      <c r="R13" s="317">
        <f>IFERROR(P13/Q13,0)</f>
        <v>0.19748259452645045</v>
      </c>
      <c r="S13" s="300">
        <f>T13+W13+Z13+AC13+AF13+AI13</f>
        <v>0</v>
      </c>
      <c r="T13" s="311"/>
      <c r="U13" s="311"/>
      <c r="V13" s="317">
        <f>IFERROR(T13/U13,0)</f>
        <v>0</v>
      </c>
      <c r="W13" s="311"/>
      <c r="X13" s="311"/>
      <c r="Y13" s="317">
        <f>IFERROR(W13/X13,0)</f>
        <v>0</v>
      </c>
      <c r="Z13" s="311"/>
      <c r="AA13" s="311"/>
      <c r="AB13" s="317">
        <f>IFERROR(Z13/AA13,0)</f>
        <v>0</v>
      </c>
      <c r="AC13" s="311"/>
      <c r="AD13" s="311"/>
      <c r="AE13" s="317">
        <f>IFERROR(AC13/AD13,0)</f>
        <v>0</v>
      </c>
      <c r="AF13" s="311"/>
      <c r="AG13" s="311"/>
      <c r="AH13" s="317">
        <f>IFERROR(AF13/AG13,0)</f>
        <v>0</v>
      </c>
      <c r="AI13" s="311"/>
      <c r="AJ13" s="311"/>
      <c r="AK13" s="317">
        <f>IFERROR(AI13/AJ13,0)</f>
        <v>0</v>
      </c>
      <c r="AL13" s="300">
        <f>AM13+AP13+AS13+AV13+AY13+BB13+BE13+BH13</f>
        <v>0</v>
      </c>
      <c r="AM13" s="311"/>
      <c r="AN13" s="311"/>
      <c r="AO13" s="317">
        <f>IFERROR(AM13/AN13,0)</f>
        <v>0</v>
      </c>
      <c r="AP13" s="311"/>
      <c r="AQ13" s="311"/>
      <c r="AR13" s="317">
        <f>IFERROR(AP13/AQ13,0)</f>
        <v>0</v>
      </c>
      <c r="AS13" s="311"/>
      <c r="AT13" s="311"/>
      <c r="AU13" s="317">
        <f>IFERROR(AS13/AT13,0)</f>
        <v>0</v>
      </c>
      <c r="AV13" s="311"/>
      <c r="AW13" s="311"/>
      <c r="AX13" s="317">
        <f>IFERROR(AV13/AW13,0)</f>
        <v>0</v>
      </c>
      <c r="AY13" s="311"/>
      <c r="AZ13" s="311"/>
      <c r="BA13" s="317">
        <f>IFERROR(AY13/AZ13,0)</f>
        <v>0</v>
      </c>
      <c r="BB13" s="311"/>
      <c r="BC13" s="311"/>
      <c r="BD13" s="317">
        <f>IFERROR(BB13/BC13,0)</f>
        <v>0</v>
      </c>
      <c r="BE13" s="311"/>
      <c r="BF13" s="311"/>
      <c r="BG13" s="317">
        <f>IFERROR(BE13/BF13,0)</f>
        <v>0</v>
      </c>
      <c r="BH13" s="311"/>
      <c r="BI13" s="311"/>
      <c r="BJ13" s="317">
        <f>IFERROR(BH13/BI13,0)</f>
        <v>0</v>
      </c>
    </row>
    <row r="14" spans="2:62" s="29" customFormat="1" x14ac:dyDescent="0.35">
      <c r="B14" s="412" t="s">
        <v>660</v>
      </c>
      <c r="C14" s="154" t="s">
        <v>36</v>
      </c>
      <c r="D14" s="300">
        <f>L14+S14+AL14</f>
        <v>0</v>
      </c>
      <c r="E14" s="228"/>
      <c r="F14" s="314"/>
      <c r="G14" s="314"/>
      <c r="H14" s="314"/>
      <c r="I14" s="314"/>
      <c r="J14" s="314"/>
      <c r="K14" s="314"/>
      <c r="L14" s="300">
        <f>M14+P14</f>
        <v>0</v>
      </c>
      <c r="M14" s="311"/>
      <c r="N14" s="311"/>
      <c r="O14" s="317">
        <f>IFERROR(M14/N14,0)</f>
        <v>0</v>
      </c>
      <c r="P14" s="311"/>
      <c r="Q14" s="311"/>
      <c r="R14" s="317">
        <f>IFERROR(P14/Q14,0)</f>
        <v>0</v>
      </c>
      <c r="S14" s="300">
        <f>T14+W14+Z14+AC14+AF14+AI14</f>
        <v>0</v>
      </c>
      <c r="T14" s="311"/>
      <c r="U14" s="311"/>
      <c r="V14" s="317">
        <f>IFERROR(T14/U14,0)</f>
        <v>0</v>
      </c>
      <c r="W14" s="311"/>
      <c r="X14" s="311"/>
      <c r="Y14" s="317">
        <f>IFERROR(W14/X14,0)</f>
        <v>0</v>
      </c>
      <c r="Z14" s="311"/>
      <c r="AA14" s="311"/>
      <c r="AB14" s="317">
        <f>IFERROR(Z14/AA14,0)</f>
        <v>0</v>
      </c>
      <c r="AC14" s="311"/>
      <c r="AD14" s="311"/>
      <c r="AE14" s="317">
        <f>IFERROR(AC14/AD14,0)</f>
        <v>0</v>
      </c>
      <c r="AF14" s="311"/>
      <c r="AG14" s="311"/>
      <c r="AH14" s="317">
        <f>IFERROR(AF14/AG14,0)</f>
        <v>0</v>
      </c>
      <c r="AI14" s="311"/>
      <c r="AJ14" s="311"/>
      <c r="AK14" s="317">
        <f>IFERROR(AI14/AJ14,0)</f>
        <v>0</v>
      </c>
      <c r="AL14" s="300">
        <f>AM14+AP14+AS14+AV14+AY14+BB14+BE14+BH14</f>
        <v>0</v>
      </c>
      <c r="AM14" s="311"/>
      <c r="AN14" s="311"/>
      <c r="AO14" s="317">
        <f>IFERROR(AM14/AN14,0)</f>
        <v>0</v>
      </c>
      <c r="AP14" s="311"/>
      <c r="AQ14" s="311"/>
      <c r="AR14" s="317">
        <f>IFERROR(AP14/AQ14,0)</f>
        <v>0</v>
      </c>
      <c r="AS14" s="311"/>
      <c r="AT14" s="311"/>
      <c r="AU14" s="317">
        <f>IFERROR(AS14/AT14,0)</f>
        <v>0</v>
      </c>
      <c r="AV14" s="311"/>
      <c r="AW14" s="311"/>
      <c r="AX14" s="317">
        <f>IFERROR(AV14/AW14,0)</f>
        <v>0</v>
      </c>
      <c r="AY14" s="311"/>
      <c r="AZ14" s="311"/>
      <c r="BA14" s="317">
        <f>IFERROR(AY14/AZ14,0)</f>
        <v>0</v>
      </c>
      <c r="BB14" s="311"/>
      <c r="BC14" s="311"/>
      <c r="BD14" s="317">
        <f>IFERROR(BB14/BC14,0)</f>
        <v>0</v>
      </c>
      <c r="BE14" s="311"/>
      <c r="BF14" s="311"/>
      <c r="BG14" s="317">
        <f>IFERROR(BE14/BF14,0)</f>
        <v>0</v>
      </c>
      <c r="BH14" s="311"/>
      <c r="BI14" s="311"/>
      <c r="BJ14" s="317">
        <f>IFERROR(BH14/BI14,0)</f>
        <v>0</v>
      </c>
    </row>
    <row r="15" spans="2:62" s="29" customFormat="1" ht="13.15" x14ac:dyDescent="0.35">
      <c r="B15" s="412"/>
      <c r="C15" s="132" t="s">
        <v>228</v>
      </c>
      <c r="D15" s="313"/>
      <c r="E15" s="229"/>
      <c r="F15" s="313"/>
      <c r="G15" s="313"/>
      <c r="H15" s="313"/>
      <c r="I15" s="313"/>
      <c r="J15" s="313"/>
      <c r="K15" s="315"/>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6"/>
    </row>
    <row r="16" spans="2:62" s="29" customFormat="1" x14ac:dyDescent="0.35">
      <c r="B16" s="412" t="s">
        <v>661</v>
      </c>
      <c r="C16" s="154" t="s">
        <v>226</v>
      </c>
      <c r="D16" s="300">
        <f>F16+I16</f>
        <v>0</v>
      </c>
      <c r="E16" s="228"/>
      <c r="F16" s="281"/>
      <c r="G16" s="281"/>
      <c r="H16" s="317">
        <f>IFERROR(F16/G16,0)</f>
        <v>0</v>
      </c>
      <c r="I16" s="281">
        <v>0</v>
      </c>
      <c r="J16" s="281">
        <v>0</v>
      </c>
      <c r="K16" s="317">
        <f>IFERROR(I16/J16,0)</f>
        <v>0</v>
      </c>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6"/>
    </row>
    <row r="17" spans="2:62" s="29" customFormat="1" ht="13.15" x14ac:dyDescent="0.35">
      <c r="B17" s="412"/>
      <c r="C17" s="132" t="s">
        <v>37</v>
      </c>
      <c r="D17" s="313"/>
      <c r="E17" s="229"/>
      <c r="F17" s="313"/>
      <c r="G17" s="313"/>
      <c r="H17" s="313"/>
      <c r="I17" s="313"/>
      <c r="J17" s="313"/>
      <c r="K17" s="315"/>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6"/>
    </row>
    <row r="18" spans="2:62" s="29" customFormat="1" x14ac:dyDescent="0.35">
      <c r="B18" s="412" t="s">
        <v>662</v>
      </c>
      <c r="C18" s="154" t="s">
        <v>227</v>
      </c>
      <c r="D18" s="300">
        <f>F18+I18</f>
        <v>0</v>
      </c>
      <c r="E18" s="228"/>
      <c r="F18" s="281"/>
      <c r="G18" s="281"/>
      <c r="H18" s="317">
        <f>IFERROR(F18/G18,0)</f>
        <v>0</v>
      </c>
      <c r="I18" s="281">
        <v>0</v>
      </c>
      <c r="J18" s="281">
        <v>0</v>
      </c>
      <c r="K18" s="317">
        <f>IFERROR(I18/J18,0)</f>
        <v>0</v>
      </c>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6"/>
    </row>
    <row r="19" spans="2:62" s="29" customFormat="1" ht="13.15" x14ac:dyDescent="0.35">
      <c r="B19" s="413">
        <v>4.7</v>
      </c>
      <c r="C19" s="232" t="s">
        <v>91</v>
      </c>
      <c r="D19" s="300">
        <f>F19+I19</f>
        <v>0</v>
      </c>
      <c r="E19" s="228"/>
      <c r="F19" s="281"/>
      <c r="G19" s="314"/>
      <c r="H19" s="314"/>
      <c r="I19" s="281"/>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6"/>
    </row>
    <row r="20" spans="2:62" s="29" customFormat="1" ht="13.15" x14ac:dyDescent="0.4">
      <c r="B20" s="230"/>
      <c r="C20" s="231" t="s">
        <v>25</v>
      </c>
      <c r="D20" s="305">
        <f>SUM(D12:D19)</f>
        <v>11816.208611321103</v>
      </c>
      <c r="E20" s="228"/>
      <c r="F20" s="305">
        <f>SUM(F12:F19)</f>
        <v>0</v>
      </c>
      <c r="G20" s="305">
        <f>SUM(G12:G19)</f>
        <v>0</v>
      </c>
      <c r="H20" s="305"/>
      <c r="I20" s="305">
        <f>SUM(I12:I19)</f>
        <v>0</v>
      </c>
      <c r="J20" s="305">
        <f>SUM(J12:J19)</f>
        <v>0</v>
      </c>
      <c r="K20" s="305"/>
      <c r="L20" s="305">
        <f>SUM(L12:L19)</f>
        <v>11816.208611321103</v>
      </c>
      <c r="M20" s="305">
        <f>SUM(M12:M19)</f>
        <v>11344.568734490807</v>
      </c>
      <c r="N20" s="305">
        <f>SUM(N12:N19)</f>
        <v>20774.287500000002</v>
      </c>
      <c r="O20" s="305"/>
      <c r="P20" s="305">
        <f>SUM(P12:P19)</f>
        <v>471.63987683029495</v>
      </c>
      <c r="Q20" s="305">
        <f>SUM(Q12:Q19)</f>
        <v>10828.170499999998</v>
      </c>
      <c r="R20" s="305"/>
      <c r="S20" s="305">
        <f>SUM(S12:S19)</f>
        <v>0</v>
      </c>
      <c r="T20" s="305">
        <f>SUM(T12:T19)</f>
        <v>0</v>
      </c>
      <c r="U20" s="305">
        <f>SUM(U12:U19)</f>
        <v>0</v>
      </c>
      <c r="V20" s="305"/>
      <c r="W20" s="305">
        <f>SUM(W12:W19)</f>
        <v>0</v>
      </c>
      <c r="X20" s="305">
        <f>SUM(X12:X19)</f>
        <v>0</v>
      </c>
      <c r="Y20" s="305"/>
      <c r="Z20" s="305">
        <f>SUM(Z12:Z19)</f>
        <v>0</v>
      </c>
      <c r="AA20" s="305">
        <f>SUM(AA12:AA19)</f>
        <v>0</v>
      </c>
      <c r="AB20" s="305"/>
      <c r="AC20" s="305">
        <f>SUM(AC12:AC19)</f>
        <v>0</v>
      </c>
      <c r="AD20" s="305">
        <f>SUM(AD12:AD19)</f>
        <v>0</v>
      </c>
      <c r="AE20" s="305"/>
      <c r="AF20" s="305">
        <f>SUM(AF12:AF19)</f>
        <v>0</v>
      </c>
      <c r="AG20" s="305">
        <f>SUM(AG12:AG19)</f>
        <v>0</v>
      </c>
      <c r="AH20" s="305"/>
      <c r="AI20" s="305">
        <f>SUM(AI12:AI19)</f>
        <v>0</v>
      </c>
      <c r="AJ20" s="305">
        <f>SUM(AJ12:AJ19)</f>
        <v>0</v>
      </c>
      <c r="AK20" s="305"/>
      <c r="AL20" s="305">
        <f>SUM(AL12:AL19)</f>
        <v>0</v>
      </c>
      <c r="AM20" s="305">
        <f>SUM(AM12:AM19)</f>
        <v>0</v>
      </c>
      <c r="AN20" s="305">
        <f>SUM(AN12:AN19)</f>
        <v>0</v>
      </c>
      <c r="AO20" s="305"/>
      <c r="AP20" s="305">
        <f>SUM(AP12:AP19)</f>
        <v>0</v>
      </c>
      <c r="AQ20" s="305">
        <f>SUM(AQ12:AQ19)</f>
        <v>0</v>
      </c>
      <c r="AR20" s="305"/>
      <c r="AS20" s="305">
        <f>SUM(AS12:AS19)</f>
        <v>0</v>
      </c>
      <c r="AT20" s="305">
        <f>SUM(AT12:AT19)</f>
        <v>0</v>
      </c>
      <c r="AU20" s="305"/>
      <c r="AV20" s="305">
        <f>SUM(AV12:AV19)</f>
        <v>0</v>
      </c>
      <c r="AW20" s="305">
        <f>SUM(AW12:AW19)</f>
        <v>0</v>
      </c>
      <c r="AX20" s="305"/>
      <c r="AY20" s="305">
        <f>SUM(AY12:AY19)</f>
        <v>0</v>
      </c>
      <c r="AZ20" s="305">
        <f>SUM(AZ12:AZ19)</f>
        <v>0</v>
      </c>
      <c r="BA20" s="305"/>
      <c r="BB20" s="305">
        <f>SUM(BB12:BB19)</f>
        <v>0</v>
      </c>
      <c r="BC20" s="305">
        <f>SUM(BC12:BC19)</f>
        <v>0</v>
      </c>
      <c r="BD20" s="305"/>
      <c r="BE20" s="305">
        <f>SUM(BE12:BE19)</f>
        <v>0</v>
      </c>
      <c r="BF20" s="305">
        <f>SUM(BF12:BF19)</f>
        <v>0</v>
      </c>
      <c r="BG20" s="305"/>
      <c r="BH20" s="305">
        <f>SUM(BH12:BH19)</f>
        <v>0</v>
      </c>
      <c r="BI20" s="305">
        <f>SUM(BI12:BI19)</f>
        <v>0</v>
      </c>
      <c r="BJ20" s="305"/>
    </row>
    <row r="21" spans="2:62" x14ac:dyDescent="0.35">
      <c r="B21" s="29"/>
      <c r="C21" s="29"/>
      <c r="D21" s="29"/>
      <c r="E21" s="29"/>
    </row>
    <row r="22" spans="2:62" x14ac:dyDescent="0.35">
      <c r="B22" s="355" t="s">
        <v>506</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97656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237</v>
      </c>
      <c r="C1" s="21"/>
      <c r="D1" s="21"/>
      <c r="E1" s="21"/>
      <c r="F1" s="21"/>
      <c r="G1" s="21"/>
      <c r="H1" s="21"/>
      <c r="I1" s="21"/>
    </row>
    <row r="2" spans="2:9" ht="13.9" x14ac:dyDescent="0.4">
      <c r="B2" s="51" t="str">
        <f>Tradingname</f>
        <v>APA OPERATIONS PTY LIMITED</v>
      </c>
      <c r="C2" s="52"/>
    </row>
    <row r="3" spans="2:9" ht="18" customHeight="1" x14ac:dyDescent="0.85">
      <c r="B3" s="53" t="s">
        <v>239</v>
      </c>
      <c r="C3" s="54" t="str">
        <f>TEXT(Yearstart,"dd/mm/yyyy")&amp;" to "&amp;TEXT(Yearending,"dd/mm/yyyy")</f>
        <v>01/07/2020 to 30/06/2021</v>
      </c>
      <c r="D3" s="47"/>
      <c r="E3" s="47"/>
    </row>
    <row r="4" spans="2:9" ht="20.65" x14ac:dyDescent="0.6">
      <c r="B4" s="20"/>
    </row>
    <row r="5" spans="2:9" ht="15" x14ac:dyDescent="0.4">
      <c r="B5" s="32" t="s">
        <v>238</v>
      </c>
    </row>
    <row r="6" spans="2:9" ht="13.15" x14ac:dyDescent="0.4">
      <c r="B6" s="24"/>
      <c r="C6" s="27"/>
      <c r="D6" s="27"/>
      <c r="E6" s="27"/>
      <c r="G6" s="33"/>
      <c r="H6" s="29"/>
      <c r="I6" s="29"/>
    </row>
    <row r="7" spans="2:9" ht="57" customHeight="1" x14ac:dyDescent="0.35">
      <c r="B7" s="512" t="s">
        <v>138</v>
      </c>
      <c r="C7" s="513"/>
      <c r="D7" s="513"/>
      <c r="E7" s="514"/>
    </row>
    <row r="8" spans="2:9" ht="13.5" customHeight="1" x14ac:dyDescent="0.35">
      <c r="B8" s="515"/>
      <c r="C8" s="516"/>
      <c r="D8" s="516"/>
      <c r="E8" s="517"/>
    </row>
    <row r="9" spans="2:9" ht="13.5" customHeight="1" x14ac:dyDescent="0.35">
      <c r="B9" s="511"/>
      <c r="C9" s="511"/>
      <c r="D9" s="511"/>
      <c r="E9" s="511"/>
    </row>
    <row r="10" spans="2:9" ht="13.5" customHeight="1" x14ac:dyDescent="0.35">
      <c r="B10" s="511"/>
      <c r="C10" s="511"/>
      <c r="D10" s="511"/>
      <c r="E10" s="511"/>
    </row>
    <row r="11" spans="2:9" ht="13.5" customHeight="1" x14ac:dyDescent="0.35">
      <c r="B11" s="511"/>
      <c r="C11" s="511"/>
      <c r="D11" s="511"/>
      <c r="E11" s="511"/>
    </row>
    <row r="12" spans="2:9" ht="13.5" customHeight="1" x14ac:dyDescent="0.35">
      <c r="B12" s="511"/>
      <c r="C12" s="511"/>
      <c r="D12" s="511"/>
      <c r="E12" s="511"/>
    </row>
    <row r="13" spans="2:9" ht="13.5" customHeight="1" x14ac:dyDescent="0.35">
      <c r="B13" s="511"/>
      <c r="C13" s="511"/>
      <c r="D13" s="511"/>
      <c r="E13" s="511"/>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D539-2AA0-43C7-A245-EC2028B68B9A}">
  <sheetPr>
    <tabColor rgb="FFFFE9D9"/>
  </sheetPr>
  <dimension ref="A1"/>
  <sheetViews>
    <sheetView zoomScale="80" zoomScaleNormal="80" workbookViewId="0"/>
  </sheetViews>
  <sheetFormatPr defaultRowHeight="12.75" x14ac:dyDescent="0.35"/>
  <cols>
    <col min="1" max="16384" width="9.06640625" style="360"/>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L29"/>
  <sheetViews>
    <sheetView zoomScale="80" zoomScaleNormal="80" workbookViewId="0"/>
  </sheetViews>
  <sheetFormatPr defaultColWidth="9.1328125" defaultRowHeight="12.75" x14ac:dyDescent="0.35"/>
  <cols>
    <col min="1" max="1" width="11.86328125" style="22" customWidth="1"/>
    <col min="2" max="2" width="22.3984375" style="22" customWidth="1"/>
    <col min="3" max="12" width="14.265625" style="22" customWidth="1"/>
    <col min="13" max="16384" width="9.1328125" style="22"/>
  </cols>
  <sheetData>
    <row r="1" spans="2:12" ht="20.65" x14ac:dyDescent="0.6">
      <c r="B1" s="23" t="s">
        <v>229</v>
      </c>
      <c r="C1" s="21"/>
      <c r="D1" s="21"/>
    </row>
    <row r="2" spans="2:12" ht="13.9" x14ac:dyDescent="0.4">
      <c r="B2" s="51" t="str">
        <f>Tradingname</f>
        <v>APA OPERATIONS PTY LIMITED</v>
      </c>
      <c r="C2" s="52"/>
    </row>
    <row r="3" spans="2:12" ht="15.75" customHeight="1" x14ac:dyDescent="0.85">
      <c r="B3" s="53" t="s">
        <v>180</v>
      </c>
      <c r="C3" s="54">
        <f>Yearending</f>
        <v>44377</v>
      </c>
      <c r="D3" s="47"/>
    </row>
    <row r="4" spans="2:12" ht="20.65" x14ac:dyDescent="0.6">
      <c r="B4" s="20"/>
    </row>
    <row r="5" spans="2:12" x14ac:dyDescent="0.35">
      <c r="B5" s="393" t="s">
        <v>639</v>
      </c>
      <c r="C5" s="365"/>
      <c r="D5" s="365"/>
      <c r="E5" s="365"/>
      <c r="F5" s="365"/>
      <c r="G5" s="365"/>
      <c r="H5" s="365"/>
      <c r="I5" s="365"/>
      <c r="J5" s="365"/>
      <c r="K5" s="365"/>
      <c r="L5" s="365"/>
    </row>
    <row r="6" spans="2:12" ht="13.15" thickBot="1" x14ac:dyDescent="0.4">
      <c r="C6" s="365"/>
      <c r="D6" s="365"/>
      <c r="E6" s="365"/>
      <c r="F6" s="365"/>
      <c r="G6" s="365"/>
      <c r="H6" s="365"/>
      <c r="I6" s="365"/>
      <c r="J6" s="365"/>
      <c r="K6" s="365"/>
      <c r="L6" s="365"/>
    </row>
    <row r="7" spans="2:12" ht="13.9" customHeight="1" x14ac:dyDescent="0.35">
      <c r="B7" s="524" t="s">
        <v>640</v>
      </c>
      <c r="C7" s="526" t="s">
        <v>679</v>
      </c>
      <c r="D7" s="527"/>
      <c r="E7" s="527"/>
      <c r="F7" s="527"/>
      <c r="G7" s="527"/>
      <c r="H7" s="527"/>
      <c r="I7" s="527"/>
      <c r="J7" s="527"/>
      <c r="K7" s="527"/>
      <c r="L7" s="528"/>
    </row>
    <row r="8" spans="2:12" ht="29.65" customHeight="1" thickBot="1" x14ac:dyDescent="0.4">
      <c r="B8" s="525"/>
      <c r="C8" s="518"/>
      <c r="D8" s="519"/>
      <c r="E8" s="519"/>
      <c r="F8" s="519"/>
      <c r="G8" s="519"/>
      <c r="H8" s="519"/>
      <c r="I8" s="519"/>
      <c r="J8" s="519"/>
      <c r="K8" s="519"/>
      <c r="L8" s="520"/>
    </row>
    <row r="9" spans="2:12" s="409" customFormat="1" ht="30.75" customHeight="1" thickBot="1" x14ac:dyDescent="0.4">
      <c r="B9" s="410" t="s">
        <v>277</v>
      </c>
      <c r="C9" s="526" t="s">
        <v>678</v>
      </c>
      <c r="D9" s="527"/>
      <c r="E9" s="527"/>
      <c r="F9" s="527"/>
      <c r="G9" s="527"/>
      <c r="H9" s="527"/>
      <c r="I9" s="527"/>
      <c r="J9" s="527"/>
      <c r="K9" s="527"/>
      <c r="L9" s="528"/>
    </row>
    <row r="10" spans="2:12" ht="19.899999999999999" customHeight="1" thickBot="1" x14ac:dyDescent="0.4">
      <c r="B10" s="394">
        <v>1.1000000000000001</v>
      </c>
      <c r="C10" s="532" t="s">
        <v>641</v>
      </c>
      <c r="D10" s="533"/>
      <c r="E10" s="533"/>
      <c r="F10" s="533"/>
      <c r="G10" s="533"/>
      <c r="H10" s="533"/>
      <c r="I10" s="533"/>
      <c r="J10" s="533"/>
      <c r="K10" s="533"/>
      <c r="L10" s="534"/>
    </row>
    <row r="11" spans="2:12" ht="30.4" customHeight="1" thickBot="1" x14ac:dyDescent="0.4">
      <c r="B11" s="410">
        <v>1.2</v>
      </c>
      <c r="C11" s="526" t="s">
        <v>642</v>
      </c>
      <c r="D11" s="527"/>
      <c r="E11" s="527"/>
      <c r="F11" s="527"/>
      <c r="G11" s="527"/>
      <c r="H11" s="527"/>
      <c r="I11" s="527"/>
      <c r="J11" s="527"/>
      <c r="K11" s="527"/>
      <c r="L11" s="528"/>
    </row>
    <row r="12" spans="2:12" ht="30.75" customHeight="1" x14ac:dyDescent="0.35">
      <c r="B12" s="521">
        <v>2.1</v>
      </c>
      <c r="C12" s="535" t="s">
        <v>663</v>
      </c>
      <c r="D12" s="536"/>
      <c r="E12" s="536"/>
      <c r="F12" s="536"/>
      <c r="G12" s="536"/>
      <c r="H12" s="536"/>
      <c r="I12" s="536"/>
      <c r="J12" s="536"/>
      <c r="K12" s="536"/>
      <c r="L12" s="537"/>
    </row>
    <row r="13" spans="2:12" ht="16.899999999999999" customHeight="1" x14ac:dyDescent="0.35">
      <c r="B13" s="522"/>
      <c r="C13" s="538" t="s">
        <v>664</v>
      </c>
      <c r="D13" s="539"/>
      <c r="E13" s="539"/>
      <c r="F13" s="539"/>
      <c r="G13" s="539"/>
      <c r="H13" s="539"/>
      <c r="I13" s="539"/>
      <c r="J13" s="539"/>
      <c r="K13" s="539"/>
      <c r="L13" s="540"/>
    </row>
    <row r="14" spans="2:12" ht="220.9" customHeight="1" thickBot="1" x14ac:dyDescent="0.4">
      <c r="B14" s="523"/>
      <c r="C14" s="518" t="s">
        <v>681</v>
      </c>
      <c r="D14" s="519"/>
      <c r="E14" s="519"/>
      <c r="F14" s="519"/>
      <c r="G14" s="519"/>
      <c r="H14" s="519"/>
      <c r="I14" s="519"/>
      <c r="J14" s="519"/>
      <c r="K14" s="519"/>
      <c r="L14" s="520"/>
    </row>
    <row r="15" spans="2:12" ht="30.75" customHeight="1" thickBot="1" x14ac:dyDescent="0.4">
      <c r="B15" s="411">
        <v>3.1</v>
      </c>
      <c r="C15" s="532" t="s">
        <v>643</v>
      </c>
      <c r="D15" s="533"/>
      <c r="E15" s="533"/>
      <c r="F15" s="533"/>
      <c r="G15" s="533"/>
      <c r="H15" s="533"/>
      <c r="I15" s="533"/>
      <c r="J15" s="533"/>
      <c r="K15" s="533"/>
      <c r="L15" s="534"/>
    </row>
    <row r="16" spans="2:12" ht="42.75" customHeight="1" thickBot="1" x14ac:dyDescent="0.4">
      <c r="B16" s="410" t="s">
        <v>275</v>
      </c>
      <c r="C16" s="526" t="s">
        <v>666</v>
      </c>
      <c r="D16" s="527"/>
      <c r="E16" s="527"/>
      <c r="F16" s="527"/>
      <c r="G16" s="527"/>
      <c r="H16" s="527"/>
      <c r="I16" s="527"/>
      <c r="J16" s="527"/>
      <c r="K16" s="527"/>
      <c r="L16" s="528"/>
    </row>
    <row r="17" spans="2:12" ht="13.5" x14ac:dyDescent="0.35">
      <c r="B17" s="541" t="s">
        <v>259</v>
      </c>
      <c r="C17" s="543" t="s">
        <v>665</v>
      </c>
      <c r="D17" s="544"/>
      <c r="E17" s="544"/>
      <c r="F17" s="544"/>
      <c r="G17" s="544"/>
      <c r="H17" s="544"/>
      <c r="I17" s="544"/>
      <c r="J17" s="544"/>
      <c r="K17" s="544"/>
      <c r="L17" s="545"/>
    </row>
    <row r="18" spans="2:12" ht="13.9" thickBot="1" x14ac:dyDescent="0.4">
      <c r="B18" s="542"/>
      <c r="C18" s="546" t="s">
        <v>644</v>
      </c>
      <c r="D18" s="547"/>
      <c r="E18" s="547"/>
      <c r="F18" s="547"/>
      <c r="G18" s="547"/>
      <c r="H18" s="547"/>
      <c r="I18" s="547"/>
      <c r="J18" s="547"/>
      <c r="K18" s="547"/>
      <c r="L18" s="548"/>
    </row>
    <row r="19" spans="2:12" ht="15.75" customHeight="1" x14ac:dyDescent="0.35">
      <c r="B19" s="549" t="s">
        <v>286</v>
      </c>
      <c r="C19" s="529" t="s">
        <v>645</v>
      </c>
      <c r="D19" s="530"/>
      <c r="E19" s="530"/>
      <c r="F19" s="530"/>
      <c r="G19" s="530"/>
      <c r="H19" s="530"/>
      <c r="I19" s="530"/>
      <c r="J19" s="530"/>
      <c r="K19" s="530"/>
      <c r="L19" s="531"/>
    </row>
    <row r="20" spans="2:12" ht="15" customHeight="1" thickBot="1" x14ac:dyDescent="0.4">
      <c r="B20" s="542"/>
      <c r="C20" s="546" t="s">
        <v>646</v>
      </c>
      <c r="D20" s="547"/>
      <c r="E20" s="547"/>
      <c r="F20" s="547"/>
      <c r="G20" s="547"/>
      <c r="H20" s="547"/>
      <c r="I20" s="547"/>
      <c r="J20" s="547"/>
      <c r="K20" s="547"/>
      <c r="L20" s="548"/>
    </row>
    <row r="21" spans="2:12" ht="13.9" customHeight="1" x14ac:dyDescent="0.35">
      <c r="B21" s="549">
        <v>3.4</v>
      </c>
      <c r="C21" s="526" t="s">
        <v>647</v>
      </c>
      <c r="D21" s="527"/>
      <c r="E21" s="527"/>
      <c r="F21" s="527"/>
      <c r="G21" s="527"/>
      <c r="H21" s="527"/>
      <c r="I21" s="527"/>
      <c r="J21" s="527"/>
      <c r="K21" s="527"/>
      <c r="L21" s="528"/>
    </row>
    <row r="22" spans="2:12" ht="18" customHeight="1" thickBot="1" x14ac:dyDescent="0.4">
      <c r="B22" s="553"/>
      <c r="C22" s="546"/>
      <c r="D22" s="547"/>
      <c r="E22" s="547"/>
      <c r="F22" s="547"/>
      <c r="G22" s="547"/>
      <c r="H22" s="547"/>
      <c r="I22" s="547"/>
      <c r="J22" s="547"/>
      <c r="K22" s="547"/>
      <c r="L22" s="548"/>
    </row>
    <row r="23" spans="2:12" ht="59.65" customHeight="1" thickBot="1" x14ac:dyDescent="0.4">
      <c r="B23" s="521">
        <v>4.0999999999999996</v>
      </c>
      <c r="C23" s="563" t="s">
        <v>682</v>
      </c>
      <c r="D23" s="564"/>
      <c r="E23" s="564"/>
      <c r="F23" s="564"/>
      <c r="G23" s="564"/>
      <c r="H23" s="564"/>
      <c r="I23" s="564"/>
      <c r="J23" s="564"/>
      <c r="K23" s="564"/>
      <c r="L23" s="565"/>
    </row>
    <row r="24" spans="2:12" ht="168.75" customHeight="1" thickBot="1" x14ac:dyDescent="0.4">
      <c r="B24" s="522"/>
      <c r="C24" s="532" t="s">
        <v>680</v>
      </c>
      <c r="D24" s="533"/>
      <c r="E24" s="533"/>
      <c r="F24" s="533"/>
      <c r="G24" s="533"/>
      <c r="H24" s="533"/>
      <c r="I24" s="533"/>
      <c r="J24" s="533"/>
      <c r="K24" s="533"/>
      <c r="L24" s="534"/>
    </row>
    <row r="25" spans="2:12" ht="18" customHeight="1" x14ac:dyDescent="0.35">
      <c r="B25" s="522"/>
      <c r="C25" s="557" t="s">
        <v>648</v>
      </c>
      <c r="D25" s="558"/>
      <c r="E25" s="558"/>
      <c r="F25" s="558"/>
      <c r="G25" s="558"/>
      <c r="H25" s="558"/>
      <c r="I25" s="558"/>
      <c r="J25" s="558"/>
      <c r="K25" s="558"/>
      <c r="L25" s="559"/>
    </row>
    <row r="26" spans="2:12" ht="31.5" customHeight="1" x14ac:dyDescent="0.35">
      <c r="B26" s="522"/>
      <c r="C26" s="554" t="s">
        <v>649</v>
      </c>
      <c r="D26" s="555"/>
      <c r="E26" s="555"/>
      <c r="F26" s="555"/>
      <c r="G26" s="555"/>
      <c r="H26" s="555"/>
      <c r="I26" s="555"/>
      <c r="J26" s="555"/>
      <c r="K26" s="555"/>
      <c r="L26" s="556"/>
    </row>
    <row r="27" spans="2:12" ht="193.9" customHeight="1" thickBot="1" x14ac:dyDescent="0.4">
      <c r="B27" s="522"/>
      <c r="C27" s="560" t="s">
        <v>677</v>
      </c>
      <c r="D27" s="561"/>
      <c r="E27" s="561"/>
      <c r="F27" s="561"/>
      <c r="G27" s="561"/>
      <c r="H27" s="561"/>
      <c r="I27" s="561"/>
      <c r="J27" s="561"/>
      <c r="K27" s="561"/>
      <c r="L27" s="562"/>
    </row>
    <row r="28" spans="2:12" ht="87.4" customHeight="1" thickBot="1" x14ac:dyDescent="0.4">
      <c r="B28" s="394" t="s">
        <v>650</v>
      </c>
      <c r="C28" s="550" t="s">
        <v>683</v>
      </c>
      <c r="D28" s="551"/>
      <c r="E28" s="551"/>
      <c r="F28" s="551"/>
      <c r="G28" s="551"/>
      <c r="H28" s="551"/>
      <c r="I28" s="551"/>
      <c r="J28" s="551"/>
      <c r="K28" s="551"/>
      <c r="L28" s="552"/>
    </row>
    <row r="29" spans="2:12" ht="32.65" customHeight="1" thickBot="1" x14ac:dyDescent="0.4">
      <c r="B29" s="394">
        <v>5.0999999999999996</v>
      </c>
      <c r="C29" s="532" t="s">
        <v>651</v>
      </c>
      <c r="D29" s="533"/>
      <c r="E29" s="533"/>
      <c r="F29" s="533"/>
      <c r="G29" s="533"/>
      <c r="H29" s="533"/>
      <c r="I29" s="533"/>
      <c r="J29" s="533"/>
      <c r="K29" s="533"/>
      <c r="L29" s="534"/>
    </row>
  </sheetData>
  <mergeCells count="27">
    <mergeCell ref="C20:L20"/>
    <mergeCell ref="C29:L29"/>
    <mergeCell ref="C28:L28"/>
    <mergeCell ref="B21:B22"/>
    <mergeCell ref="C26:L26"/>
    <mergeCell ref="C25:L25"/>
    <mergeCell ref="B23:B27"/>
    <mergeCell ref="C27:L27"/>
    <mergeCell ref="C21:L22"/>
    <mergeCell ref="C23:L23"/>
    <mergeCell ref="C24:L24"/>
    <mergeCell ref="C14:L14"/>
    <mergeCell ref="B12:B14"/>
    <mergeCell ref="B7:B8"/>
    <mergeCell ref="C11:L11"/>
    <mergeCell ref="C19:L19"/>
    <mergeCell ref="C16:L16"/>
    <mergeCell ref="C7:L8"/>
    <mergeCell ref="C10:L10"/>
    <mergeCell ref="C12:L12"/>
    <mergeCell ref="C13:L13"/>
    <mergeCell ref="C9:L9"/>
    <mergeCell ref="B17:B18"/>
    <mergeCell ref="C17:L17"/>
    <mergeCell ref="C18:L18"/>
    <mergeCell ref="B19:B20"/>
    <mergeCell ref="C15:L15"/>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1" customWidth="1"/>
    <col min="2" max="2" width="15.86328125" style="188" customWidth="1"/>
    <col min="3" max="3" width="27.3984375" style="181" customWidth="1"/>
    <col min="4" max="4" width="22.86328125" style="188" customWidth="1"/>
    <col min="5" max="5" width="23.59765625" style="181" customWidth="1"/>
    <col min="6" max="6" width="25.1328125" style="181" customWidth="1"/>
    <col min="7" max="7" width="63.86328125" style="181" customWidth="1"/>
    <col min="8" max="8" width="19.1328125" style="195" customWidth="1"/>
    <col min="9" max="9" width="16.59765625" style="195" customWidth="1"/>
    <col min="10" max="10" width="12.3984375" style="195" customWidth="1"/>
    <col min="11" max="11" width="9.86328125" style="195" customWidth="1"/>
    <col min="12" max="12" width="9" style="195" customWidth="1"/>
    <col min="13" max="13" width="9" style="195"/>
    <col min="14" max="14" width="11.1328125" style="195" customWidth="1"/>
    <col min="15" max="15" width="9" style="195"/>
    <col min="16" max="16" width="82.1328125" style="195" customWidth="1"/>
    <col min="17" max="16384" width="9" style="181"/>
  </cols>
  <sheetData>
    <row r="1" spans="1:16" ht="22.35" customHeight="1" x14ac:dyDescent="0.35">
      <c r="H1" s="194"/>
    </row>
    <row r="2" spans="1:16" ht="28.5" customHeight="1" x14ac:dyDescent="0.35">
      <c r="A2" s="201" t="s">
        <v>240</v>
      </c>
      <c r="B2" s="202" t="s">
        <v>241</v>
      </c>
      <c r="C2" s="201" t="s">
        <v>242</v>
      </c>
      <c r="D2" s="201" t="s">
        <v>243</v>
      </c>
      <c r="E2" s="201" t="s">
        <v>244</v>
      </c>
      <c r="F2" s="201" t="s">
        <v>245</v>
      </c>
      <c r="G2" s="201" t="s">
        <v>246</v>
      </c>
      <c r="H2" s="196"/>
      <c r="I2" s="196"/>
      <c r="J2" s="196"/>
      <c r="K2" s="196"/>
      <c r="L2" s="196"/>
      <c r="M2" s="196"/>
      <c r="N2" s="196"/>
      <c r="O2" s="196"/>
      <c r="P2" s="196"/>
    </row>
    <row r="3" spans="1:16" s="184" customFormat="1" ht="25.5" x14ac:dyDescent="0.35">
      <c r="A3" s="182">
        <v>44084</v>
      </c>
      <c r="B3" s="183">
        <v>1</v>
      </c>
      <c r="C3" s="186" t="s">
        <v>249</v>
      </c>
      <c r="D3" s="189"/>
      <c r="E3" s="187"/>
      <c r="F3" s="187" t="s">
        <v>250</v>
      </c>
      <c r="G3" s="187" t="s">
        <v>328</v>
      </c>
      <c r="H3" s="197"/>
      <c r="I3" s="198"/>
      <c r="J3" s="198"/>
      <c r="K3" s="198"/>
      <c r="L3" s="198"/>
      <c r="M3" s="198"/>
      <c r="N3" s="198"/>
      <c r="O3" s="198"/>
      <c r="P3" s="199"/>
    </row>
    <row r="4" spans="1:16" s="184" customFormat="1" ht="25.5" x14ac:dyDescent="0.35">
      <c r="A4" s="182">
        <v>44084</v>
      </c>
      <c r="B4" s="183">
        <f>B3+1</f>
        <v>2</v>
      </c>
      <c r="C4" s="186" t="s">
        <v>251</v>
      </c>
      <c r="D4" s="190">
        <v>2.1</v>
      </c>
      <c r="E4" s="187" t="s">
        <v>252</v>
      </c>
      <c r="F4" s="186" t="s">
        <v>253</v>
      </c>
      <c r="G4" s="187" t="s">
        <v>254</v>
      </c>
      <c r="H4" s="197"/>
      <c r="I4" s="198"/>
      <c r="J4" s="198"/>
      <c r="K4" s="198"/>
      <c r="L4" s="198"/>
      <c r="M4" s="198"/>
      <c r="N4" s="198"/>
      <c r="O4" s="198"/>
      <c r="P4" s="199"/>
    </row>
    <row r="5" spans="1:16" s="184" customFormat="1" ht="25.5" x14ac:dyDescent="0.35">
      <c r="A5" s="182">
        <v>44084</v>
      </c>
      <c r="B5" s="183">
        <f>B4+1</f>
        <v>3</v>
      </c>
      <c r="C5" s="186" t="s">
        <v>516</v>
      </c>
      <c r="D5" s="189">
        <v>3.1</v>
      </c>
      <c r="E5" s="187" t="s">
        <v>255</v>
      </c>
      <c r="F5" s="186" t="s">
        <v>256</v>
      </c>
      <c r="G5" s="187" t="s">
        <v>257</v>
      </c>
      <c r="H5" s="197"/>
      <c r="I5" s="198"/>
      <c r="J5" s="198"/>
      <c r="K5" s="198"/>
      <c r="L5" s="198"/>
      <c r="M5" s="198"/>
      <c r="N5" s="198"/>
      <c r="O5" s="198"/>
      <c r="P5" s="199"/>
    </row>
    <row r="6" spans="1:16" s="184" customFormat="1" ht="25.5" x14ac:dyDescent="0.35">
      <c r="A6" s="182">
        <v>44084</v>
      </c>
      <c r="B6" s="183">
        <f t="shared" ref="B6:B69" si="0">B5+1</f>
        <v>4</v>
      </c>
      <c r="C6" s="186" t="s">
        <v>258</v>
      </c>
      <c r="D6" s="189" t="s">
        <v>259</v>
      </c>
      <c r="E6" s="187" t="s">
        <v>260</v>
      </c>
      <c r="F6" s="186" t="s">
        <v>261</v>
      </c>
      <c r="G6" s="187" t="s">
        <v>262</v>
      </c>
      <c r="H6" s="197"/>
      <c r="I6" s="198"/>
      <c r="J6" s="198"/>
      <c r="K6" s="198"/>
      <c r="L6" s="198"/>
      <c r="M6" s="198"/>
      <c r="N6" s="198"/>
      <c r="O6" s="198"/>
      <c r="P6" s="199"/>
    </row>
    <row r="7" spans="1:16" s="184" customFormat="1" ht="48.75" customHeight="1" x14ac:dyDescent="0.35">
      <c r="A7" s="182">
        <v>44084</v>
      </c>
      <c r="B7" s="183">
        <f t="shared" si="0"/>
        <v>5</v>
      </c>
      <c r="C7" s="186" t="s">
        <v>258</v>
      </c>
      <c r="D7" s="189" t="s">
        <v>259</v>
      </c>
      <c r="E7" s="187" t="s">
        <v>263</v>
      </c>
      <c r="F7" s="186" t="s">
        <v>264</v>
      </c>
      <c r="G7" s="187" t="s">
        <v>265</v>
      </c>
      <c r="H7" s="197"/>
      <c r="I7" s="198"/>
      <c r="J7" s="198"/>
      <c r="K7" s="198"/>
      <c r="L7" s="198"/>
      <c r="M7" s="198"/>
      <c r="N7" s="198"/>
      <c r="O7" s="198"/>
      <c r="P7" s="199"/>
    </row>
    <row r="8" spans="1:16" s="184" customFormat="1" ht="99" customHeight="1" x14ac:dyDescent="0.35">
      <c r="A8" s="182">
        <v>44084</v>
      </c>
      <c r="B8" s="183">
        <f t="shared" si="0"/>
        <v>6</v>
      </c>
      <c r="C8" s="186" t="s">
        <v>258</v>
      </c>
      <c r="D8" s="189" t="s">
        <v>259</v>
      </c>
      <c r="E8" s="187" t="s">
        <v>266</v>
      </c>
      <c r="F8" s="186" t="s">
        <v>267</v>
      </c>
      <c r="G8" s="187" t="s">
        <v>268</v>
      </c>
      <c r="H8" s="197"/>
      <c r="I8" s="198"/>
      <c r="J8" s="198"/>
      <c r="K8" s="198"/>
      <c r="L8" s="198"/>
      <c r="M8" s="198"/>
      <c r="N8" s="198"/>
      <c r="O8" s="198"/>
      <c r="P8" s="199"/>
    </row>
    <row r="9" spans="1:16" s="184" customFormat="1" ht="33" customHeight="1" x14ac:dyDescent="0.35">
      <c r="A9" s="182">
        <v>44084</v>
      </c>
      <c r="B9" s="183">
        <f t="shared" si="0"/>
        <v>7</v>
      </c>
      <c r="C9" s="186" t="s">
        <v>516</v>
      </c>
      <c r="D9" s="189">
        <v>3.1</v>
      </c>
      <c r="E9" s="187" t="s">
        <v>269</v>
      </c>
      <c r="F9" s="186" t="s">
        <v>270</v>
      </c>
      <c r="G9" s="187" t="s">
        <v>271</v>
      </c>
      <c r="H9" s="197"/>
      <c r="I9" s="198"/>
      <c r="J9" s="198"/>
      <c r="K9" s="198"/>
      <c r="L9" s="198"/>
      <c r="M9" s="198"/>
      <c r="N9" s="198"/>
      <c r="O9" s="198"/>
      <c r="P9" s="199"/>
    </row>
    <row r="10" spans="1:16" s="184" customFormat="1" x14ac:dyDescent="0.35">
      <c r="A10" s="182">
        <v>44084</v>
      </c>
      <c r="B10" s="183">
        <f t="shared" si="0"/>
        <v>8</v>
      </c>
      <c r="C10" s="186" t="s">
        <v>516</v>
      </c>
      <c r="D10" s="189">
        <v>3.1</v>
      </c>
      <c r="E10" s="186" t="s">
        <v>331</v>
      </c>
      <c r="F10" s="186" t="s">
        <v>247</v>
      </c>
      <c r="G10" s="193" t="s">
        <v>272</v>
      </c>
      <c r="H10" s="197"/>
      <c r="I10" s="198"/>
      <c r="J10" s="198"/>
      <c r="K10" s="198"/>
      <c r="L10" s="198"/>
      <c r="M10" s="198"/>
      <c r="N10" s="198"/>
      <c r="O10" s="198"/>
      <c r="P10" s="199"/>
    </row>
    <row r="11" spans="1:16" s="184" customFormat="1" ht="25.5" x14ac:dyDescent="0.35">
      <c r="A11" s="182">
        <v>44084</v>
      </c>
      <c r="B11" s="183">
        <f t="shared" si="0"/>
        <v>9</v>
      </c>
      <c r="C11" s="186" t="s">
        <v>516</v>
      </c>
      <c r="D11" s="189">
        <v>3.1</v>
      </c>
      <c r="E11" s="187" t="s">
        <v>273</v>
      </c>
      <c r="F11" s="186" t="s">
        <v>274</v>
      </c>
      <c r="G11" s="187" t="s">
        <v>327</v>
      </c>
      <c r="H11" s="197"/>
      <c r="I11" s="198"/>
      <c r="J11" s="198"/>
      <c r="K11" s="198"/>
      <c r="L11" s="198"/>
      <c r="M11" s="198"/>
      <c r="N11" s="198"/>
      <c r="O11" s="198"/>
      <c r="P11" s="199"/>
    </row>
    <row r="12" spans="1:16" s="184" customFormat="1" ht="12.75" customHeight="1" x14ac:dyDescent="0.35">
      <c r="A12" s="182">
        <v>44084</v>
      </c>
      <c r="B12" s="183">
        <f t="shared" si="0"/>
        <v>10</v>
      </c>
      <c r="C12" s="186" t="s">
        <v>248</v>
      </c>
      <c r="D12" s="189" t="s">
        <v>275</v>
      </c>
      <c r="E12" s="200" t="s">
        <v>329</v>
      </c>
      <c r="F12" s="186" t="s">
        <v>270</v>
      </c>
      <c r="G12" s="187" t="s">
        <v>276</v>
      </c>
      <c r="H12" s="197"/>
      <c r="I12" s="198"/>
      <c r="J12" s="198"/>
      <c r="K12" s="198"/>
      <c r="L12" s="198"/>
      <c r="M12" s="198"/>
      <c r="N12" s="198"/>
      <c r="O12" s="198"/>
      <c r="P12" s="199"/>
    </row>
    <row r="13" spans="1:16" s="184" customFormat="1" x14ac:dyDescent="0.35">
      <c r="A13" s="182">
        <v>44084</v>
      </c>
      <c r="B13" s="183">
        <f t="shared" si="0"/>
        <v>11</v>
      </c>
      <c r="C13" s="186" t="s">
        <v>277</v>
      </c>
      <c r="D13" s="189" t="s">
        <v>159</v>
      </c>
      <c r="E13" s="187" t="s">
        <v>278</v>
      </c>
      <c r="F13" s="186" t="s">
        <v>315</v>
      </c>
      <c r="G13" s="187" t="s">
        <v>279</v>
      </c>
      <c r="H13" s="197"/>
      <c r="I13" s="198"/>
      <c r="J13" s="198"/>
      <c r="K13" s="198"/>
      <c r="L13" s="198"/>
      <c r="M13" s="198"/>
      <c r="N13" s="198"/>
      <c r="O13" s="198"/>
      <c r="P13" s="199"/>
    </row>
    <row r="14" spans="1:16" s="184" customFormat="1" ht="38.25" x14ac:dyDescent="0.35">
      <c r="A14" s="182">
        <v>44084</v>
      </c>
      <c r="B14" s="183">
        <f t="shared" si="0"/>
        <v>12</v>
      </c>
      <c r="C14" s="186" t="s">
        <v>280</v>
      </c>
      <c r="D14" s="189" t="s">
        <v>281</v>
      </c>
      <c r="E14" s="187" t="s">
        <v>282</v>
      </c>
      <c r="F14" s="187" t="s">
        <v>283</v>
      </c>
      <c r="G14" s="187" t="s">
        <v>284</v>
      </c>
      <c r="H14" s="197"/>
      <c r="I14" s="198"/>
      <c r="J14" s="198"/>
      <c r="K14" s="198"/>
      <c r="L14" s="198"/>
      <c r="M14" s="198"/>
      <c r="N14" s="198"/>
      <c r="O14" s="198"/>
      <c r="P14" s="199"/>
    </row>
    <row r="15" spans="1:16" s="184" customFormat="1" x14ac:dyDescent="0.35">
      <c r="A15" s="182">
        <v>44084</v>
      </c>
      <c r="B15" s="183">
        <f t="shared" si="0"/>
        <v>13</v>
      </c>
      <c r="C15" s="186" t="s">
        <v>258</v>
      </c>
      <c r="D15" s="189"/>
      <c r="E15" s="187"/>
      <c r="F15" s="186"/>
      <c r="G15" s="187" t="s">
        <v>332</v>
      </c>
      <c r="H15" s="197"/>
      <c r="I15" s="198"/>
      <c r="J15" s="198"/>
      <c r="K15" s="198"/>
      <c r="L15" s="198"/>
      <c r="M15" s="198"/>
      <c r="N15" s="198"/>
      <c r="O15" s="198"/>
      <c r="P15" s="199"/>
    </row>
    <row r="16" spans="1:16" s="184" customFormat="1" x14ac:dyDescent="0.35">
      <c r="A16" s="182">
        <v>44084</v>
      </c>
      <c r="B16" s="183">
        <f t="shared" si="0"/>
        <v>14</v>
      </c>
      <c r="C16" s="186" t="s">
        <v>285</v>
      </c>
      <c r="D16" s="189" t="s">
        <v>286</v>
      </c>
      <c r="E16" s="187" t="s">
        <v>287</v>
      </c>
      <c r="F16" s="186" t="s">
        <v>288</v>
      </c>
      <c r="G16" s="187" t="s">
        <v>289</v>
      </c>
      <c r="H16" s="197"/>
      <c r="I16" s="198"/>
      <c r="J16" s="198"/>
      <c r="K16" s="198"/>
      <c r="L16" s="198"/>
      <c r="M16" s="198"/>
      <c r="N16" s="198"/>
      <c r="O16" s="198"/>
      <c r="P16" s="199"/>
    </row>
    <row r="17" spans="1:16" s="184" customFormat="1" x14ac:dyDescent="0.35">
      <c r="A17" s="182">
        <v>44084</v>
      </c>
      <c r="B17" s="183">
        <f t="shared" si="0"/>
        <v>15</v>
      </c>
      <c r="C17" s="186" t="s">
        <v>516</v>
      </c>
      <c r="D17" s="189">
        <v>3.1</v>
      </c>
      <c r="E17" s="187" t="s">
        <v>290</v>
      </c>
      <c r="F17" s="186" t="s">
        <v>270</v>
      </c>
      <c r="G17" s="187" t="s">
        <v>333</v>
      </c>
      <c r="H17" s="197"/>
      <c r="I17" s="198"/>
      <c r="J17" s="198"/>
      <c r="K17" s="198"/>
      <c r="L17" s="198"/>
      <c r="M17" s="198"/>
      <c r="N17" s="198"/>
      <c r="O17" s="198"/>
      <c r="P17" s="199"/>
    </row>
    <row r="18" spans="1:16" s="184" customFormat="1" x14ac:dyDescent="0.35">
      <c r="A18" s="182">
        <v>44084</v>
      </c>
      <c r="B18" s="183">
        <f t="shared" si="0"/>
        <v>16</v>
      </c>
      <c r="C18" s="186" t="s">
        <v>516</v>
      </c>
      <c r="D18" s="189">
        <v>3.1</v>
      </c>
      <c r="E18" s="187" t="s">
        <v>291</v>
      </c>
      <c r="F18" s="186" t="s">
        <v>247</v>
      </c>
      <c r="G18" s="187" t="s">
        <v>334</v>
      </c>
      <c r="H18" s="197"/>
      <c r="I18" s="198"/>
      <c r="J18" s="198"/>
      <c r="K18" s="198"/>
      <c r="L18" s="198"/>
      <c r="M18" s="198"/>
      <c r="N18" s="198"/>
      <c r="O18" s="198"/>
      <c r="P18" s="199"/>
    </row>
    <row r="19" spans="1:16" s="184" customFormat="1" x14ac:dyDescent="0.35">
      <c r="A19" s="182">
        <v>44084</v>
      </c>
      <c r="B19" s="183">
        <f t="shared" si="0"/>
        <v>17</v>
      </c>
      <c r="C19" s="186" t="s">
        <v>285</v>
      </c>
      <c r="D19" s="189" t="s">
        <v>259</v>
      </c>
      <c r="E19" s="187" t="s">
        <v>292</v>
      </c>
      <c r="F19" s="186" t="s">
        <v>293</v>
      </c>
      <c r="G19" s="187" t="s">
        <v>335</v>
      </c>
      <c r="H19" s="197"/>
      <c r="I19" s="198"/>
      <c r="J19" s="198"/>
      <c r="K19" s="198"/>
      <c r="L19" s="198"/>
      <c r="M19" s="198"/>
      <c r="N19" s="198"/>
      <c r="O19" s="198"/>
      <c r="P19" s="199"/>
    </row>
    <row r="20" spans="1:16" s="184" customFormat="1" x14ac:dyDescent="0.35">
      <c r="A20" s="182">
        <v>44084</v>
      </c>
      <c r="B20" s="183">
        <f t="shared" si="0"/>
        <v>18</v>
      </c>
      <c r="C20" s="186" t="s">
        <v>285</v>
      </c>
      <c r="D20" s="189" t="s">
        <v>286</v>
      </c>
      <c r="E20" s="200" t="s">
        <v>330</v>
      </c>
      <c r="F20" s="186" t="s">
        <v>293</v>
      </c>
      <c r="G20" s="187" t="s">
        <v>336</v>
      </c>
      <c r="H20" s="197"/>
      <c r="I20" s="198"/>
      <c r="J20" s="198"/>
      <c r="K20" s="198"/>
      <c r="L20" s="198"/>
      <c r="M20" s="198"/>
      <c r="N20" s="198"/>
      <c r="O20" s="198"/>
      <c r="P20" s="199"/>
    </row>
    <row r="21" spans="1:16" s="184" customFormat="1" x14ac:dyDescent="0.35">
      <c r="A21" s="182">
        <v>44084</v>
      </c>
      <c r="B21" s="183">
        <f t="shared" si="0"/>
        <v>19</v>
      </c>
      <c r="C21" s="186" t="s">
        <v>294</v>
      </c>
      <c r="D21" s="189">
        <v>4.0999999999999996</v>
      </c>
      <c r="E21" s="187" t="s">
        <v>295</v>
      </c>
      <c r="F21" s="186" t="s">
        <v>270</v>
      </c>
      <c r="G21" s="187" t="s">
        <v>296</v>
      </c>
      <c r="H21" s="197"/>
      <c r="I21" s="198"/>
      <c r="J21" s="198"/>
      <c r="K21" s="198"/>
      <c r="L21" s="198"/>
      <c r="M21" s="198"/>
      <c r="N21" s="198"/>
      <c r="O21" s="198"/>
      <c r="P21" s="199"/>
    </row>
    <row r="22" spans="1:16" s="184" customFormat="1" x14ac:dyDescent="0.35">
      <c r="A22" s="182">
        <v>44084</v>
      </c>
      <c r="B22" s="183">
        <f t="shared" si="0"/>
        <v>20</v>
      </c>
      <c r="C22" s="186" t="s">
        <v>294</v>
      </c>
      <c r="D22" s="189">
        <v>4.0999999999999996</v>
      </c>
      <c r="E22" s="187" t="s">
        <v>297</v>
      </c>
      <c r="F22" s="186" t="s">
        <v>298</v>
      </c>
      <c r="G22" s="187" t="s">
        <v>337</v>
      </c>
      <c r="H22" s="197"/>
      <c r="I22" s="198"/>
      <c r="J22" s="198"/>
      <c r="K22" s="198"/>
      <c r="L22" s="198"/>
      <c r="M22" s="198"/>
      <c r="N22" s="198"/>
      <c r="O22" s="198"/>
      <c r="P22" s="199"/>
    </row>
    <row r="23" spans="1:16" s="184" customFormat="1" ht="27" customHeight="1" x14ac:dyDescent="0.35">
      <c r="A23" s="182">
        <v>44084</v>
      </c>
      <c r="B23" s="183">
        <f t="shared" si="0"/>
        <v>21</v>
      </c>
      <c r="C23" s="186" t="s">
        <v>294</v>
      </c>
      <c r="D23" s="189">
        <v>4.0999999999999996</v>
      </c>
      <c r="E23" s="187" t="s">
        <v>299</v>
      </c>
      <c r="F23" s="186" t="s">
        <v>247</v>
      </c>
      <c r="G23" s="187" t="s">
        <v>338</v>
      </c>
      <c r="H23" s="197"/>
      <c r="I23" s="198"/>
      <c r="J23" s="198"/>
      <c r="K23" s="198"/>
      <c r="L23" s="198"/>
      <c r="M23" s="198"/>
      <c r="N23" s="198"/>
      <c r="O23" s="198"/>
      <c r="P23" s="199"/>
    </row>
    <row r="24" spans="1:16" s="184" customFormat="1" ht="25.5" x14ac:dyDescent="0.35">
      <c r="A24" s="182">
        <v>44084</v>
      </c>
      <c r="B24" s="183">
        <f t="shared" si="0"/>
        <v>22</v>
      </c>
      <c r="C24" s="186" t="s">
        <v>285</v>
      </c>
      <c r="D24" s="189" t="s">
        <v>300</v>
      </c>
      <c r="E24" s="187" t="s">
        <v>301</v>
      </c>
      <c r="F24" s="186" t="s">
        <v>264</v>
      </c>
      <c r="G24" s="187" t="s">
        <v>302</v>
      </c>
      <c r="H24" s="197"/>
      <c r="I24" s="198"/>
      <c r="J24" s="198"/>
      <c r="K24" s="198"/>
      <c r="L24" s="198"/>
      <c r="M24" s="198"/>
      <c r="N24" s="198"/>
      <c r="O24" s="198"/>
      <c r="P24" s="199"/>
    </row>
    <row r="25" spans="1:16" s="184" customFormat="1" x14ac:dyDescent="0.35">
      <c r="A25" s="182">
        <v>44084</v>
      </c>
      <c r="B25" s="183">
        <f t="shared" si="0"/>
        <v>23</v>
      </c>
      <c r="C25" s="184" t="s">
        <v>258</v>
      </c>
      <c r="D25" s="184" t="s">
        <v>259</v>
      </c>
      <c r="E25" s="185" t="s">
        <v>305</v>
      </c>
      <c r="F25" s="184" t="s">
        <v>303</v>
      </c>
      <c r="G25" s="185" t="s">
        <v>326</v>
      </c>
      <c r="H25" s="197"/>
      <c r="I25" s="198"/>
      <c r="J25" s="198"/>
      <c r="K25" s="198"/>
      <c r="L25" s="198"/>
      <c r="M25" s="198"/>
      <c r="N25" s="198"/>
      <c r="O25" s="198"/>
      <c r="P25" s="199"/>
    </row>
    <row r="26" spans="1:16" s="184" customFormat="1" x14ac:dyDescent="0.35">
      <c r="A26" s="182">
        <v>44084</v>
      </c>
      <c r="B26" s="183">
        <f t="shared" si="0"/>
        <v>24</v>
      </c>
      <c r="C26" s="184" t="s">
        <v>258</v>
      </c>
      <c r="D26" s="184" t="s">
        <v>286</v>
      </c>
      <c r="E26" s="185" t="s">
        <v>304</v>
      </c>
      <c r="F26" s="184" t="s">
        <v>303</v>
      </c>
      <c r="G26" s="185" t="s">
        <v>326</v>
      </c>
      <c r="H26" s="197"/>
      <c r="I26" s="198"/>
      <c r="J26" s="198"/>
      <c r="K26" s="198"/>
      <c r="L26" s="198"/>
      <c r="M26" s="198"/>
      <c r="N26" s="198"/>
      <c r="O26" s="198"/>
      <c r="P26" s="199"/>
    </row>
    <row r="27" spans="1:16" s="184" customFormat="1" x14ac:dyDescent="0.35">
      <c r="A27" s="182">
        <v>44084</v>
      </c>
      <c r="B27" s="183">
        <f t="shared" si="0"/>
        <v>25</v>
      </c>
      <c r="C27" s="186" t="s">
        <v>248</v>
      </c>
      <c r="D27" s="189" t="s">
        <v>275</v>
      </c>
      <c r="E27" s="185" t="s">
        <v>314</v>
      </c>
      <c r="F27" s="184" t="s">
        <v>303</v>
      </c>
      <c r="G27" s="185" t="s">
        <v>326</v>
      </c>
      <c r="H27" s="197"/>
      <c r="I27" s="198"/>
      <c r="J27" s="198"/>
      <c r="K27" s="198"/>
      <c r="L27" s="198"/>
      <c r="M27" s="198"/>
      <c r="N27" s="198"/>
      <c r="O27" s="198"/>
      <c r="P27" s="199"/>
    </row>
    <row r="28" spans="1:16" s="184" customFormat="1" x14ac:dyDescent="0.35">
      <c r="A28" s="182">
        <v>44109</v>
      </c>
      <c r="B28" s="183">
        <f t="shared" si="0"/>
        <v>26</v>
      </c>
      <c r="C28" s="184" t="s">
        <v>277</v>
      </c>
      <c r="D28" s="184" t="s">
        <v>159</v>
      </c>
      <c r="E28" s="184" t="s">
        <v>318</v>
      </c>
      <c r="F28" s="184" t="s">
        <v>319</v>
      </c>
      <c r="G28" s="185" t="s">
        <v>320</v>
      </c>
      <c r="H28" s="198"/>
      <c r="I28" s="198"/>
      <c r="J28" s="198"/>
      <c r="K28" s="198"/>
      <c r="L28" s="198"/>
      <c r="M28" s="198"/>
      <c r="N28" s="198"/>
      <c r="O28" s="198"/>
      <c r="P28" s="198"/>
    </row>
    <row r="29" spans="1:16" s="184" customFormat="1" x14ac:dyDescent="0.35">
      <c r="A29" s="182">
        <v>44109</v>
      </c>
      <c r="B29" s="205">
        <f t="shared" si="0"/>
        <v>27</v>
      </c>
      <c r="C29" s="184" t="s">
        <v>248</v>
      </c>
      <c r="D29" s="184" t="s">
        <v>275</v>
      </c>
      <c r="E29" s="184" t="s">
        <v>322</v>
      </c>
      <c r="F29" s="184" t="s">
        <v>319</v>
      </c>
      <c r="G29" s="185" t="s">
        <v>323</v>
      </c>
      <c r="H29" s="198"/>
      <c r="I29" s="198"/>
      <c r="J29" s="198"/>
      <c r="K29" s="198"/>
      <c r="L29" s="198"/>
      <c r="M29" s="198"/>
      <c r="N29" s="198"/>
      <c r="O29" s="198"/>
      <c r="P29" s="198"/>
    </row>
    <row r="30" spans="1:16" x14ac:dyDescent="0.35">
      <c r="A30" s="182">
        <v>44109</v>
      </c>
      <c r="B30" s="205">
        <f t="shared" si="0"/>
        <v>28</v>
      </c>
      <c r="C30" s="184" t="s">
        <v>294</v>
      </c>
      <c r="D30" s="184" t="s">
        <v>275</v>
      </c>
      <c r="E30" s="184" t="s">
        <v>324</v>
      </c>
      <c r="F30" s="184" t="s">
        <v>319</v>
      </c>
      <c r="G30" s="185" t="s">
        <v>323</v>
      </c>
    </row>
    <row r="31" spans="1:16" x14ac:dyDescent="0.35">
      <c r="A31" s="390">
        <v>44377</v>
      </c>
      <c r="B31" s="205">
        <f t="shared" si="0"/>
        <v>29</v>
      </c>
      <c r="C31" s="233" t="s">
        <v>277</v>
      </c>
      <c r="D31" s="234"/>
      <c r="E31" s="235" t="s">
        <v>339</v>
      </c>
      <c r="F31" s="235" t="s">
        <v>340</v>
      </c>
      <c r="G31" s="235" t="s">
        <v>341</v>
      </c>
    </row>
    <row r="32" spans="1:16" x14ac:dyDescent="0.35">
      <c r="A32" s="390">
        <v>44377</v>
      </c>
      <c r="B32" s="205">
        <f t="shared" si="0"/>
        <v>30</v>
      </c>
      <c r="C32" s="233" t="s">
        <v>277</v>
      </c>
      <c r="D32" s="235"/>
      <c r="E32" s="235" t="s">
        <v>342</v>
      </c>
      <c r="F32" s="235" t="s">
        <v>340</v>
      </c>
      <c r="G32" s="235" t="s">
        <v>343</v>
      </c>
    </row>
    <row r="33" spans="1:16" ht="51" x14ac:dyDescent="0.35">
      <c r="A33" s="390">
        <v>44377</v>
      </c>
      <c r="B33" s="205">
        <f t="shared" si="0"/>
        <v>31</v>
      </c>
      <c r="C33" s="233" t="s">
        <v>277</v>
      </c>
      <c r="D33" s="235"/>
      <c r="E33" s="235" t="s">
        <v>344</v>
      </c>
      <c r="F33" s="235" t="s">
        <v>608</v>
      </c>
      <c r="G33" s="235" t="s">
        <v>609</v>
      </c>
    </row>
    <row r="34" spans="1:16" ht="25.5" x14ac:dyDescent="0.35">
      <c r="A34" s="390">
        <v>44377</v>
      </c>
      <c r="B34" s="205">
        <f t="shared" si="0"/>
        <v>32</v>
      </c>
      <c r="C34" s="233" t="s">
        <v>530</v>
      </c>
      <c r="D34" s="239"/>
      <c r="E34" s="235"/>
      <c r="F34" s="235" t="s">
        <v>531</v>
      </c>
      <c r="G34" s="237" t="s">
        <v>610</v>
      </c>
    </row>
    <row r="35" spans="1:16" ht="38.25" x14ac:dyDescent="0.35">
      <c r="A35" s="390">
        <v>44377</v>
      </c>
      <c r="B35" s="205">
        <f t="shared" si="0"/>
        <v>33</v>
      </c>
      <c r="C35" s="233" t="s">
        <v>345</v>
      </c>
      <c r="D35" s="235"/>
      <c r="E35" s="235"/>
      <c r="F35" s="235" t="s">
        <v>346</v>
      </c>
      <c r="G35" s="235" t="s">
        <v>347</v>
      </c>
    </row>
    <row r="36" spans="1:16" x14ac:dyDescent="0.35">
      <c r="A36" s="390">
        <v>44377</v>
      </c>
      <c r="B36" s="205">
        <f t="shared" si="0"/>
        <v>34</v>
      </c>
      <c r="C36" s="233" t="s">
        <v>348</v>
      </c>
      <c r="D36" s="235">
        <v>1.2</v>
      </c>
      <c r="E36" s="235" t="s">
        <v>349</v>
      </c>
      <c r="F36" s="235" t="s">
        <v>350</v>
      </c>
      <c r="G36" s="235" t="s">
        <v>351</v>
      </c>
    </row>
    <row r="37" spans="1:16" x14ac:dyDescent="0.35">
      <c r="A37" s="390">
        <v>44377</v>
      </c>
      <c r="B37" s="205">
        <f t="shared" si="0"/>
        <v>35</v>
      </c>
      <c r="C37" s="233" t="s">
        <v>348</v>
      </c>
      <c r="D37" s="235">
        <v>1.2</v>
      </c>
      <c r="E37" s="235" t="s">
        <v>535</v>
      </c>
      <c r="F37" s="235" t="s">
        <v>536</v>
      </c>
      <c r="G37" s="237" t="s">
        <v>537</v>
      </c>
    </row>
    <row r="38" spans="1:16" s="392" customFormat="1" x14ac:dyDescent="0.35">
      <c r="A38" s="390">
        <v>44377</v>
      </c>
      <c r="B38" s="205">
        <f t="shared" si="0"/>
        <v>36</v>
      </c>
      <c r="C38" s="233" t="s">
        <v>280</v>
      </c>
      <c r="D38" s="239" t="s">
        <v>281</v>
      </c>
      <c r="E38" s="235" t="s">
        <v>282</v>
      </c>
      <c r="F38" s="235" t="s">
        <v>381</v>
      </c>
      <c r="G38" s="237" t="s">
        <v>611</v>
      </c>
      <c r="H38" s="391"/>
      <c r="I38" s="391"/>
      <c r="J38" s="391"/>
      <c r="K38" s="391"/>
      <c r="L38" s="391"/>
      <c r="M38" s="391"/>
      <c r="N38" s="391"/>
      <c r="O38" s="391"/>
      <c r="P38" s="391"/>
    </row>
    <row r="39" spans="1:16" ht="63.75" x14ac:dyDescent="0.35">
      <c r="A39" s="390">
        <v>44377</v>
      </c>
      <c r="B39" s="205">
        <f t="shared" si="0"/>
        <v>37</v>
      </c>
      <c r="C39" s="233" t="s">
        <v>251</v>
      </c>
      <c r="D39" s="235">
        <v>2.1</v>
      </c>
      <c r="E39" s="235" t="s">
        <v>352</v>
      </c>
      <c r="F39" s="235" t="s">
        <v>353</v>
      </c>
      <c r="G39" s="235" t="s">
        <v>354</v>
      </c>
    </row>
    <row r="40" spans="1:16" ht="25.5" x14ac:dyDescent="0.35">
      <c r="A40" s="390">
        <v>44377</v>
      </c>
      <c r="B40" s="205">
        <f t="shared" si="0"/>
        <v>38</v>
      </c>
      <c r="C40" s="233" t="s">
        <v>251</v>
      </c>
      <c r="D40" s="235">
        <v>2.1</v>
      </c>
      <c r="E40" s="235" t="s">
        <v>355</v>
      </c>
      <c r="F40" s="233" t="s">
        <v>253</v>
      </c>
      <c r="G40" s="235" t="s">
        <v>356</v>
      </c>
    </row>
    <row r="41" spans="1:16" ht="25.5" x14ac:dyDescent="0.35">
      <c r="A41" s="390">
        <v>44377</v>
      </c>
      <c r="B41" s="205">
        <f t="shared" si="0"/>
        <v>39</v>
      </c>
      <c r="C41" s="233" t="s">
        <v>251</v>
      </c>
      <c r="D41" s="235">
        <v>2.1</v>
      </c>
      <c r="E41" s="235" t="s">
        <v>540</v>
      </c>
      <c r="F41" s="233" t="s">
        <v>381</v>
      </c>
      <c r="G41" s="235" t="s">
        <v>612</v>
      </c>
    </row>
    <row r="42" spans="1:16" x14ac:dyDescent="0.35">
      <c r="A42" s="390">
        <v>44377</v>
      </c>
      <c r="B42" s="205">
        <f t="shared" si="0"/>
        <v>40</v>
      </c>
      <c r="C42" s="233" t="s">
        <v>251</v>
      </c>
      <c r="D42" s="235">
        <v>2.1</v>
      </c>
      <c r="E42" s="235" t="s">
        <v>541</v>
      </c>
      <c r="F42" s="233" t="s">
        <v>253</v>
      </c>
      <c r="G42" s="237" t="s">
        <v>613</v>
      </c>
    </row>
    <row r="43" spans="1:16" ht="25.5" x14ac:dyDescent="0.35">
      <c r="A43" s="390">
        <v>44377</v>
      </c>
      <c r="B43" s="205">
        <f t="shared" si="0"/>
        <v>41</v>
      </c>
      <c r="C43" s="233" t="s">
        <v>251</v>
      </c>
      <c r="D43" s="235">
        <v>2.1</v>
      </c>
      <c r="E43" s="235" t="s">
        <v>357</v>
      </c>
      <c r="F43" s="233" t="s">
        <v>253</v>
      </c>
      <c r="G43" s="235" t="s">
        <v>358</v>
      </c>
    </row>
    <row r="44" spans="1:16" ht="38.25" x14ac:dyDescent="0.35">
      <c r="A44" s="390">
        <v>44377</v>
      </c>
      <c r="B44" s="205">
        <f t="shared" si="0"/>
        <v>42</v>
      </c>
      <c r="C44" s="233" t="s">
        <v>359</v>
      </c>
      <c r="D44" s="235" t="s">
        <v>360</v>
      </c>
      <c r="E44" s="235" t="s">
        <v>542</v>
      </c>
      <c r="F44" s="233" t="s">
        <v>361</v>
      </c>
      <c r="G44" s="235" t="s">
        <v>362</v>
      </c>
    </row>
    <row r="45" spans="1:16" ht="76.5" x14ac:dyDescent="0.35">
      <c r="A45" s="390">
        <v>44377</v>
      </c>
      <c r="B45" s="205">
        <f t="shared" si="0"/>
        <v>43</v>
      </c>
      <c r="C45" s="233" t="s">
        <v>359</v>
      </c>
      <c r="D45" s="235" t="s">
        <v>360</v>
      </c>
      <c r="E45" s="235" t="s">
        <v>363</v>
      </c>
      <c r="F45" s="233" t="s">
        <v>364</v>
      </c>
      <c r="G45" s="235" t="s">
        <v>614</v>
      </c>
    </row>
    <row r="46" spans="1:16" ht="38.25" x14ac:dyDescent="0.35">
      <c r="A46" s="390">
        <v>44377</v>
      </c>
      <c r="B46" s="205">
        <f t="shared" si="0"/>
        <v>44</v>
      </c>
      <c r="C46" s="233" t="s">
        <v>359</v>
      </c>
      <c r="D46" s="235" t="s">
        <v>360</v>
      </c>
      <c r="E46" s="235" t="s">
        <v>512</v>
      </c>
      <c r="F46" s="233" t="s">
        <v>615</v>
      </c>
      <c r="G46" s="235" t="s">
        <v>365</v>
      </c>
    </row>
    <row r="47" spans="1:16" ht="25.5" x14ac:dyDescent="0.35">
      <c r="A47" s="390">
        <v>44377</v>
      </c>
      <c r="B47" s="205">
        <f t="shared" si="0"/>
        <v>45</v>
      </c>
      <c r="C47" s="233" t="s">
        <v>359</v>
      </c>
      <c r="D47" s="235" t="s">
        <v>360</v>
      </c>
      <c r="E47" s="235" t="s">
        <v>366</v>
      </c>
      <c r="F47" s="233" t="s">
        <v>367</v>
      </c>
      <c r="G47" s="235" t="s">
        <v>513</v>
      </c>
    </row>
    <row r="48" spans="1:16" x14ac:dyDescent="0.35">
      <c r="A48" s="390">
        <v>44377</v>
      </c>
      <c r="B48" s="205">
        <f t="shared" si="0"/>
        <v>46</v>
      </c>
      <c r="C48" s="233" t="s">
        <v>359</v>
      </c>
      <c r="D48" s="235" t="s">
        <v>360</v>
      </c>
      <c r="E48" s="235" t="s">
        <v>368</v>
      </c>
      <c r="F48" s="233" t="s">
        <v>247</v>
      </c>
      <c r="G48" s="233" t="s">
        <v>369</v>
      </c>
    </row>
    <row r="49" spans="1:16" ht="25.5" x14ac:dyDescent="0.35">
      <c r="A49" s="390">
        <v>44377</v>
      </c>
      <c r="B49" s="205">
        <f t="shared" si="0"/>
        <v>47</v>
      </c>
      <c r="C49" s="233" t="s">
        <v>370</v>
      </c>
      <c r="D49" s="235" t="s">
        <v>371</v>
      </c>
      <c r="E49" s="235" t="s">
        <v>372</v>
      </c>
      <c r="F49" s="235" t="s">
        <v>514</v>
      </c>
      <c r="G49" s="235" t="s">
        <v>373</v>
      </c>
    </row>
    <row r="50" spans="1:16" ht="25.5" x14ac:dyDescent="0.35">
      <c r="A50" s="390">
        <v>44377</v>
      </c>
      <c r="B50" s="205">
        <f t="shared" si="0"/>
        <v>48</v>
      </c>
      <c r="C50" s="233" t="s">
        <v>374</v>
      </c>
      <c r="D50" s="235" t="s">
        <v>375</v>
      </c>
      <c r="E50" s="235" t="s">
        <v>376</v>
      </c>
      <c r="F50" s="233" t="s">
        <v>267</v>
      </c>
      <c r="G50" s="235" t="s">
        <v>377</v>
      </c>
    </row>
    <row r="51" spans="1:16" s="392" customFormat="1" x14ac:dyDescent="0.35">
      <c r="A51" s="390">
        <v>44377</v>
      </c>
      <c r="B51" s="205">
        <f t="shared" si="0"/>
        <v>49</v>
      </c>
      <c r="C51" s="233" t="s">
        <v>374</v>
      </c>
      <c r="D51" s="235" t="s">
        <v>375</v>
      </c>
      <c r="E51" s="235" t="s">
        <v>616</v>
      </c>
      <c r="F51" s="233" t="s">
        <v>381</v>
      </c>
      <c r="G51" s="237" t="s">
        <v>617</v>
      </c>
      <c r="H51" s="391"/>
      <c r="I51" s="391"/>
      <c r="J51" s="391"/>
      <c r="K51" s="391"/>
      <c r="L51" s="391"/>
      <c r="M51" s="391"/>
      <c r="N51" s="391"/>
      <c r="O51" s="391"/>
      <c r="P51" s="391"/>
    </row>
    <row r="52" spans="1:16" ht="25.5" x14ac:dyDescent="0.35">
      <c r="A52" s="390">
        <v>44377</v>
      </c>
      <c r="B52" s="205">
        <f t="shared" si="0"/>
        <v>50</v>
      </c>
      <c r="C52" s="233" t="s">
        <v>378</v>
      </c>
      <c r="D52" s="235" t="s">
        <v>379</v>
      </c>
      <c r="E52" s="235" t="s">
        <v>376</v>
      </c>
      <c r="F52" s="233" t="s">
        <v>267</v>
      </c>
      <c r="G52" s="235" t="s">
        <v>377</v>
      </c>
    </row>
    <row r="53" spans="1:16" x14ac:dyDescent="0.35">
      <c r="A53" s="390">
        <v>44377</v>
      </c>
      <c r="B53" s="205">
        <f t="shared" si="0"/>
        <v>51</v>
      </c>
      <c r="C53" s="233" t="s">
        <v>378</v>
      </c>
      <c r="D53" s="235" t="s">
        <v>379</v>
      </c>
      <c r="E53" s="235" t="s">
        <v>543</v>
      </c>
      <c r="F53" s="233" t="s">
        <v>253</v>
      </c>
      <c r="G53" s="235" t="s">
        <v>380</v>
      </c>
    </row>
    <row r="54" spans="1:16" x14ac:dyDescent="0.35">
      <c r="A54" s="390">
        <v>44377</v>
      </c>
      <c r="B54" s="205">
        <f t="shared" si="0"/>
        <v>52</v>
      </c>
      <c r="C54" s="233" t="s">
        <v>378</v>
      </c>
      <c r="D54" s="235" t="s">
        <v>379</v>
      </c>
      <c r="E54" s="235" t="s">
        <v>544</v>
      </c>
      <c r="F54" s="233" t="s">
        <v>381</v>
      </c>
      <c r="G54" s="235" t="s">
        <v>382</v>
      </c>
    </row>
    <row r="55" spans="1:16" x14ac:dyDescent="0.35">
      <c r="A55" s="390">
        <v>44377</v>
      </c>
      <c r="B55" s="205">
        <f t="shared" si="0"/>
        <v>53</v>
      </c>
      <c r="C55" s="233" t="s">
        <v>378</v>
      </c>
      <c r="D55" s="235" t="s">
        <v>379</v>
      </c>
      <c r="E55" s="235" t="s">
        <v>616</v>
      </c>
      <c r="F55" s="233" t="s">
        <v>381</v>
      </c>
      <c r="G55" s="237" t="s">
        <v>617</v>
      </c>
    </row>
    <row r="56" spans="1:16" ht="25.5" x14ac:dyDescent="0.35">
      <c r="A56" s="390">
        <v>44377</v>
      </c>
      <c r="B56" s="205">
        <f t="shared" si="0"/>
        <v>54</v>
      </c>
      <c r="C56" s="233" t="s">
        <v>516</v>
      </c>
      <c r="D56" s="235">
        <v>3.1</v>
      </c>
      <c r="E56" s="235" t="s">
        <v>545</v>
      </c>
      <c r="F56" s="233" t="s">
        <v>383</v>
      </c>
      <c r="G56" s="235" t="s">
        <v>384</v>
      </c>
    </row>
    <row r="57" spans="1:16" ht="25.5" x14ac:dyDescent="0.35">
      <c r="A57" s="390">
        <v>44377</v>
      </c>
      <c r="B57" s="205">
        <f t="shared" si="0"/>
        <v>55</v>
      </c>
      <c r="C57" s="233" t="s">
        <v>516</v>
      </c>
      <c r="D57" s="235">
        <v>3.1</v>
      </c>
      <c r="E57" s="235" t="s">
        <v>385</v>
      </c>
      <c r="F57" s="233" t="s">
        <v>350</v>
      </c>
      <c r="G57" s="235" t="s">
        <v>518</v>
      </c>
    </row>
    <row r="58" spans="1:16" ht="126.6" customHeight="1" x14ac:dyDescent="0.35">
      <c r="A58" s="390">
        <v>44377</v>
      </c>
      <c r="B58" s="205">
        <f t="shared" si="0"/>
        <v>56</v>
      </c>
      <c r="C58" s="233" t="s">
        <v>516</v>
      </c>
      <c r="D58" s="235">
        <v>3.1</v>
      </c>
      <c r="E58" s="235" t="s">
        <v>386</v>
      </c>
      <c r="F58" s="235" t="s">
        <v>534</v>
      </c>
      <c r="G58" s="235" t="s">
        <v>515</v>
      </c>
    </row>
    <row r="59" spans="1:16" ht="51" x14ac:dyDescent="0.35">
      <c r="A59" s="390">
        <v>44377</v>
      </c>
      <c r="B59" s="205">
        <f t="shared" si="0"/>
        <v>57</v>
      </c>
      <c r="C59" s="233" t="s">
        <v>516</v>
      </c>
      <c r="D59" s="233">
        <v>3.1</v>
      </c>
      <c r="E59" s="235" t="s">
        <v>618</v>
      </c>
      <c r="F59" s="235" t="s">
        <v>247</v>
      </c>
      <c r="G59" s="237" t="s">
        <v>532</v>
      </c>
    </row>
    <row r="60" spans="1:16" ht="38.25" x14ac:dyDescent="0.35">
      <c r="A60" s="390">
        <v>44377</v>
      </c>
      <c r="B60" s="205">
        <f t="shared" si="0"/>
        <v>58</v>
      </c>
      <c r="C60" s="233" t="s">
        <v>387</v>
      </c>
      <c r="D60" s="235"/>
      <c r="E60" s="235"/>
      <c r="F60" s="233" t="s">
        <v>388</v>
      </c>
      <c r="G60" s="235" t="s">
        <v>619</v>
      </c>
    </row>
    <row r="61" spans="1:16" s="392" customFormat="1" x14ac:dyDescent="0.35">
      <c r="A61" s="390">
        <v>44377</v>
      </c>
      <c r="B61" s="205">
        <f t="shared" si="0"/>
        <v>59</v>
      </c>
      <c r="C61" s="233" t="s">
        <v>387</v>
      </c>
      <c r="D61" s="239" t="s">
        <v>275</v>
      </c>
      <c r="E61" s="235" t="s">
        <v>584</v>
      </c>
      <c r="F61" s="233" t="s">
        <v>620</v>
      </c>
      <c r="G61" s="237" t="s">
        <v>621</v>
      </c>
      <c r="H61" s="391"/>
      <c r="I61" s="391"/>
      <c r="J61" s="391"/>
      <c r="K61" s="391"/>
      <c r="L61" s="391"/>
      <c r="M61" s="391"/>
      <c r="N61" s="391"/>
      <c r="O61" s="391"/>
      <c r="P61" s="391"/>
    </row>
    <row r="62" spans="1:16" x14ac:dyDescent="0.35">
      <c r="A62" s="390">
        <v>44377</v>
      </c>
      <c r="B62" s="205">
        <f t="shared" si="0"/>
        <v>60</v>
      </c>
      <c r="C62" s="233" t="s">
        <v>387</v>
      </c>
      <c r="D62" s="235" t="s">
        <v>275</v>
      </c>
      <c r="E62" s="235" t="s">
        <v>314</v>
      </c>
      <c r="F62" s="233" t="s">
        <v>381</v>
      </c>
      <c r="G62" s="235" t="s">
        <v>519</v>
      </c>
    </row>
    <row r="63" spans="1:16" ht="38.25" x14ac:dyDescent="0.35">
      <c r="A63" s="390">
        <v>44377</v>
      </c>
      <c r="B63" s="205">
        <f t="shared" si="0"/>
        <v>61</v>
      </c>
      <c r="C63" s="233" t="s">
        <v>390</v>
      </c>
      <c r="D63" s="235"/>
      <c r="E63" s="235"/>
      <c r="F63" s="233" t="s">
        <v>388</v>
      </c>
      <c r="G63" s="235" t="s">
        <v>622</v>
      </c>
    </row>
    <row r="64" spans="1:16" ht="38.25" x14ac:dyDescent="0.35">
      <c r="A64" s="390">
        <v>44377</v>
      </c>
      <c r="B64" s="205">
        <f t="shared" si="0"/>
        <v>62</v>
      </c>
      <c r="C64" s="236" t="s">
        <v>390</v>
      </c>
      <c r="D64" s="235" t="s">
        <v>623</v>
      </c>
      <c r="E64" s="235" t="s">
        <v>391</v>
      </c>
      <c r="F64" s="233" t="s">
        <v>381</v>
      </c>
      <c r="G64" s="235" t="s">
        <v>389</v>
      </c>
    </row>
    <row r="65" spans="1:16" x14ac:dyDescent="0.35">
      <c r="A65" s="390">
        <v>44377</v>
      </c>
      <c r="B65" s="205">
        <f t="shared" si="0"/>
        <v>63</v>
      </c>
      <c r="C65" s="236" t="s">
        <v>285</v>
      </c>
      <c r="D65" s="239"/>
      <c r="E65" s="235" t="s">
        <v>520</v>
      </c>
      <c r="F65" s="233" t="s">
        <v>264</v>
      </c>
      <c r="G65" s="237" t="s">
        <v>521</v>
      </c>
    </row>
    <row r="66" spans="1:16" ht="25.5" x14ac:dyDescent="0.35">
      <c r="A66" s="390">
        <v>44377</v>
      </c>
      <c r="B66" s="205">
        <f t="shared" si="0"/>
        <v>64</v>
      </c>
      <c r="C66" s="236" t="s">
        <v>285</v>
      </c>
      <c r="D66" s="235" t="s">
        <v>624</v>
      </c>
      <c r="E66" s="235" t="s">
        <v>546</v>
      </c>
      <c r="F66" s="233" t="s">
        <v>264</v>
      </c>
      <c r="G66" s="235" t="s">
        <v>522</v>
      </c>
    </row>
    <row r="67" spans="1:16" x14ac:dyDescent="0.35">
      <c r="A67" s="390">
        <v>44377</v>
      </c>
      <c r="B67" s="205">
        <f t="shared" si="0"/>
        <v>65</v>
      </c>
      <c r="C67" s="233" t="s">
        <v>285</v>
      </c>
      <c r="D67" s="235" t="s">
        <v>259</v>
      </c>
      <c r="E67" s="235" t="s">
        <v>292</v>
      </c>
      <c r="F67" s="233" t="s">
        <v>293</v>
      </c>
      <c r="G67" s="235" t="s">
        <v>392</v>
      </c>
    </row>
    <row r="68" spans="1:16" x14ac:dyDescent="0.35">
      <c r="A68" s="390">
        <v>44377</v>
      </c>
      <c r="B68" s="205">
        <f t="shared" si="0"/>
        <v>66</v>
      </c>
      <c r="C68" s="233" t="s">
        <v>285</v>
      </c>
      <c r="D68" s="235" t="s">
        <v>259</v>
      </c>
      <c r="E68" s="235" t="s">
        <v>393</v>
      </c>
      <c r="F68" s="233" t="s">
        <v>298</v>
      </c>
      <c r="G68" s="235" t="s">
        <v>394</v>
      </c>
    </row>
    <row r="69" spans="1:16" ht="25.5" x14ac:dyDescent="0.35">
      <c r="A69" s="390">
        <v>44377</v>
      </c>
      <c r="B69" s="205">
        <f t="shared" si="0"/>
        <v>67</v>
      </c>
      <c r="C69" s="233" t="s">
        <v>285</v>
      </c>
      <c r="D69" s="235" t="s">
        <v>625</v>
      </c>
      <c r="E69" s="235" t="s">
        <v>547</v>
      </c>
      <c r="F69" s="233" t="s">
        <v>381</v>
      </c>
      <c r="G69" s="235" t="s">
        <v>395</v>
      </c>
    </row>
    <row r="70" spans="1:16" ht="25.5" x14ac:dyDescent="0.35">
      <c r="A70" s="390">
        <v>44377</v>
      </c>
      <c r="B70" s="205">
        <f t="shared" ref="B70:B95" si="1">B69+1</f>
        <v>68</v>
      </c>
      <c r="C70" s="233" t="s">
        <v>285</v>
      </c>
      <c r="D70" s="237" t="s">
        <v>626</v>
      </c>
      <c r="E70" s="235" t="s">
        <v>552</v>
      </c>
      <c r="F70" s="233" t="s">
        <v>620</v>
      </c>
      <c r="G70" s="237" t="s">
        <v>627</v>
      </c>
    </row>
    <row r="71" spans="1:16" x14ac:dyDescent="0.35">
      <c r="A71" s="390">
        <v>44377</v>
      </c>
      <c r="B71" s="205">
        <f t="shared" si="1"/>
        <v>69</v>
      </c>
      <c r="C71" s="233" t="s">
        <v>285</v>
      </c>
      <c r="D71" s="235" t="s">
        <v>286</v>
      </c>
      <c r="E71" s="235" t="s">
        <v>523</v>
      </c>
      <c r="F71" s="233" t="s">
        <v>381</v>
      </c>
      <c r="G71" s="237" t="s">
        <v>524</v>
      </c>
    </row>
    <row r="72" spans="1:16" x14ac:dyDescent="0.35">
      <c r="A72" s="390">
        <v>44377</v>
      </c>
      <c r="B72" s="205">
        <f t="shared" si="1"/>
        <v>70</v>
      </c>
      <c r="C72" s="236" t="s">
        <v>285</v>
      </c>
      <c r="D72" s="235" t="s">
        <v>286</v>
      </c>
      <c r="E72" s="235" t="s">
        <v>330</v>
      </c>
      <c r="F72" s="233" t="s">
        <v>293</v>
      </c>
      <c r="G72" s="235" t="s">
        <v>392</v>
      </c>
    </row>
    <row r="73" spans="1:16" x14ac:dyDescent="0.35">
      <c r="A73" s="390">
        <v>44377</v>
      </c>
      <c r="B73" s="205">
        <f t="shared" si="1"/>
        <v>71</v>
      </c>
      <c r="C73" s="233" t="s">
        <v>396</v>
      </c>
      <c r="D73" s="233" t="s">
        <v>397</v>
      </c>
      <c r="E73" s="235" t="s">
        <v>398</v>
      </c>
      <c r="F73" s="233" t="s">
        <v>399</v>
      </c>
      <c r="G73" s="237" t="s">
        <v>525</v>
      </c>
    </row>
    <row r="74" spans="1:16" ht="25.5" x14ac:dyDescent="0.35">
      <c r="A74" s="390">
        <v>44377</v>
      </c>
      <c r="B74" s="205">
        <f t="shared" si="1"/>
        <v>72</v>
      </c>
      <c r="C74" s="233" t="s">
        <v>396</v>
      </c>
      <c r="D74" s="233" t="s">
        <v>397</v>
      </c>
      <c r="E74" s="235" t="s">
        <v>376</v>
      </c>
      <c r="F74" s="233" t="s">
        <v>267</v>
      </c>
      <c r="G74" s="237" t="s">
        <v>377</v>
      </c>
    </row>
    <row r="75" spans="1:16" s="392" customFormat="1" x14ac:dyDescent="0.35">
      <c r="A75" s="390">
        <v>44377</v>
      </c>
      <c r="B75" s="205">
        <f t="shared" si="1"/>
        <v>73</v>
      </c>
      <c r="C75" s="233" t="s">
        <v>396</v>
      </c>
      <c r="D75" s="239" t="s">
        <v>397</v>
      </c>
      <c r="E75" s="235" t="s">
        <v>616</v>
      </c>
      <c r="F75" s="233" t="s">
        <v>381</v>
      </c>
      <c r="G75" s="237" t="s">
        <v>617</v>
      </c>
      <c r="H75" s="391"/>
      <c r="I75" s="391"/>
      <c r="J75" s="391"/>
      <c r="K75" s="391"/>
      <c r="L75" s="391"/>
      <c r="M75" s="391"/>
      <c r="N75" s="391"/>
      <c r="O75" s="391"/>
      <c r="P75" s="391"/>
    </row>
    <row r="76" spans="1:16" x14ac:dyDescent="0.35">
      <c r="A76" s="390">
        <v>44377</v>
      </c>
      <c r="B76" s="205">
        <f t="shared" si="1"/>
        <v>74</v>
      </c>
      <c r="C76" s="233" t="s">
        <v>517</v>
      </c>
      <c r="D76" s="239"/>
      <c r="E76" s="235"/>
      <c r="F76" s="233" t="s">
        <v>388</v>
      </c>
      <c r="G76" s="237" t="s">
        <v>526</v>
      </c>
    </row>
    <row r="77" spans="1:16" ht="25.5" x14ac:dyDescent="0.35">
      <c r="A77" s="390">
        <v>44377</v>
      </c>
      <c r="B77" s="205">
        <f t="shared" si="1"/>
        <v>75</v>
      </c>
      <c r="C77" s="233" t="s">
        <v>517</v>
      </c>
      <c r="D77" s="233">
        <v>4.0999999999999996</v>
      </c>
      <c r="E77" s="235" t="s">
        <v>548</v>
      </c>
      <c r="F77" s="235" t="s">
        <v>353</v>
      </c>
      <c r="G77" s="237" t="s">
        <v>400</v>
      </c>
    </row>
    <row r="78" spans="1:16" ht="25.5" x14ac:dyDescent="0.35">
      <c r="A78" s="390">
        <v>44377</v>
      </c>
      <c r="B78" s="205">
        <f t="shared" si="1"/>
        <v>76</v>
      </c>
      <c r="C78" s="233" t="s">
        <v>517</v>
      </c>
      <c r="D78" s="233">
        <v>4.0999999999999996</v>
      </c>
      <c r="E78" s="235" t="s">
        <v>401</v>
      </c>
      <c r="F78" s="233" t="s">
        <v>253</v>
      </c>
      <c r="G78" s="237" t="s">
        <v>402</v>
      </c>
    </row>
    <row r="79" spans="1:16" x14ac:dyDescent="0.35">
      <c r="A79" s="390">
        <v>44377</v>
      </c>
      <c r="B79" s="205">
        <f t="shared" si="1"/>
        <v>77</v>
      </c>
      <c r="C79" s="233" t="s">
        <v>517</v>
      </c>
      <c r="D79" s="233">
        <v>4.0999999999999996</v>
      </c>
      <c r="E79" s="235" t="s">
        <v>403</v>
      </c>
      <c r="F79" s="233" t="s">
        <v>404</v>
      </c>
      <c r="G79" s="237" t="s">
        <v>405</v>
      </c>
    </row>
    <row r="80" spans="1:16" ht="25.5" x14ac:dyDescent="0.35">
      <c r="A80" s="390">
        <v>44377</v>
      </c>
      <c r="B80" s="205">
        <f t="shared" si="1"/>
        <v>78</v>
      </c>
      <c r="C80" s="233" t="s">
        <v>517</v>
      </c>
      <c r="D80" s="233">
        <v>4.0999999999999996</v>
      </c>
      <c r="E80" s="235" t="s">
        <v>408</v>
      </c>
      <c r="F80" s="233" t="s">
        <v>253</v>
      </c>
      <c r="G80" s="237" t="s">
        <v>409</v>
      </c>
    </row>
    <row r="81" spans="1:16" x14ac:dyDescent="0.35">
      <c r="A81" s="390">
        <v>44377</v>
      </c>
      <c r="B81" s="205">
        <f t="shared" si="1"/>
        <v>79</v>
      </c>
      <c r="C81" s="233" t="s">
        <v>517</v>
      </c>
      <c r="D81" s="233">
        <v>4.0999999999999996</v>
      </c>
      <c r="E81" s="235" t="s">
        <v>406</v>
      </c>
      <c r="F81" s="233" t="s">
        <v>253</v>
      </c>
      <c r="G81" s="237" t="s">
        <v>407</v>
      </c>
    </row>
    <row r="82" spans="1:16" ht="38.25" x14ac:dyDescent="0.35">
      <c r="A82" s="390">
        <v>44377</v>
      </c>
      <c r="B82" s="205">
        <f t="shared" si="1"/>
        <v>80</v>
      </c>
      <c r="C82" s="233" t="s">
        <v>527</v>
      </c>
      <c r="D82" s="233">
        <v>5.0999999999999996</v>
      </c>
      <c r="E82" s="235" t="s">
        <v>410</v>
      </c>
      <c r="F82" s="233" t="s">
        <v>411</v>
      </c>
      <c r="G82" s="237" t="s">
        <v>412</v>
      </c>
    </row>
    <row r="83" spans="1:16" ht="25.5" x14ac:dyDescent="0.35">
      <c r="A83" s="390">
        <v>44377</v>
      </c>
      <c r="B83" s="205">
        <f t="shared" si="1"/>
        <v>81</v>
      </c>
      <c r="C83" s="233" t="s">
        <v>527</v>
      </c>
      <c r="D83" s="233">
        <v>5.0999999999999996</v>
      </c>
      <c r="E83" s="235" t="s">
        <v>552</v>
      </c>
      <c r="F83" s="233" t="s">
        <v>411</v>
      </c>
      <c r="G83" s="237" t="s">
        <v>413</v>
      </c>
    </row>
    <row r="84" spans="1:16" x14ac:dyDescent="0.35">
      <c r="A84" s="390">
        <v>44377</v>
      </c>
      <c r="B84" s="205">
        <f t="shared" si="1"/>
        <v>82</v>
      </c>
      <c r="C84" s="233" t="s">
        <v>527</v>
      </c>
      <c r="D84" s="233">
        <v>5.0999999999999996</v>
      </c>
      <c r="E84" s="235" t="s">
        <v>549</v>
      </c>
      <c r="F84" s="233" t="s">
        <v>414</v>
      </c>
      <c r="G84" s="237" t="s">
        <v>415</v>
      </c>
    </row>
    <row r="85" spans="1:16" ht="63.75" x14ac:dyDescent="0.35">
      <c r="A85" s="390">
        <v>44377</v>
      </c>
      <c r="B85" s="205">
        <f t="shared" si="1"/>
        <v>83</v>
      </c>
      <c r="C85" s="233" t="s">
        <v>527</v>
      </c>
      <c r="D85" s="233">
        <v>5.0999999999999996</v>
      </c>
      <c r="E85" s="235" t="s">
        <v>416</v>
      </c>
      <c r="F85" s="235" t="s">
        <v>417</v>
      </c>
      <c r="G85" s="237" t="s">
        <v>550</v>
      </c>
    </row>
    <row r="86" spans="1:16" x14ac:dyDescent="0.35">
      <c r="A86" s="390">
        <v>44377</v>
      </c>
      <c r="B86" s="205">
        <f t="shared" si="1"/>
        <v>84</v>
      </c>
      <c r="C86" s="233" t="s">
        <v>527</v>
      </c>
      <c r="D86" s="233">
        <v>5.0999999999999996</v>
      </c>
      <c r="E86" s="235" t="s">
        <v>528</v>
      </c>
      <c r="F86" s="235" t="s">
        <v>381</v>
      </c>
      <c r="G86" s="237" t="s">
        <v>529</v>
      </c>
    </row>
    <row r="87" spans="1:16" ht="25.5" x14ac:dyDescent="0.35">
      <c r="A87" s="390">
        <v>44377</v>
      </c>
      <c r="B87" s="205">
        <f t="shared" si="1"/>
        <v>85</v>
      </c>
      <c r="C87" s="233" t="s">
        <v>527</v>
      </c>
      <c r="D87" s="235">
        <v>5.0999999999999996</v>
      </c>
      <c r="E87" s="235" t="s">
        <v>507</v>
      </c>
      <c r="F87" s="235" t="s">
        <v>508</v>
      </c>
      <c r="G87" s="235" t="s">
        <v>511</v>
      </c>
    </row>
    <row r="88" spans="1:16" ht="25.5" x14ac:dyDescent="0.35">
      <c r="A88" s="390">
        <v>44377</v>
      </c>
      <c r="B88" s="205">
        <f t="shared" si="1"/>
        <v>86</v>
      </c>
      <c r="C88" s="233" t="s">
        <v>418</v>
      </c>
      <c r="D88" s="233"/>
      <c r="E88" s="235" t="s">
        <v>419</v>
      </c>
      <c r="F88" s="233" t="s">
        <v>381</v>
      </c>
      <c r="G88" s="237" t="s">
        <v>538</v>
      </c>
    </row>
    <row r="89" spans="1:16" x14ac:dyDescent="0.35">
      <c r="A89" s="390">
        <v>44377</v>
      </c>
      <c r="B89" s="205">
        <f t="shared" si="1"/>
        <v>87</v>
      </c>
      <c r="C89" s="233" t="s">
        <v>418</v>
      </c>
      <c r="D89" s="238"/>
      <c r="E89" s="237" t="s">
        <v>509</v>
      </c>
      <c r="F89" s="233" t="s">
        <v>381</v>
      </c>
      <c r="G89" s="237" t="s">
        <v>510</v>
      </c>
    </row>
    <row r="90" spans="1:16" s="392" customFormat="1" x14ac:dyDescent="0.35">
      <c r="A90" s="390">
        <v>44377</v>
      </c>
      <c r="B90" s="205">
        <f t="shared" si="1"/>
        <v>88</v>
      </c>
      <c r="C90" s="186" t="s">
        <v>418</v>
      </c>
      <c r="D90" s="186"/>
      <c r="E90" s="186" t="s">
        <v>628</v>
      </c>
      <c r="F90" s="186" t="s">
        <v>381</v>
      </c>
      <c r="G90" s="187" t="s">
        <v>629</v>
      </c>
      <c r="H90" s="391"/>
      <c r="I90" s="391"/>
      <c r="J90" s="391"/>
      <c r="K90" s="391"/>
      <c r="L90" s="391"/>
      <c r="M90" s="391"/>
      <c r="N90" s="391"/>
      <c r="O90" s="391"/>
      <c r="P90" s="391"/>
    </row>
    <row r="91" spans="1:16" x14ac:dyDescent="0.35">
      <c r="A91" s="390">
        <v>44377</v>
      </c>
      <c r="B91" s="205">
        <f t="shared" si="1"/>
        <v>89</v>
      </c>
      <c r="C91" s="237" t="s">
        <v>418</v>
      </c>
      <c r="D91" s="235"/>
      <c r="E91" s="237" t="s">
        <v>585</v>
      </c>
      <c r="F91" s="237" t="s">
        <v>381</v>
      </c>
      <c r="G91" s="237" t="s">
        <v>630</v>
      </c>
    </row>
    <row r="92" spans="1:16" ht="38.25" x14ac:dyDescent="0.35">
      <c r="A92" s="182">
        <v>44383</v>
      </c>
      <c r="B92" s="205">
        <f t="shared" si="1"/>
        <v>90</v>
      </c>
      <c r="C92" s="233" t="s">
        <v>345</v>
      </c>
      <c r="D92" s="184"/>
      <c r="E92" s="184" t="s">
        <v>631</v>
      </c>
      <c r="F92" s="184" t="s">
        <v>253</v>
      </c>
      <c r="G92" s="185" t="s">
        <v>632</v>
      </c>
    </row>
    <row r="93" spans="1:16" ht="25.5" x14ac:dyDescent="0.35">
      <c r="A93" s="182">
        <v>44383</v>
      </c>
      <c r="B93" s="205">
        <f t="shared" si="1"/>
        <v>91</v>
      </c>
      <c r="C93" s="233" t="s">
        <v>345</v>
      </c>
      <c r="D93" s="184"/>
      <c r="E93" s="184" t="s">
        <v>633</v>
      </c>
      <c r="F93" s="184" t="s">
        <v>253</v>
      </c>
      <c r="G93" s="185" t="s">
        <v>634</v>
      </c>
    </row>
    <row r="94" spans="1:16" ht="25.5" x14ac:dyDescent="0.35">
      <c r="A94" s="182">
        <v>44383</v>
      </c>
      <c r="B94" s="205">
        <f t="shared" si="1"/>
        <v>92</v>
      </c>
      <c r="C94" s="233" t="s">
        <v>516</v>
      </c>
      <c r="D94" s="235">
        <v>3.1</v>
      </c>
      <c r="E94" s="184" t="s">
        <v>635</v>
      </c>
      <c r="F94" s="184" t="s">
        <v>253</v>
      </c>
      <c r="G94" s="185" t="s">
        <v>636</v>
      </c>
    </row>
    <row r="95" spans="1:16" ht="25.5" x14ac:dyDescent="0.35">
      <c r="A95" s="182">
        <v>44383</v>
      </c>
      <c r="B95" s="205">
        <f t="shared" si="1"/>
        <v>93</v>
      </c>
      <c r="C95" s="233" t="s">
        <v>516</v>
      </c>
      <c r="D95" s="235">
        <v>3.1</v>
      </c>
      <c r="E95" s="184" t="s">
        <v>637</v>
      </c>
      <c r="F95" s="184" t="s">
        <v>253</v>
      </c>
      <c r="G95" s="185" t="s">
        <v>638</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B1098-9952-473B-A67A-AF4D6B9D34A0}">
  <sheetPr>
    <tabColor rgb="FF33CCCC"/>
    <pageSetUpPr fitToPage="1"/>
  </sheetPr>
  <dimension ref="A1:P22"/>
  <sheetViews>
    <sheetView zoomScale="80" zoomScaleNormal="80" workbookViewId="0"/>
  </sheetViews>
  <sheetFormatPr defaultColWidth="9" defaultRowHeight="12.75" x14ac:dyDescent="0.35"/>
  <cols>
    <col min="1" max="1" width="10.86328125" style="181" customWidth="1"/>
    <col min="2" max="2" width="15.86328125" style="188" customWidth="1"/>
    <col min="3" max="3" width="27.3984375" style="181" customWidth="1"/>
    <col min="4" max="4" width="22.86328125" style="188" customWidth="1"/>
    <col min="5" max="5" width="23.59765625" style="181" customWidth="1"/>
    <col min="6" max="6" width="25.1328125" style="181" customWidth="1"/>
    <col min="7" max="7" width="101.3984375" style="181" customWidth="1"/>
    <col min="8" max="8" width="19.1328125" style="396" customWidth="1"/>
    <col min="9" max="9" width="16.59765625" style="396" customWidth="1"/>
    <col min="10" max="10" width="12.3984375" style="396" customWidth="1"/>
    <col min="11" max="11" width="9.86328125" style="396" customWidth="1"/>
    <col min="12" max="12" width="9" style="396" customWidth="1"/>
    <col min="13" max="13" width="9" style="396"/>
    <col min="14" max="14" width="11.1328125" style="396" customWidth="1"/>
    <col min="15" max="15" width="9" style="396"/>
    <col min="16" max="16" width="82.1328125" style="396" customWidth="1"/>
    <col min="17" max="16384" width="9" style="181"/>
  </cols>
  <sheetData>
    <row r="1" spans="1:16" ht="22.35" customHeight="1" x14ac:dyDescent="0.35">
      <c r="H1" s="395"/>
    </row>
    <row r="2" spans="1:16" ht="28.5" customHeight="1" x14ac:dyDescent="0.35">
      <c r="A2" s="201" t="s">
        <v>240</v>
      </c>
      <c r="B2" s="202" t="s">
        <v>652</v>
      </c>
      <c r="C2" s="201" t="s">
        <v>242</v>
      </c>
      <c r="D2" s="201" t="s">
        <v>243</v>
      </c>
      <c r="E2" s="201" t="s">
        <v>244</v>
      </c>
      <c r="F2" s="201" t="s">
        <v>245</v>
      </c>
      <c r="G2" s="201" t="s">
        <v>246</v>
      </c>
      <c r="H2" s="397"/>
      <c r="I2" s="397"/>
      <c r="J2" s="397"/>
      <c r="K2" s="397"/>
      <c r="L2" s="397"/>
      <c r="M2" s="397"/>
      <c r="N2" s="397"/>
      <c r="O2" s="397"/>
      <c r="P2" s="397"/>
    </row>
    <row r="3" spans="1:16" s="184" customFormat="1" x14ac:dyDescent="0.35">
      <c r="A3" s="182">
        <v>44434</v>
      </c>
      <c r="B3" s="183">
        <v>1</v>
      </c>
      <c r="C3" s="398" t="s">
        <v>653</v>
      </c>
      <c r="D3" s="399"/>
      <c r="E3" s="400"/>
      <c r="F3" s="400" t="s">
        <v>250</v>
      </c>
      <c r="G3" s="400" t="s">
        <v>328</v>
      </c>
      <c r="H3" s="401"/>
      <c r="I3" s="402"/>
      <c r="J3" s="402"/>
      <c r="K3" s="402"/>
      <c r="L3" s="402"/>
      <c r="M3" s="402"/>
      <c r="N3" s="402"/>
      <c r="O3" s="402"/>
      <c r="P3" s="403"/>
    </row>
    <row r="4" spans="1:16" s="184" customFormat="1" ht="25.5" x14ac:dyDescent="0.35">
      <c r="A4" s="182">
        <v>44434</v>
      </c>
      <c r="B4" s="183">
        <f>B3+1</f>
        <v>2</v>
      </c>
      <c r="C4" s="398" t="s">
        <v>285</v>
      </c>
      <c r="D4" s="399" t="s">
        <v>259</v>
      </c>
      <c r="E4" s="400" t="s">
        <v>654</v>
      </c>
      <c r="F4" s="400" t="s">
        <v>264</v>
      </c>
      <c r="G4" s="400" t="s">
        <v>265</v>
      </c>
      <c r="H4" s="401"/>
      <c r="I4" s="402"/>
      <c r="J4" s="402"/>
      <c r="K4" s="402"/>
      <c r="L4" s="402"/>
      <c r="M4" s="402"/>
      <c r="N4" s="402"/>
      <c r="O4" s="402"/>
      <c r="P4" s="403"/>
    </row>
    <row r="5" spans="1:16" s="184" customFormat="1" ht="25.5" x14ac:dyDescent="0.35">
      <c r="A5" s="405">
        <v>44432</v>
      </c>
      <c r="B5" s="406">
        <f>B4+1</f>
        <v>3</v>
      </c>
      <c r="C5" s="407" t="s">
        <v>345</v>
      </c>
      <c r="D5" s="406"/>
      <c r="E5" s="407" t="s">
        <v>656</v>
      </c>
      <c r="F5" s="408" t="s">
        <v>657</v>
      </c>
      <c r="G5" s="408" t="s">
        <v>658</v>
      </c>
      <c r="H5" s="401"/>
      <c r="I5" s="402"/>
      <c r="J5" s="402"/>
      <c r="K5" s="402"/>
      <c r="L5" s="402"/>
      <c r="M5" s="402"/>
      <c r="N5" s="402"/>
      <c r="O5" s="402"/>
      <c r="P5" s="403"/>
    </row>
    <row r="6" spans="1:16" s="184" customFormat="1" x14ac:dyDescent="0.35">
      <c r="A6" s="405">
        <v>44482</v>
      </c>
      <c r="B6" s="406">
        <f>B5+1</f>
        <v>4</v>
      </c>
      <c r="C6" s="407" t="s">
        <v>277</v>
      </c>
      <c r="D6" s="406"/>
      <c r="E6" s="407" t="s">
        <v>671</v>
      </c>
      <c r="F6" s="417" t="s">
        <v>672</v>
      </c>
      <c r="G6" s="408" t="s">
        <v>672</v>
      </c>
      <c r="H6" s="401"/>
      <c r="I6" s="402"/>
      <c r="J6" s="402"/>
      <c r="K6" s="402"/>
      <c r="L6" s="402"/>
      <c r="M6" s="402"/>
      <c r="N6" s="402"/>
      <c r="O6" s="402"/>
      <c r="P6" s="403"/>
    </row>
    <row r="7" spans="1:16" s="184" customFormat="1" x14ac:dyDescent="0.35">
      <c r="A7" s="182">
        <v>44489</v>
      </c>
      <c r="B7" s="406">
        <f>B6+1</f>
        <v>5</v>
      </c>
      <c r="C7" s="398" t="s">
        <v>559</v>
      </c>
      <c r="D7" s="399" t="s">
        <v>674</v>
      </c>
      <c r="E7" s="400" t="s">
        <v>675</v>
      </c>
      <c r="F7" s="419" t="s">
        <v>381</v>
      </c>
      <c r="G7" s="420" t="s">
        <v>676</v>
      </c>
      <c r="H7" s="401"/>
      <c r="I7" s="402"/>
      <c r="J7" s="402"/>
      <c r="K7" s="402"/>
      <c r="L7" s="402"/>
      <c r="M7" s="402"/>
      <c r="N7" s="402"/>
      <c r="O7" s="402"/>
      <c r="P7" s="403"/>
    </row>
    <row r="8" spans="1:16" s="184" customFormat="1" x14ac:dyDescent="0.35">
      <c r="A8" s="182"/>
      <c r="B8" s="183"/>
      <c r="C8" s="398"/>
      <c r="D8" s="399"/>
      <c r="E8" s="400"/>
      <c r="F8" s="400"/>
      <c r="G8" s="400"/>
      <c r="H8" s="401"/>
      <c r="I8" s="402"/>
      <c r="J8" s="402"/>
      <c r="K8" s="402"/>
      <c r="L8" s="402"/>
      <c r="M8" s="402"/>
      <c r="N8" s="402"/>
      <c r="O8" s="402"/>
      <c r="P8" s="403"/>
    </row>
    <row r="9" spans="1:16" s="184" customFormat="1" x14ac:dyDescent="0.35">
      <c r="A9" s="182"/>
      <c r="B9" s="183"/>
      <c r="C9" s="398"/>
      <c r="D9" s="399"/>
      <c r="E9" s="400"/>
      <c r="F9" s="400"/>
      <c r="G9" s="400"/>
      <c r="H9" s="401"/>
      <c r="I9" s="402"/>
      <c r="J9" s="402"/>
      <c r="K9" s="402"/>
      <c r="L9" s="402"/>
      <c r="M9" s="402"/>
      <c r="N9" s="402"/>
      <c r="O9" s="402"/>
      <c r="P9" s="403"/>
    </row>
    <row r="10" spans="1:16" s="184" customFormat="1" x14ac:dyDescent="0.35">
      <c r="A10" s="182"/>
      <c r="B10" s="183"/>
      <c r="C10" s="398"/>
      <c r="D10" s="399"/>
      <c r="E10" s="400"/>
      <c r="F10" s="400"/>
      <c r="G10" s="400"/>
      <c r="H10" s="401"/>
      <c r="I10" s="402"/>
      <c r="J10" s="402"/>
      <c r="K10" s="402"/>
      <c r="L10" s="402"/>
      <c r="M10" s="402"/>
      <c r="N10" s="402"/>
      <c r="O10" s="402"/>
      <c r="P10" s="403"/>
    </row>
    <row r="11" spans="1:16" s="184" customFormat="1" x14ac:dyDescent="0.35">
      <c r="A11" s="182"/>
      <c r="B11" s="183"/>
      <c r="C11" s="398"/>
      <c r="D11" s="399"/>
      <c r="E11" s="400"/>
      <c r="F11" s="400"/>
      <c r="G11" s="400"/>
      <c r="H11" s="401"/>
      <c r="I11" s="402"/>
      <c r="J11" s="402"/>
      <c r="K11" s="402"/>
      <c r="L11" s="402"/>
      <c r="M11" s="402"/>
      <c r="N11" s="402"/>
      <c r="O11" s="402"/>
      <c r="P11" s="403"/>
    </row>
    <row r="12" spans="1:16" s="184" customFormat="1" x14ac:dyDescent="0.35">
      <c r="A12" s="182"/>
      <c r="B12" s="183"/>
      <c r="C12" s="398"/>
      <c r="D12" s="399"/>
      <c r="E12" s="400"/>
      <c r="F12" s="400"/>
      <c r="G12" s="400"/>
      <c r="H12" s="401"/>
      <c r="I12" s="402"/>
      <c r="J12" s="402"/>
      <c r="K12" s="402"/>
      <c r="L12" s="402"/>
      <c r="M12" s="402"/>
      <c r="N12" s="402"/>
      <c r="O12" s="402"/>
      <c r="P12" s="403"/>
    </row>
    <row r="13" spans="1:16" s="184" customFormat="1" x14ac:dyDescent="0.35">
      <c r="A13" s="182"/>
      <c r="B13" s="183"/>
      <c r="C13" s="398"/>
      <c r="D13" s="399"/>
      <c r="E13" s="400"/>
      <c r="F13" s="400"/>
      <c r="G13" s="400"/>
      <c r="H13" s="401"/>
      <c r="I13" s="402"/>
      <c r="J13" s="402"/>
      <c r="K13" s="402"/>
      <c r="L13" s="402"/>
      <c r="M13" s="402"/>
      <c r="N13" s="402"/>
      <c r="O13" s="402"/>
      <c r="P13" s="403"/>
    </row>
    <row r="14" spans="1:16" s="184" customFormat="1" x14ac:dyDescent="0.35">
      <c r="A14" s="182"/>
      <c r="B14" s="183"/>
      <c r="C14" s="398"/>
      <c r="D14" s="399"/>
      <c r="E14" s="400"/>
      <c r="F14" s="400"/>
      <c r="G14" s="400"/>
      <c r="H14" s="401"/>
      <c r="I14" s="402"/>
      <c r="J14" s="402"/>
      <c r="K14" s="402"/>
      <c r="L14" s="402"/>
      <c r="M14" s="402"/>
      <c r="N14" s="402"/>
      <c r="O14" s="402"/>
      <c r="P14" s="403"/>
    </row>
    <row r="15" spans="1:16" s="184" customFormat="1" x14ac:dyDescent="0.35">
      <c r="A15" s="182"/>
      <c r="B15" s="183"/>
      <c r="C15" s="398"/>
      <c r="D15" s="399"/>
      <c r="E15" s="400"/>
      <c r="F15" s="400"/>
      <c r="G15" s="400"/>
      <c r="H15" s="401"/>
      <c r="I15" s="402"/>
      <c r="J15" s="402"/>
      <c r="K15" s="402"/>
      <c r="L15" s="402"/>
      <c r="M15" s="402"/>
      <c r="N15" s="402"/>
      <c r="O15" s="402"/>
      <c r="P15" s="403"/>
    </row>
    <row r="16" spans="1:16" s="184" customFormat="1" x14ac:dyDescent="0.35">
      <c r="A16" s="182"/>
      <c r="B16" s="183"/>
      <c r="C16" s="398"/>
      <c r="D16" s="399"/>
      <c r="E16" s="400"/>
      <c r="F16" s="400"/>
      <c r="G16" s="400"/>
      <c r="H16" s="401"/>
      <c r="I16" s="402"/>
      <c r="J16" s="402"/>
      <c r="K16" s="402"/>
      <c r="L16" s="402"/>
      <c r="M16" s="402"/>
      <c r="N16" s="402"/>
      <c r="O16" s="402"/>
      <c r="P16" s="403"/>
    </row>
    <row r="17" spans="1:16" s="184" customFormat="1" x14ac:dyDescent="0.35">
      <c r="A17" s="182"/>
      <c r="B17" s="183"/>
      <c r="C17" s="398"/>
      <c r="D17" s="399"/>
      <c r="E17" s="400"/>
      <c r="F17" s="400"/>
      <c r="G17" s="400"/>
      <c r="H17" s="401"/>
      <c r="I17" s="402"/>
      <c r="J17" s="402"/>
      <c r="K17" s="402"/>
      <c r="L17" s="402"/>
      <c r="M17" s="402"/>
      <c r="N17" s="402"/>
      <c r="O17" s="402"/>
      <c r="P17" s="403"/>
    </row>
    <row r="18" spans="1:16" s="184" customFormat="1" x14ac:dyDescent="0.35">
      <c r="A18" s="182"/>
      <c r="B18" s="183"/>
      <c r="C18" s="398"/>
      <c r="D18" s="399"/>
      <c r="E18" s="400"/>
      <c r="F18" s="400"/>
      <c r="G18" s="400"/>
      <c r="H18" s="401"/>
      <c r="I18" s="402"/>
      <c r="J18" s="402"/>
      <c r="K18" s="402"/>
      <c r="L18" s="402"/>
      <c r="M18" s="402"/>
      <c r="N18" s="402"/>
      <c r="O18" s="402"/>
      <c r="P18" s="403"/>
    </row>
    <row r="19" spans="1:16" s="184" customFormat="1" x14ac:dyDescent="0.35">
      <c r="A19" s="182"/>
      <c r="B19" s="183"/>
      <c r="C19" s="398"/>
      <c r="D19" s="399"/>
      <c r="E19" s="400"/>
      <c r="F19" s="400"/>
      <c r="G19" s="400"/>
      <c r="H19" s="401"/>
      <c r="I19" s="402"/>
      <c r="J19" s="402"/>
      <c r="K19" s="402"/>
      <c r="L19" s="402"/>
      <c r="M19" s="402"/>
      <c r="N19" s="402"/>
      <c r="O19" s="402"/>
      <c r="P19" s="403"/>
    </row>
    <row r="20" spans="1:16" x14ac:dyDescent="0.35">
      <c r="A20" s="182"/>
      <c r="B20" s="183"/>
      <c r="C20" s="184"/>
      <c r="D20" s="184"/>
      <c r="E20" s="184"/>
      <c r="F20" s="184"/>
      <c r="G20" s="400"/>
    </row>
    <row r="21" spans="1:16" x14ac:dyDescent="0.35">
      <c r="A21" s="182"/>
      <c r="B21" s="183"/>
      <c r="C21" s="184"/>
      <c r="D21" s="184"/>
      <c r="E21" s="184"/>
      <c r="F21" s="184"/>
      <c r="G21" s="400"/>
    </row>
    <row r="22" spans="1:16" x14ac:dyDescent="0.35">
      <c r="A22" s="182"/>
      <c r="B22" s="183"/>
      <c r="C22" s="184"/>
      <c r="D22" s="184"/>
      <c r="E22" s="184"/>
      <c r="F22" s="184"/>
      <c r="G22" s="400"/>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3.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6</vt:i4>
      </vt:variant>
    </vt:vector>
  </HeadingPairs>
  <TitlesOfParts>
    <vt:vector size="31"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2021-11-01T04:24:46Z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