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omments4.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omments5.xml" ContentType="application/vnd.openxmlformats-officedocument.spreadsheetml.comments+xml"/>
  <Override PartName="/xl/tables/table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fileSharing readOnlyRecommended="1"/>
  <workbookPr codeName="ThisWorkbook" hidePivotFieldList="1"/>
  <mc:AlternateContent xmlns:mc="http://schemas.openxmlformats.org/markup-compatibility/2006">
    <mc:Choice Requires="x15">
      <x15ac:absPath xmlns:x15ac="http://schemas.microsoft.com/office/spreadsheetml/2010/11/ac" url="https://apamscloud.sharepoint.com/sites/RegulatoryReportingTeam/Shared Documents/Part 10/1. FY25/Non-scheme pipelines/1. AER Annual Reporting Template/4. MSP/z. Submission/"/>
    </mc:Choice>
  </mc:AlternateContent>
  <xr:revisionPtr revIDLastSave="1624" documentId="8_{E8AC341B-8CE6-4037-B05B-1E57A887C807}" xr6:coauthVersionLast="47" xr6:coauthVersionMax="47" xr10:uidLastSave="{4A7B177F-8B45-452F-9EC1-3923922FC5E6}"/>
  <bookViews>
    <workbookView xWindow="-120" yWindow="-120" windowWidth="57840" windowHeight="23520" tabRatio="832" xr2:uid="{F66A5416-ED2E-4776-9FC7-EE82AF1323AB}"/>
  </bookViews>
  <sheets>
    <sheet name="Cover" sheetId="11" r:id="rId1"/>
    <sheet name="Contents" sheetId="4" r:id="rId2"/>
    <sheet name="Financial summary" sheetId="69" r:id="rId3"/>
    <sheet name="Data visualisation" sheetId="82" r:id="rId4"/>
    <sheet name="Pricing benchmarks summary" sheetId="84" r:id="rId5"/>
    <sheet name="1. Pipeline information" sheetId="44" r:id="rId6"/>
    <sheet name="2. Revenue and expenses" sheetId="5" r:id="rId7"/>
    <sheet name="2.1 Profit &amp; Loss by component" sheetId="76" r:id="rId8"/>
    <sheet name="2.2 Allocation to services" sheetId="56" r:id="rId9"/>
    <sheet name="2.3 Revenue contributions " sheetId="57" r:id="rId10"/>
    <sheet name="2.4 Indirect revenue" sheetId="45" r:id="rId11"/>
    <sheet name="2.5 Shared expenses" sheetId="16" r:id="rId12"/>
    <sheet name="3.1 Depreciated Book Value" sheetId="6" r:id="rId13"/>
    <sheet name="3.2 Regulatory Asset Base" sheetId="87" r:id="rId14"/>
    <sheet name="3.3 Asset useful life" sheetId="55" r:id="rId15"/>
    <sheet name="3.4 Asset impairment" sheetId="63" r:id="rId16"/>
    <sheet name="3.5 Depreciation amortisation" sheetId="34" r:id="rId17"/>
    <sheet name="3.6 Shared supporting assets" sheetId="59" r:id="rId18"/>
    <sheet name="Auditor's Report Statement" sheetId="103" r:id="rId19"/>
    <sheet name="4. Recovered Capital" sheetId="47" r:id="rId20"/>
    <sheet name="4.1 Pipelines capex" sheetId="66" r:id="rId21"/>
    <sheet name="Auditor's Review Report Capex" sheetId="102" r:id="rId22"/>
    <sheet name="5. Historical demand" sheetId="74" r:id="rId23"/>
    <sheet name="Auditor's Review Report Demand" sheetId="104" r:id="rId24"/>
    <sheet name="6. Pricing template" sheetId="80" r:id="rId25"/>
    <sheet name="7. Amendment record" sheetId="90" r:id="rId26"/>
    <sheet name="E1. Revenue Data (NIU)" sheetId="96" state="hidden" r:id="rId27"/>
    <sheet name="E1.1 Revenue Data FY24 (NIU)" sheetId="113" state="hidden" r:id="rId28"/>
    <sheet name="F.2 PPE FY24" sheetId="98" state="hidden" r:id="rId29"/>
    <sheet name="Sheet1" sheetId="86" state="hidden" r:id="rId30"/>
    <sheet name="Amendment record" sheetId="67" state="hidden" r:id="rId31"/>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Cover!$C$19</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_1">#REF!</definedName>
    <definedName name="CB_10">#REF!</definedName>
    <definedName name="CB_11">#REF!</definedName>
    <definedName name="CB_12">#REF!</definedName>
    <definedName name="CB_13">#REF!</definedName>
    <definedName name="CB_14">#REF!</definedName>
    <definedName name="CB_15">#REF!</definedName>
    <definedName name="CB_16">#REF!</definedName>
    <definedName name="CB_17">#REF!</definedName>
    <definedName name="CB_18">#REF!</definedName>
    <definedName name="CB_19">#REF!</definedName>
    <definedName name="CB_2">#REF!</definedName>
    <definedName name="CB_20">#REF!</definedName>
    <definedName name="CB_21">#REF!</definedName>
    <definedName name="CB_22">#REF!</definedName>
    <definedName name="CB_23">#REF!</definedName>
    <definedName name="CB_24">#REF!</definedName>
    <definedName name="CB_25">#REF!</definedName>
    <definedName name="CB_26">#REF!</definedName>
    <definedName name="CB_27">#REF!</definedName>
    <definedName name="CB_28">#REF!</definedName>
    <definedName name="CB_29">#REF!</definedName>
    <definedName name="CB_3">#REF!</definedName>
    <definedName name="CB_30">#REF!</definedName>
    <definedName name="CB_31">#REF!</definedName>
    <definedName name="CB_32">#REF!</definedName>
    <definedName name="CB_33">#REF!</definedName>
    <definedName name="CB_34">#REF!</definedName>
    <definedName name="CB_35">#REF!</definedName>
    <definedName name="CB_36">#REF!</definedName>
    <definedName name="CB_37">#REF!</definedName>
    <definedName name="CB_38">#REF!</definedName>
    <definedName name="CB_39">#REF!</definedName>
    <definedName name="CB_4">#REF!</definedName>
    <definedName name="CB_40">#REF!</definedName>
    <definedName name="CB_41">#REF!</definedName>
    <definedName name="CB_42">#REF!</definedName>
    <definedName name="CB_43">#REF!</definedName>
    <definedName name="CB_44">#REF!</definedName>
    <definedName name="CB_45">#REF!</definedName>
    <definedName name="CB_46">#REF!</definedName>
    <definedName name="CB_47">#REF!</definedName>
    <definedName name="CB_5">#REF!</definedName>
    <definedName name="CB_6">#REF!</definedName>
    <definedName name="CB_7">#REF!</definedName>
    <definedName name="CB_8">#REF!</definedName>
    <definedName name="CB_9">#REF!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ecast">#REF!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sProtoMapReport">#REF!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nctionType">#REF!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BPEOMSPOTFY13">#REF!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43436.8196180555</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PYEOMSPOTFY13">#REF!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Service">#REF!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"V2003-06-30"</definedName>
    <definedName name="NvsAutoDrillOk">"VN"</definedName>
    <definedName name="NvsElapsedTime">0.000465162032924127</definedName>
    <definedName name="NvsEndTime">37824.3469520833</definedName>
    <definedName name="NvsInstLang">"VENG"</definedName>
    <definedName name="NvsInstSpec">"%,FBUSINESS_UNIT,TLEGAL_ENTITIES,NAEG"</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"V2001-07-01"</definedName>
    <definedName name="NvsPanelSetid">"VSHARE"</definedName>
    <definedName name="NvsParentRef">#REF!</definedName>
    <definedName name="NvsReqBU">"V11020"</definedName>
    <definedName name="NvsReqBUOnly">"VN"</definedName>
    <definedName name="NvsTransLed">"VN"</definedName>
    <definedName name="NvsTreeASD">"V2003-06-30"</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5">'1. Pipeline information'!$A$1:$E$43</definedName>
    <definedName name="_xlnm.Print_Area" localSheetId="6">'2. Revenue and expenses'!$A$1:$H$6</definedName>
    <definedName name="_xlnm.Print_Area" localSheetId="7">'2.1 Profit &amp; Loss by component'!$A$1:$C$32</definedName>
    <definedName name="_xlnm.Print_Area" localSheetId="8">'2.2 Allocation to services'!$A$1:$J$24</definedName>
    <definedName name="_xlnm.Print_Area" localSheetId="9">'2.3 Revenue contributions '!$A$1:$F$29</definedName>
    <definedName name="_xlnm.Print_Area" localSheetId="10">'2.4 Indirect revenue'!$A$1:$I$41</definedName>
    <definedName name="_xlnm.Print_Area" localSheetId="11">'2.5 Shared expenses'!$A$1:$J$35</definedName>
    <definedName name="_xlnm.Print_Area" localSheetId="12">'3.1 Depreciated Book Value'!$A$1:$F$127</definedName>
    <definedName name="_xlnm.Print_Area" localSheetId="13">'3.2 Regulatory Asset Base'!$A$1:$F$98</definedName>
    <definedName name="_xlnm.Print_Area" localSheetId="14">'3.3 Asset useful life'!$A$1:$G$38</definedName>
    <definedName name="_xlnm.Print_Area" localSheetId="15">'3.4 Asset impairment'!$A$1:$I$57</definedName>
    <definedName name="_xlnm.Print_Area" localSheetId="16">'3.5 Depreciation amortisation'!$A$1:$P$86</definedName>
    <definedName name="_xlnm.Print_Area" localSheetId="17">'3.6 Shared supporting assets'!$A$1:$H$50</definedName>
    <definedName name="_xlnm.Print_Area" localSheetId="19">'4. Recovered Capital'!$A$1:$BL$53</definedName>
    <definedName name="_xlnm.Print_Area" localSheetId="20">'4.1 Pipelines capex'!$A$1:$F$41</definedName>
    <definedName name="_xlnm.Print_Area" localSheetId="22">'5. Historical demand'!$A$1:$BM$27</definedName>
    <definedName name="_xlnm.Print_Area" localSheetId="0">Cover!$A$2:$J$50</definedName>
    <definedName name="_xlnm.Print_Area" localSheetId="3">'Data visualisation'!$A$1:$F$88</definedName>
    <definedName name="_xlnm.Print_Area" localSheetId="29">Sheet1!$A$1:$N$32</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llAssets" localSheetId="26">#REF!</definedName>
    <definedName name="rAllAssets" localSheetId="28">#REF!</definedName>
    <definedName name="rAllAssets">Sheet1!$A$3:$A$17</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nitialcosts" localSheetId="26">#REF!</definedName>
    <definedName name="rInitialcosts" localSheetId="28">#REF!</definedName>
    <definedName name="rInitialcosts">Sheet1!$G$3:$G$5</definedName>
    <definedName name="rInitialyears" localSheetId="26">#REF!</definedName>
    <definedName name="rInitialyears" localSheetId="28">#REF!</definedName>
    <definedName name="rInitialyears">Sheet1!$G$3:$H$5</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 localSheetId="26">#REF!</definedName>
    <definedName name="rPipelineAssets" localSheetId="28">#REF!</definedName>
    <definedName name="rPipelineAssets">Sheet1!$A$3:$A$12</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 localSheetId="26">#REF!</definedName>
    <definedName name="rSharedAssets" localSheetId="28">#REF!</definedName>
    <definedName name="rSharedAssets">Sheet1!$A$13:$A$17</definedName>
    <definedName name="rvanilla">#REF!</definedName>
    <definedName name="rYesNo">#REF!</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nergy_Year">#REF!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 localSheetId="26">#REF!</definedName>
    <definedName name="Tradingname" localSheetId="28">#REF!</definedName>
    <definedName name="Tradingname">Cover!$C$17</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DEOMSPOTFY13">#REF!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 localSheetId="26">#REF!</definedName>
    <definedName name="Yearending" localSheetId="28">#REF!</definedName>
    <definedName name="Yearending">Cover!$C$27</definedName>
    <definedName name="YearEndMonth">#REF!</definedName>
    <definedName name="years">#REF!</definedName>
    <definedName name="Yearstart" localSheetId="26">#REF!</definedName>
    <definedName name="Yearstart" localSheetId="28">#REF!</definedName>
    <definedName name="Yearstart">Cover!$C$25</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7" i="34" l="1"/>
  <c r="F24" i="34" l="1"/>
  <c r="E67" i="34"/>
  <c r="E66" i="34"/>
  <c r="E24" i="34"/>
  <c r="F22" i="34"/>
  <c r="E22" i="34"/>
  <c r="E23" i="34"/>
  <c r="E21" i="34"/>
  <c r="E20" i="34"/>
  <c r="E19" i="34"/>
  <c r="E18" i="34"/>
  <c r="E17" i="34"/>
  <c r="E16" i="34"/>
  <c r="E15" i="34"/>
  <c r="I55" i="98"/>
  <c r="K35" i="98"/>
  <c r="H35" i="98"/>
  <c r="F35" i="98"/>
  <c r="E35" i="98"/>
  <c r="D35" i="98"/>
  <c r="P469" i="96"/>
  <c r="P470" i="96"/>
  <c r="P471" i="96"/>
  <c r="P472" i="96"/>
  <c r="P473" i="96"/>
  <c r="P474" i="96"/>
  <c r="P475" i="96"/>
  <c r="P476" i="96"/>
  <c r="P477" i="96"/>
  <c r="P478" i="96"/>
  <c r="P479" i="96"/>
  <c r="P480" i="96"/>
  <c r="P481" i="96"/>
  <c r="P482" i="96"/>
  <c r="P483" i="96"/>
  <c r="P484" i="96"/>
  <c r="P485" i="96"/>
  <c r="P486" i="96"/>
  <c r="P487" i="96"/>
  <c r="P488" i="96"/>
  <c r="P489" i="96"/>
  <c r="P490" i="96"/>
  <c r="P491" i="96"/>
  <c r="P492" i="96"/>
  <c r="P493" i="96"/>
  <c r="P494" i="96"/>
  <c r="P495" i="96"/>
  <c r="P496" i="96"/>
  <c r="P497" i="96"/>
  <c r="P498" i="96"/>
  <c r="P499" i="96"/>
  <c r="P500" i="96"/>
  <c r="P501" i="96"/>
  <c r="P502" i="96"/>
  <c r="P503" i="96"/>
  <c r="P504" i="96"/>
  <c r="P505" i="96"/>
  <c r="P506" i="96"/>
  <c r="P507" i="96"/>
  <c r="P508" i="96"/>
  <c r="P509" i="96"/>
  <c r="P510" i="96"/>
  <c r="P511" i="96"/>
  <c r="P512" i="96"/>
  <c r="P513" i="96"/>
  <c r="P514" i="96"/>
  <c r="P515" i="96"/>
  <c r="P516" i="96"/>
  <c r="P517" i="96"/>
  <c r="P518" i="96"/>
  <c r="P519" i="96"/>
  <c r="P520" i="96"/>
  <c r="P521" i="96"/>
  <c r="P522" i="96"/>
  <c r="P523" i="96"/>
  <c r="P524" i="96"/>
  <c r="P525" i="96"/>
  <c r="P526" i="96"/>
  <c r="P527" i="96"/>
  <c r="P528" i="96"/>
  <c r="P529" i="96"/>
  <c r="P530" i="96"/>
  <c r="P531" i="96"/>
  <c r="P532" i="96"/>
  <c r="P533" i="96"/>
  <c r="P534" i="96"/>
  <c r="P535" i="96"/>
  <c r="P536" i="96"/>
  <c r="P537" i="96"/>
  <c r="P538" i="96"/>
  <c r="P539" i="96"/>
  <c r="P540" i="96"/>
  <c r="P541" i="96"/>
  <c r="P542" i="96"/>
  <c r="P543" i="96"/>
  <c r="P544" i="96"/>
  <c r="P545" i="96"/>
  <c r="P546" i="96"/>
  <c r="P547" i="96"/>
  <c r="P548" i="96"/>
  <c r="P549" i="96"/>
  <c r="P550" i="96"/>
  <c r="P551" i="96"/>
  <c r="P552" i="96"/>
  <c r="P553" i="96"/>
  <c r="P554" i="96"/>
  <c r="P555" i="96"/>
  <c r="P556" i="96"/>
  <c r="P557" i="96"/>
  <c r="P558" i="96"/>
  <c r="P559" i="96"/>
  <c r="P560" i="96"/>
  <c r="P561" i="96"/>
  <c r="P562" i="96"/>
  <c r="P563" i="96"/>
  <c r="P564" i="96"/>
  <c r="P565" i="96"/>
  <c r="P566" i="96"/>
  <c r="P567" i="96"/>
  <c r="P568" i="96"/>
  <c r="P569" i="96"/>
  <c r="P570" i="96"/>
  <c r="P571" i="96"/>
  <c r="P572" i="96"/>
  <c r="P573" i="96"/>
  <c r="P574" i="96"/>
  <c r="P575" i="96"/>
  <c r="P576" i="96"/>
  <c r="P577" i="96"/>
  <c r="P578" i="96"/>
  <c r="P579" i="96"/>
  <c r="P580" i="96"/>
  <c r="P581" i="96"/>
  <c r="P582" i="96"/>
  <c r="P583" i="96"/>
  <c r="P584" i="96"/>
  <c r="P585" i="96"/>
  <c r="P586" i="96"/>
  <c r="P587" i="96"/>
  <c r="P588" i="96"/>
  <c r="P589" i="96"/>
  <c r="P590" i="96"/>
  <c r="P591" i="96"/>
  <c r="P592" i="96"/>
  <c r="P593" i="96"/>
  <c r="P594" i="96"/>
  <c r="P595" i="96"/>
  <c r="P596" i="96"/>
  <c r="P597" i="96"/>
  <c r="P598" i="96"/>
  <c r="P599" i="96"/>
  <c r="P600" i="96"/>
  <c r="P601" i="96"/>
  <c r="P602" i="96"/>
  <c r="P603" i="96"/>
  <c r="P604" i="96"/>
  <c r="P605" i="96"/>
  <c r="P606" i="96"/>
  <c r="P607" i="96"/>
  <c r="P608" i="96"/>
  <c r="P609" i="96"/>
  <c r="P610" i="96"/>
  <c r="P611" i="96"/>
  <c r="P612" i="96"/>
  <c r="P613" i="96"/>
  <c r="P614" i="96"/>
  <c r="P615" i="96"/>
  <c r="P616" i="96"/>
  <c r="P617" i="96"/>
  <c r="P618" i="96"/>
  <c r="P619" i="96"/>
  <c r="P620" i="96"/>
  <c r="P621" i="96"/>
  <c r="P622" i="96"/>
  <c r="P623" i="96"/>
  <c r="P624" i="96"/>
  <c r="P625" i="96"/>
  <c r="P626" i="96"/>
  <c r="P627" i="96"/>
  <c r="P628" i="96"/>
  <c r="P629" i="96"/>
  <c r="P630" i="96"/>
  <c r="P631" i="96"/>
  <c r="P632" i="96"/>
  <c r="P633" i="96"/>
  <c r="P634" i="96"/>
  <c r="P635" i="96"/>
  <c r="P636" i="96"/>
  <c r="P637" i="96"/>
  <c r="P638" i="96"/>
  <c r="P639" i="96"/>
  <c r="P640" i="96"/>
  <c r="P641" i="96"/>
  <c r="P642" i="96"/>
  <c r="P643" i="96"/>
  <c r="P644" i="96"/>
  <c r="P645" i="96"/>
  <c r="P646" i="96"/>
  <c r="P647" i="96"/>
  <c r="P648" i="96"/>
  <c r="P649" i="96"/>
  <c r="P650" i="96"/>
  <c r="P651" i="96"/>
  <c r="P652" i="96"/>
  <c r="P653" i="96"/>
  <c r="P654" i="96"/>
  <c r="P655" i="96"/>
  <c r="P656" i="96"/>
  <c r="P657" i="96"/>
  <c r="P658" i="96"/>
  <c r="P659" i="96"/>
  <c r="P660" i="96"/>
  <c r="P661" i="96"/>
  <c r="P662" i="96"/>
  <c r="P663" i="96"/>
  <c r="P664" i="96"/>
  <c r="P665" i="96"/>
  <c r="P666" i="96"/>
  <c r="P667" i="96"/>
  <c r="P668" i="96"/>
  <c r="P669" i="96"/>
  <c r="P670" i="96"/>
  <c r="P671" i="96"/>
  <c r="P672" i="96"/>
  <c r="P673" i="96"/>
  <c r="P674" i="96"/>
  <c r="P675" i="96"/>
  <c r="P676" i="96"/>
  <c r="P677" i="96"/>
  <c r="P678" i="96"/>
  <c r="P679" i="96"/>
  <c r="P680" i="96"/>
  <c r="P681" i="96"/>
  <c r="P682" i="96"/>
  <c r="P683" i="96"/>
  <c r="P684" i="96"/>
  <c r="P685" i="96"/>
  <c r="P686" i="96"/>
  <c r="P687" i="96"/>
  <c r="P688" i="96"/>
  <c r="P689" i="96"/>
  <c r="P690" i="96"/>
  <c r="P691" i="96"/>
  <c r="P692" i="96"/>
  <c r="P693" i="96"/>
  <c r="P694" i="96"/>
  <c r="P695" i="96"/>
  <c r="P696" i="96"/>
  <c r="P697" i="96"/>
  <c r="P698" i="96"/>
  <c r="P699" i="96"/>
  <c r="P700" i="96"/>
  <c r="P701" i="96"/>
  <c r="P702" i="96"/>
  <c r="P703" i="96"/>
  <c r="P704" i="96"/>
  <c r="P705" i="96"/>
  <c r="P706" i="96"/>
  <c r="P707" i="96"/>
  <c r="P708" i="96"/>
  <c r="P709" i="96"/>
  <c r="P710" i="96"/>
  <c r="P711" i="96"/>
  <c r="P712" i="96"/>
  <c r="P713" i="96"/>
  <c r="P714" i="96"/>
  <c r="P715" i="96"/>
  <c r="P716" i="96"/>
  <c r="P717" i="96"/>
  <c r="P718" i="96"/>
  <c r="P719" i="96"/>
  <c r="P720" i="96"/>
  <c r="P721" i="96"/>
  <c r="P722" i="96"/>
  <c r="P723" i="96"/>
  <c r="P724" i="96"/>
  <c r="P725" i="96"/>
  <c r="P726" i="96"/>
  <c r="P727" i="96"/>
  <c r="P728" i="96"/>
  <c r="P729" i="96"/>
  <c r="P730" i="96"/>
  <c r="P731" i="96"/>
  <c r="P732" i="96"/>
  <c r="P733" i="96"/>
  <c r="P734" i="96"/>
  <c r="P735" i="96"/>
  <c r="P736" i="96"/>
  <c r="P737" i="96"/>
  <c r="P738" i="96"/>
  <c r="P739" i="96"/>
  <c r="P740" i="96"/>
  <c r="P741" i="96"/>
  <c r="P742" i="96"/>
  <c r="P743" i="96"/>
  <c r="P744" i="96"/>
  <c r="P745" i="96"/>
  <c r="P746" i="96"/>
  <c r="P747" i="96"/>
  <c r="P748" i="96"/>
  <c r="P749" i="96"/>
  <c r="P750" i="96"/>
  <c r="P751" i="96"/>
  <c r="P752" i="96"/>
  <c r="P753" i="96"/>
  <c r="P754" i="96"/>
  <c r="P755" i="96"/>
  <c r="P756" i="96"/>
  <c r="P757" i="96"/>
  <c r="P758" i="96"/>
  <c r="P759" i="96"/>
  <c r="P760" i="96"/>
  <c r="P761" i="96"/>
  <c r="P762" i="96"/>
  <c r="P763" i="96"/>
  <c r="P764" i="96"/>
  <c r="P765" i="96"/>
  <c r="P766" i="96"/>
  <c r="P767" i="96"/>
  <c r="P768" i="96"/>
  <c r="P769" i="96"/>
  <c r="P770" i="96"/>
  <c r="P771" i="96"/>
  <c r="P772" i="96"/>
  <c r="P773" i="96"/>
  <c r="P774" i="96"/>
  <c r="P775" i="96"/>
  <c r="P776" i="96"/>
  <c r="P777" i="96"/>
  <c r="P778" i="96"/>
  <c r="P779" i="96"/>
  <c r="P780" i="96"/>
  <c r="P781" i="96"/>
  <c r="P782" i="96"/>
  <c r="P783" i="96"/>
  <c r="P784" i="96"/>
  <c r="P785" i="96"/>
  <c r="P786" i="96"/>
  <c r="P787" i="96"/>
  <c r="P788" i="96"/>
  <c r="P789" i="96"/>
  <c r="P790" i="96"/>
  <c r="P791" i="96"/>
  <c r="P792" i="96"/>
  <c r="P793" i="96"/>
  <c r="P794" i="96"/>
  <c r="P795" i="96"/>
  <c r="P796" i="96"/>
  <c r="P797" i="96"/>
  <c r="P798" i="96"/>
  <c r="P799" i="96"/>
  <c r="P800" i="96"/>
  <c r="P801" i="96"/>
  <c r="P802" i="96"/>
  <c r="P803" i="96"/>
  <c r="P804" i="96"/>
  <c r="P805" i="96"/>
  <c r="P806" i="96"/>
  <c r="P807" i="96"/>
  <c r="P808" i="96"/>
  <c r="P809" i="96"/>
  <c r="P810" i="96"/>
  <c r="P811" i="96"/>
  <c r="P812" i="96"/>
  <c r="P813" i="96"/>
  <c r="P814" i="96"/>
  <c r="P815" i="96"/>
  <c r="P816" i="96"/>
  <c r="P817" i="96"/>
  <c r="P818" i="96"/>
  <c r="P819" i="96"/>
  <c r="P820" i="96"/>
  <c r="P821" i="96"/>
  <c r="P822" i="96"/>
  <c r="P823" i="96"/>
  <c r="P824" i="96"/>
  <c r="P825" i="96"/>
  <c r="P826" i="96"/>
  <c r="P827" i="96"/>
  <c r="P828" i="96"/>
  <c r="P829" i="96"/>
  <c r="P830" i="96"/>
  <c r="P831" i="96"/>
  <c r="P832" i="96"/>
  <c r="P833" i="96"/>
  <c r="P834" i="96"/>
  <c r="P835" i="96"/>
  <c r="P836" i="96"/>
  <c r="P837" i="96"/>
  <c r="P838" i="96"/>
  <c r="P839" i="96"/>
  <c r="P840" i="96"/>
  <c r="P841" i="96"/>
  <c r="P842" i="96"/>
  <c r="P843" i="96"/>
  <c r="P844" i="96"/>
  <c r="P845" i="96"/>
  <c r="P846" i="96"/>
  <c r="P847" i="96"/>
  <c r="P848" i="96"/>
  <c r="P849" i="96"/>
  <c r="P850" i="96"/>
  <c r="P851" i="96"/>
  <c r="P852" i="96"/>
  <c r="P853" i="96"/>
  <c r="P854" i="96"/>
  <c r="P855" i="96"/>
  <c r="P856" i="96"/>
  <c r="P857" i="96"/>
  <c r="P858" i="96"/>
  <c r="P859" i="96"/>
  <c r="P860" i="96"/>
  <c r="P861" i="96"/>
  <c r="P862" i="96"/>
  <c r="P863" i="96"/>
  <c r="P864" i="96"/>
  <c r="P865" i="96"/>
  <c r="P866" i="96"/>
  <c r="P867" i="96"/>
  <c r="P868" i="96"/>
  <c r="P869" i="96"/>
  <c r="P870" i="96"/>
  <c r="P871" i="96"/>
  <c r="P872" i="96"/>
  <c r="P873" i="96"/>
  <c r="P874" i="96"/>
  <c r="P875" i="96"/>
  <c r="P876" i="96"/>
  <c r="P877" i="96"/>
  <c r="P878" i="96"/>
  <c r="P879" i="96"/>
  <c r="P880" i="96"/>
  <c r="P881" i="96"/>
  <c r="P882" i="96"/>
  <c r="P883" i="96"/>
  <c r="P884" i="96"/>
  <c r="P885" i="96"/>
  <c r="P886" i="96"/>
  <c r="P887" i="96"/>
  <c r="P888" i="96"/>
  <c r="P889" i="96"/>
  <c r="P890" i="96"/>
  <c r="P891" i="96"/>
  <c r="P892" i="96"/>
  <c r="P893" i="96"/>
  <c r="P894" i="96"/>
  <c r="P895" i="96"/>
  <c r="P896" i="96"/>
  <c r="P897" i="96"/>
  <c r="P898" i="96"/>
  <c r="P899" i="96"/>
  <c r="P900" i="96"/>
  <c r="P901" i="96"/>
  <c r="P902" i="96"/>
  <c r="P903" i="96"/>
  <c r="P904" i="96"/>
  <c r="P905" i="96"/>
  <c r="P906" i="96"/>
  <c r="P907" i="96"/>
  <c r="P908" i="96"/>
  <c r="P909" i="96"/>
  <c r="P910" i="96"/>
  <c r="P911" i="96"/>
  <c r="P912" i="96"/>
  <c r="P913" i="96"/>
  <c r="P914" i="96"/>
  <c r="P915" i="96"/>
  <c r="P916" i="96"/>
  <c r="P917" i="96"/>
  <c r="P918" i="96"/>
  <c r="P919" i="96"/>
  <c r="P920" i="96"/>
  <c r="P921" i="96"/>
  <c r="P922" i="96"/>
  <c r="P923" i="96"/>
  <c r="P924" i="96"/>
  <c r="P925" i="96"/>
  <c r="P926" i="96"/>
  <c r="P927" i="96"/>
  <c r="P928" i="96"/>
  <c r="P929" i="96"/>
  <c r="P930" i="96"/>
  <c r="P931" i="96"/>
  <c r="P932" i="96"/>
  <c r="P933" i="96"/>
  <c r="P934" i="96"/>
  <c r="P935" i="96"/>
  <c r="P936" i="96"/>
  <c r="P937" i="96"/>
  <c r="P938" i="96"/>
  <c r="P939" i="96"/>
  <c r="P940" i="96"/>
  <c r="P941" i="96"/>
  <c r="P942" i="96"/>
  <c r="P943" i="96"/>
  <c r="P944" i="96"/>
  <c r="P945" i="96"/>
  <c r="P946" i="96"/>
  <c r="P947" i="96"/>
  <c r="P948" i="96"/>
  <c r="P949" i="96"/>
  <c r="P950" i="96"/>
  <c r="P951" i="96"/>
  <c r="P952" i="96"/>
  <c r="P953" i="96"/>
  <c r="P954" i="96"/>
  <c r="P955" i="96"/>
  <c r="P956" i="96"/>
  <c r="P957" i="96"/>
  <c r="P958" i="96"/>
  <c r="P959" i="96"/>
  <c r="P960" i="96"/>
  <c r="P961" i="96"/>
  <c r="P962" i="96"/>
  <c r="P963" i="96"/>
  <c r="P964" i="96"/>
  <c r="P965" i="96"/>
  <c r="P966" i="96"/>
  <c r="P967" i="96"/>
  <c r="P968" i="96"/>
  <c r="P969" i="96"/>
  <c r="P970" i="96"/>
  <c r="P971" i="96"/>
  <c r="P972" i="96"/>
  <c r="P973" i="96"/>
  <c r="P974" i="96"/>
  <c r="P975" i="96"/>
  <c r="P976" i="96"/>
  <c r="P977" i="96"/>
  <c r="P978" i="96"/>
  <c r="P979" i="96"/>
  <c r="P980" i="96"/>
  <c r="P981" i="96"/>
  <c r="P982" i="96"/>
  <c r="P983" i="96"/>
  <c r="P984" i="96"/>
  <c r="P985" i="96"/>
  <c r="P986" i="96"/>
  <c r="P987" i="96"/>
  <c r="P988" i="96"/>
  <c r="P989" i="96"/>
  <c r="P990" i="96"/>
  <c r="P991" i="96"/>
  <c r="P992" i="96"/>
  <c r="P993" i="96"/>
  <c r="P994" i="96"/>
  <c r="P995" i="96"/>
  <c r="P996" i="96"/>
  <c r="P997" i="96"/>
  <c r="P998" i="96"/>
  <c r="P999" i="96"/>
  <c r="P1000" i="96"/>
  <c r="P1001" i="96"/>
  <c r="P1002" i="96"/>
  <c r="P1003" i="96"/>
  <c r="P1004" i="96"/>
  <c r="P1005" i="96"/>
  <c r="P1006" i="96"/>
  <c r="P1007" i="96"/>
  <c r="P1008" i="96"/>
  <c r="P1009" i="96"/>
  <c r="P1010" i="96"/>
  <c r="P1011" i="96"/>
  <c r="P1012" i="96"/>
  <c r="P1013" i="96"/>
  <c r="P1014" i="96"/>
  <c r="P1015" i="96"/>
  <c r="P1016" i="96"/>
  <c r="P1017" i="96"/>
  <c r="P1018" i="96"/>
  <c r="P1019" i="96"/>
  <c r="P1020" i="96"/>
  <c r="P1021" i="96"/>
  <c r="P1022" i="96"/>
  <c r="P1023" i="96"/>
  <c r="P1024" i="96"/>
  <c r="P1025" i="96"/>
  <c r="P1026" i="96"/>
  <c r="P1027" i="96"/>
  <c r="P1028" i="96"/>
  <c r="P1029" i="96"/>
  <c r="P1030" i="96"/>
  <c r="P1031" i="96"/>
  <c r="P1032" i="96"/>
  <c r="P1033" i="96"/>
  <c r="P1034" i="96"/>
  <c r="P1035" i="96"/>
  <c r="P1036" i="96"/>
  <c r="P1037" i="96"/>
  <c r="P1038" i="96"/>
  <c r="P1039" i="96"/>
  <c r="P1040" i="96"/>
  <c r="P1041" i="96"/>
  <c r="P1042" i="96"/>
  <c r="P1043" i="96"/>
  <c r="P1044" i="96"/>
  <c r="P1045" i="96"/>
  <c r="P1046" i="96"/>
  <c r="P1047" i="96"/>
  <c r="P1048" i="96"/>
  <c r="P1049" i="96"/>
  <c r="P1050" i="96"/>
  <c r="P1051" i="96"/>
  <c r="P1052" i="96"/>
  <c r="P1053" i="96"/>
  <c r="P1054" i="96"/>
  <c r="P1055" i="96"/>
  <c r="P1056" i="96"/>
  <c r="P1057" i="96"/>
  <c r="P1058" i="96"/>
  <c r="P1059" i="96"/>
  <c r="P1060" i="96"/>
  <c r="P1061" i="96"/>
  <c r="P1062" i="96"/>
  <c r="P1063" i="96"/>
  <c r="P1064" i="96"/>
  <c r="P1065" i="96"/>
  <c r="P1066" i="96"/>
  <c r="P1067" i="96"/>
  <c r="P1068" i="96"/>
  <c r="P1069" i="96"/>
  <c r="P1070" i="96"/>
  <c r="P1071" i="96"/>
  <c r="P1072" i="96"/>
  <c r="P1073" i="96"/>
  <c r="P1074" i="96"/>
  <c r="P1075" i="96"/>
  <c r="P1076" i="96"/>
  <c r="P1077" i="96"/>
  <c r="P1078" i="96"/>
  <c r="P1079" i="96"/>
  <c r="P1080" i="96"/>
  <c r="P1081" i="96"/>
  <c r="P1082" i="96"/>
  <c r="P1083" i="96"/>
  <c r="P1084" i="96"/>
  <c r="P1085" i="96"/>
  <c r="P1086" i="96"/>
  <c r="P1087" i="96"/>
  <c r="P1088" i="96"/>
  <c r="P1089" i="96"/>
  <c r="P1090" i="96"/>
  <c r="P1091" i="96"/>
  <c r="P1092" i="96"/>
  <c r="P1093" i="96"/>
  <c r="P1094" i="96"/>
  <c r="P1095" i="96"/>
  <c r="P1096" i="96"/>
  <c r="P1097" i="96"/>
  <c r="P1098" i="96"/>
  <c r="P1099" i="96"/>
  <c r="P1100" i="96"/>
  <c r="P1101" i="96"/>
  <c r="P1102" i="96"/>
  <c r="P1103" i="96"/>
  <c r="P1104" i="96"/>
  <c r="P1105" i="96"/>
  <c r="P1106" i="96"/>
  <c r="P1107" i="96"/>
  <c r="P1108" i="96"/>
  <c r="P1109" i="96"/>
  <c r="P1110" i="96"/>
  <c r="P1111" i="96"/>
  <c r="P1112" i="96"/>
  <c r="P1113" i="96"/>
  <c r="P1114" i="96"/>
  <c r="P1115" i="96"/>
  <c r="P1116" i="96"/>
  <c r="P1117" i="96"/>
  <c r="P1118" i="96"/>
  <c r="P1119" i="96"/>
  <c r="P1120" i="96"/>
  <c r="P1121" i="96"/>
  <c r="P1122" i="96"/>
  <c r="P1123" i="96"/>
  <c r="P1124" i="96"/>
  <c r="P1125" i="96"/>
  <c r="P1126" i="96"/>
  <c r="P1127" i="96"/>
  <c r="P1128" i="96"/>
  <c r="P1129" i="96"/>
  <c r="P1130" i="96"/>
  <c r="P1131" i="96"/>
  <c r="P1132" i="96"/>
  <c r="P1133" i="96"/>
  <c r="P1134" i="96"/>
  <c r="P1135" i="96"/>
  <c r="P1136" i="96"/>
  <c r="P1137" i="96"/>
  <c r="P1138" i="96"/>
  <c r="P1139" i="96"/>
  <c r="P1140" i="96"/>
  <c r="P1141" i="96"/>
  <c r="P1142" i="96"/>
  <c r="P1143" i="96"/>
  <c r="P1144" i="96"/>
  <c r="P1145" i="96"/>
  <c r="P1146" i="96"/>
  <c r="P1147" i="96"/>
  <c r="P1148" i="96"/>
  <c r="P1149" i="96"/>
  <c r="P1150" i="96"/>
  <c r="P1151" i="96"/>
  <c r="P1152" i="96"/>
  <c r="P1153" i="96"/>
  <c r="P1154" i="96"/>
  <c r="P1155" i="96"/>
  <c r="P1156" i="96"/>
  <c r="P1157" i="96"/>
  <c r="P1158" i="96"/>
  <c r="P1159" i="96"/>
  <c r="P1160" i="96"/>
  <c r="P1161" i="96"/>
  <c r="P1162" i="96"/>
  <c r="P1163" i="96"/>
  <c r="P1164" i="96"/>
  <c r="P1165" i="96"/>
  <c r="P1166" i="96"/>
  <c r="P1167" i="96"/>
  <c r="P1168" i="96"/>
  <c r="P1169" i="96"/>
  <c r="P1170" i="96"/>
  <c r="P1171" i="96"/>
  <c r="P1172" i="96"/>
  <c r="P1173" i="96"/>
  <c r="P1174" i="96"/>
  <c r="P1175" i="96"/>
  <c r="P1176" i="96"/>
  <c r="P1177" i="96"/>
  <c r="P1178" i="96"/>
  <c r="P1179" i="96"/>
  <c r="P1180" i="96"/>
  <c r="P1181" i="96"/>
  <c r="P1182" i="96"/>
  <c r="P1183" i="96"/>
  <c r="P1184" i="96"/>
  <c r="P1185" i="96"/>
  <c r="P1186" i="96"/>
  <c r="P1187" i="96"/>
  <c r="P1188" i="96"/>
  <c r="P1189" i="96"/>
  <c r="P1190" i="96"/>
  <c r="P1191" i="96"/>
  <c r="P1192" i="96"/>
  <c r="P1193" i="96"/>
  <c r="P1194" i="96"/>
  <c r="P1195" i="96"/>
  <c r="P1196" i="96"/>
  <c r="P1197" i="96"/>
  <c r="P1198" i="96"/>
  <c r="P1199" i="96"/>
  <c r="P1200" i="96"/>
  <c r="P1201" i="96"/>
  <c r="P1202" i="96"/>
  <c r="P1203" i="96"/>
  <c r="P1204" i="96"/>
  <c r="P1205" i="96"/>
  <c r="P1206" i="96"/>
  <c r="P1207" i="96"/>
  <c r="P1208" i="96"/>
  <c r="P1209" i="96"/>
  <c r="P1210" i="96"/>
  <c r="P1211" i="96"/>
  <c r="P1212" i="96"/>
  <c r="P1213" i="96"/>
  <c r="P1214" i="96"/>
  <c r="P1215" i="96"/>
  <c r="P1216" i="96"/>
  <c r="P1217" i="96"/>
  <c r="P1218" i="96"/>
  <c r="P1219" i="96"/>
  <c r="P1220" i="96"/>
  <c r="P1221" i="96"/>
  <c r="P1222" i="96"/>
  <c r="P1223" i="96"/>
  <c r="P1224" i="96"/>
  <c r="P1225" i="96"/>
  <c r="P1226" i="96"/>
  <c r="P1227" i="96"/>
  <c r="P1228" i="96"/>
  <c r="P1229" i="96"/>
  <c r="P1230" i="96"/>
  <c r="P1231" i="96"/>
  <c r="P1232" i="96"/>
  <c r="P1233" i="96"/>
  <c r="P1234" i="96"/>
  <c r="P1235" i="96"/>
  <c r="P1236" i="96"/>
  <c r="P1237" i="96"/>
  <c r="P1238" i="96"/>
  <c r="P1239" i="96"/>
  <c r="P1240" i="96"/>
  <c r="P1241" i="96"/>
  <c r="P1242" i="96"/>
  <c r="P1243" i="96"/>
  <c r="P1244" i="96"/>
  <c r="P1245" i="96"/>
  <c r="P1246" i="96"/>
  <c r="P1247" i="96"/>
  <c r="P1248" i="96"/>
  <c r="P1249" i="96"/>
  <c r="P1250" i="96"/>
  <c r="P1251" i="96"/>
  <c r="P1252" i="96"/>
  <c r="P1253" i="96"/>
  <c r="P1254" i="96"/>
  <c r="P1255" i="96"/>
  <c r="P1256" i="96"/>
  <c r="P1257" i="96"/>
  <c r="P1258" i="96"/>
  <c r="P1259" i="96"/>
  <c r="P1260" i="96"/>
  <c r="P1261" i="96"/>
  <c r="P1262" i="96"/>
  <c r="P1263" i="96"/>
  <c r="P1264" i="96"/>
  <c r="P1265" i="96"/>
  <c r="P1266" i="96"/>
  <c r="P1267" i="96"/>
  <c r="P1268" i="96"/>
  <c r="P1269" i="96"/>
  <c r="P1270" i="96"/>
  <c r="P1271" i="96"/>
  <c r="P1272" i="96"/>
  <c r="P1273" i="96"/>
  <c r="P1274" i="96"/>
  <c r="P1275" i="96"/>
  <c r="P1276" i="96"/>
  <c r="P1277" i="96"/>
  <c r="P1278" i="96"/>
  <c r="P1279" i="96"/>
  <c r="P1280" i="96"/>
  <c r="P1281" i="96"/>
  <c r="P1282" i="96"/>
  <c r="P1283" i="96"/>
  <c r="P1284" i="96"/>
  <c r="P1285" i="96"/>
  <c r="P1286" i="96"/>
  <c r="P1287" i="96"/>
  <c r="P1288" i="96"/>
  <c r="P1289" i="96"/>
  <c r="P468" i="96"/>
  <c r="P467" i="96"/>
  <c r="P466" i="96"/>
  <c r="P465" i="96"/>
  <c r="P464" i="96"/>
  <c r="P463" i="96"/>
  <c r="P462" i="96"/>
  <c r="P461" i="96"/>
  <c r="P460" i="96"/>
  <c r="P459" i="96"/>
  <c r="P458" i="96"/>
  <c r="P457" i="96"/>
  <c r="P456" i="96"/>
  <c r="P455" i="96"/>
  <c r="P454" i="96"/>
  <c r="P453" i="96"/>
  <c r="P452" i="96"/>
  <c r="P451" i="96"/>
  <c r="P450" i="96"/>
  <c r="P449" i="96"/>
  <c r="P448" i="96"/>
  <c r="P447" i="96"/>
  <c r="P446" i="96"/>
  <c r="P445" i="96"/>
  <c r="P444" i="96"/>
  <c r="P443" i="96"/>
  <c r="P442" i="96"/>
  <c r="P441" i="96"/>
  <c r="P440" i="96"/>
  <c r="P439" i="96"/>
  <c r="P438" i="96"/>
  <c r="P437" i="96"/>
  <c r="P436" i="96"/>
  <c r="P435" i="96"/>
  <c r="P434" i="96"/>
  <c r="P433" i="96"/>
  <c r="P432" i="96"/>
  <c r="P431" i="96"/>
  <c r="P430" i="96"/>
  <c r="P429" i="96"/>
  <c r="P428" i="96"/>
  <c r="P427" i="96"/>
  <c r="P426" i="96"/>
  <c r="P425" i="96"/>
  <c r="P424" i="96"/>
  <c r="P423" i="96"/>
  <c r="P422" i="96"/>
  <c r="P421" i="96"/>
  <c r="P420" i="96"/>
  <c r="P419" i="96"/>
  <c r="P418" i="96"/>
  <c r="P417" i="96"/>
  <c r="P416" i="96"/>
  <c r="P415" i="96"/>
  <c r="P414" i="96"/>
  <c r="P413" i="96"/>
  <c r="P412" i="96"/>
  <c r="P411" i="96"/>
  <c r="P410" i="96"/>
  <c r="P409" i="96"/>
  <c r="P408" i="96"/>
  <c r="P407" i="96"/>
  <c r="P406" i="96"/>
  <c r="P405" i="96"/>
  <c r="P404" i="96"/>
  <c r="P403" i="96"/>
  <c r="P402" i="96"/>
  <c r="P401" i="96"/>
  <c r="P400" i="96"/>
  <c r="P399" i="96"/>
  <c r="P398" i="96"/>
  <c r="P397" i="96"/>
  <c r="P396" i="96"/>
  <c r="P395" i="96"/>
  <c r="P394" i="96"/>
  <c r="P393" i="96"/>
  <c r="P392" i="96"/>
  <c r="P391" i="96"/>
  <c r="P390" i="96"/>
  <c r="P389" i="96"/>
  <c r="P388" i="96"/>
  <c r="P387" i="96"/>
  <c r="P386" i="96"/>
  <c r="P385" i="96"/>
  <c r="P384" i="96"/>
  <c r="P383" i="96"/>
  <c r="P382" i="96"/>
  <c r="P381" i="96"/>
  <c r="P380" i="96"/>
  <c r="P379" i="96"/>
  <c r="P378" i="96"/>
  <c r="P377" i="96"/>
  <c r="P376" i="96"/>
  <c r="P375" i="96"/>
  <c r="P374" i="96"/>
  <c r="P373" i="96"/>
  <c r="P372" i="96"/>
  <c r="P371" i="96"/>
  <c r="P370" i="96"/>
  <c r="P369" i="96"/>
  <c r="P368" i="96"/>
  <c r="P367" i="96"/>
  <c r="P366" i="96"/>
  <c r="P365" i="96"/>
  <c r="P364" i="96"/>
  <c r="P363" i="96"/>
  <c r="P362" i="96"/>
  <c r="P361" i="96"/>
  <c r="P360" i="96"/>
  <c r="P359" i="96"/>
  <c r="P358" i="96"/>
  <c r="P357" i="96"/>
  <c r="P356" i="96"/>
  <c r="P355" i="96"/>
  <c r="P354" i="96"/>
  <c r="P353" i="96"/>
  <c r="P352" i="96"/>
  <c r="P351" i="96"/>
  <c r="P350" i="96"/>
  <c r="P349" i="96"/>
  <c r="P348" i="96"/>
  <c r="P347" i="96"/>
  <c r="P346" i="96"/>
  <c r="P345" i="96"/>
  <c r="P344" i="96"/>
  <c r="P343" i="96"/>
  <c r="P342" i="96"/>
  <c r="P341" i="96"/>
  <c r="P340" i="96"/>
  <c r="P339" i="96"/>
  <c r="P338" i="96"/>
  <c r="P337" i="96"/>
  <c r="P336" i="96"/>
  <c r="P335" i="96"/>
  <c r="P334" i="96"/>
  <c r="P333" i="96"/>
  <c r="P332" i="96"/>
  <c r="P331" i="96"/>
  <c r="P330" i="96"/>
  <c r="P329" i="96"/>
  <c r="P328" i="96"/>
  <c r="P327" i="96"/>
  <c r="P326" i="96"/>
  <c r="P325" i="96"/>
  <c r="P324" i="96"/>
  <c r="P323" i="96"/>
  <c r="P322" i="96"/>
  <c r="P321" i="96"/>
  <c r="P320" i="96"/>
  <c r="P319" i="96"/>
  <c r="P318" i="96"/>
  <c r="P317" i="96"/>
  <c r="P316" i="96"/>
  <c r="P315" i="96"/>
  <c r="P314" i="96"/>
  <c r="P313" i="96"/>
  <c r="P312" i="96"/>
  <c r="P311" i="96"/>
  <c r="P310" i="96"/>
  <c r="P309" i="96"/>
  <c r="P308" i="96"/>
  <c r="P307" i="96"/>
  <c r="P306" i="96"/>
  <c r="P305" i="96"/>
  <c r="P304" i="96"/>
  <c r="P303" i="96"/>
  <c r="P302" i="96"/>
  <c r="P301" i="96"/>
  <c r="P300" i="96"/>
  <c r="P299" i="96"/>
  <c r="P298" i="96"/>
  <c r="P297" i="96"/>
  <c r="P296" i="96"/>
  <c r="P295" i="96"/>
  <c r="P294" i="96"/>
  <c r="P293" i="96"/>
  <c r="P292" i="96"/>
  <c r="P291" i="96"/>
  <c r="P290" i="96"/>
  <c r="P289" i="96"/>
  <c r="P288" i="96"/>
  <c r="P287" i="96"/>
  <c r="P286" i="96"/>
  <c r="P285" i="96"/>
  <c r="P284" i="96"/>
  <c r="P283" i="96"/>
  <c r="P282" i="96"/>
  <c r="P281" i="96"/>
  <c r="P280" i="96"/>
  <c r="P279" i="96"/>
  <c r="P278" i="96"/>
  <c r="P277" i="96"/>
  <c r="P276" i="96"/>
  <c r="P275" i="96"/>
  <c r="P274" i="96"/>
  <c r="P273" i="96"/>
  <c r="P272" i="96"/>
  <c r="P271" i="96"/>
  <c r="P270" i="96"/>
  <c r="P269" i="96"/>
  <c r="P268" i="96"/>
  <c r="P267" i="96"/>
  <c r="P266" i="96"/>
  <c r="P265" i="96"/>
  <c r="P264" i="96"/>
  <c r="P263" i="96"/>
  <c r="P262" i="96"/>
  <c r="P261" i="96"/>
  <c r="P260" i="96"/>
  <c r="P259" i="96"/>
  <c r="P258" i="96"/>
  <c r="P257" i="96"/>
  <c r="P256" i="96"/>
  <c r="P255" i="96"/>
  <c r="P254" i="96"/>
  <c r="P253" i="96"/>
  <c r="P252" i="96"/>
  <c r="P251" i="96"/>
  <c r="P250" i="96"/>
  <c r="P249" i="96"/>
  <c r="P248" i="96"/>
  <c r="P247" i="96"/>
  <c r="P246" i="96"/>
  <c r="P245" i="96"/>
  <c r="P244" i="96"/>
  <c r="P243" i="96"/>
  <c r="P242" i="96"/>
  <c r="P241" i="96"/>
  <c r="P240" i="96"/>
  <c r="P239" i="96"/>
  <c r="P238" i="96"/>
  <c r="P237" i="96"/>
  <c r="P236" i="96"/>
  <c r="P235" i="96"/>
  <c r="P234" i="96"/>
  <c r="P233" i="96"/>
  <c r="P232" i="96"/>
  <c r="P231" i="96"/>
  <c r="P230" i="96"/>
  <c r="P229" i="96"/>
  <c r="P228" i="96"/>
  <c r="P227" i="96"/>
  <c r="P226" i="96"/>
  <c r="P225" i="96"/>
  <c r="P224" i="96"/>
  <c r="P223" i="96"/>
  <c r="P222" i="96"/>
  <c r="P221" i="96"/>
  <c r="P220" i="96"/>
  <c r="P219" i="96"/>
  <c r="P218" i="96"/>
  <c r="P217" i="96"/>
  <c r="P216" i="96"/>
  <c r="P215" i="96"/>
  <c r="P214" i="96"/>
  <c r="P213" i="96"/>
  <c r="P212" i="96"/>
  <c r="P211" i="96"/>
  <c r="P210" i="96"/>
  <c r="P209" i="96"/>
  <c r="P208" i="96"/>
  <c r="P207" i="96"/>
  <c r="P206" i="96"/>
  <c r="P205" i="96"/>
  <c r="P204" i="96"/>
  <c r="P203" i="96"/>
  <c r="P202" i="96"/>
  <c r="P201" i="96"/>
  <c r="P200" i="96"/>
  <c r="P199" i="96"/>
  <c r="P198" i="96"/>
  <c r="P197" i="96"/>
  <c r="P196" i="96"/>
  <c r="P195" i="96"/>
  <c r="P194" i="96"/>
  <c r="P193" i="96"/>
  <c r="P192" i="96"/>
  <c r="P191" i="96"/>
  <c r="P190" i="96"/>
  <c r="P189" i="96"/>
  <c r="P188" i="96"/>
  <c r="P187" i="96"/>
  <c r="P186" i="96"/>
  <c r="P185" i="96"/>
  <c r="P184" i="96"/>
  <c r="P183" i="96"/>
  <c r="P182" i="96"/>
  <c r="P181" i="96"/>
  <c r="P180" i="96"/>
  <c r="P179" i="96"/>
  <c r="P178" i="96"/>
  <c r="P177" i="96"/>
  <c r="P176" i="96"/>
  <c r="P175" i="96"/>
  <c r="P174" i="96"/>
  <c r="P173" i="96"/>
  <c r="P172" i="96"/>
  <c r="P171" i="96"/>
  <c r="P170" i="96"/>
  <c r="P169" i="96"/>
  <c r="P168" i="96"/>
  <c r="P167" i="96"/>
  <c r="P166" i="96"/>
  <c r="P165" i="96"/>
  <c r="P164" i="96"/>
  <c r="P163" i="96"/>
  <c r="P162" i="96"/>
  <c r="P161" i="96"/>
  <c r="P160" i="96"/>
  <c r="P159" i="96"/>
  <c r="P158" i="96"/>
  <c r="P157" i="96"/>
  <c r="P156" i="96"/>
  <c r="P155" i="96"/>
  <c r="P154" i="96"/>
  <c r="P153" i="96"/>
  <c r="P152" i="96"/>
  <c r="P151" i="96"/>
  <c r="P150" i="96"/>
  <c r="P149" i="96"/>
  <c r="P148" i="96"/>
  <c r="P147" i="96"/>
  <c r="P146" i="96"/>
  <c r="P145" i="96"/>
  <c r="P144" i="96"/>
  <c r="P143" i="96"/>
  <c r="P142" i="96"/>
  <c r="P141" i="96"/>
  <c r="P140" i="96"/>
  <c r="P139" i="96"/>
  <c r="P138" i="96"/>
  <c r="P137" i="96"/>
  <c r="P136" i="96"/>
  <c r="P135" i="96"/>
  <c r="P134" i="96"/>
  <c r="P133" i="96"/>
  <c r="P132" i="96"/>
  <c r="P131" i="96"/>
  <c r="P130" i="96"/>
  <c r="P129" i="96"/>
  <c r="P128" i="96"/>
  <c r="P127" i="96"/>
  <c r="P126" i="96"/>
  <c r="P125" i="96"/>
  <c r="P124" i="96"/>
  <c r="P123" i="96"/>
  <c r="P122" i="96"/>
  <c r="P121" i="96"/>
  <c r="P120" i="96"/>
  <c r="P119" i="96"/>
  <c r="P118" i="96"/>
  <c r="P117" i="96"/>
  <c r="P116" i="96"/>
  <c r="P115" i="96"/>
  <c r="P114" i="96"/>
  <c r="P113" i="96"/>
  <c r="P112" i="96"/>
  <c r="P111" i="96"/>
  <c r="P110" i="96"/>
  <c r="P109" i="96"/>
  <c r="P108" i="96"/>
  <c r="P107" i="96"/>
  <c r="P106" i="96"/>
  <c r="P105" i="96"/>
  <c r="P104" i="96"/>
  <c r="P103" i="96"/>
  <c r="P102" i="96"/>
  <c r="P101" i="96"/>
  <c r="P100" i="96"/>
  <c r="P99" i="96"/>
  <c r="P98" i="96"/>
  <c r="P97" i="96"/>
  <c r="P96" i="96"/>
  <c r="P95" i="96"/>
  <c r="P94" i="96"/>
  <c r="P93" i="96"/>
  <c r="P92" i="96"/>
  <c r="P91" i="96"/>
  <c r="P90" i="96"/>
  <c r="P89" i="96"/>
  <c r="P88" i="96"/>
  <c r="P87" i="96"/>
  <c r="P86" i="96"/>
  <c r="P85" i="96"/>
  <c r="P84" i="96"/>
  <c r="P83" i="96"/>
  <c r="P82" i="96"/>
  <c r="P81" i="96"/>
  <c r="P80" i="96"/>
  <c r="P79" i="96"/>
  <c r="P78" i="96"/>
  <c r="P77" i="96"/>
  <c r="P76" i="96"/>
  <c r="P75" i="96"/>
  <c r="P14" i="96"/>
  <c r="P15" i="96"/>
  <c r="P16" i="96"/>
  <c r="P17" i="96"/>
  <c r="P18" i="96"/>
  <c r="P19" i="96"/>
  <c r="P20" i="96"/>
  <c r="P21" i="96"/>
  <c r="P22" i="96"/>
  <c r="P23" i="96"/>
  <c r="P24" i="96"/>
  <c r="P25" i="96"/>
  <c r="P26" i="96"/>
  <c r="P27" i="96"/>
  <c r="P28" i="96"/>
  <c r="P29" i="96"/>
  <c r="P30" i="96"/>
  <c r="P31" i="96"/>
  <c r="P32" i="96"/>
  <c r="P33" i="96"/>
  <c r="P34" i="96"/>
  <c r="P35" i="96"/>
  <c r="P36" i="96"/>
  <c r="P37" i="96"/>
  <c r="P38" i="96"/>
  <c r="P39" i="96"/>
  <c r="P40" i="96"/>
  <c r="P41" i="96"/>
  <c r="P42" i="96"/>
  <c r="P43" i="96"/>
  <c r="P44" i="96"/>
  <c r="P45" i="96"/>
  <c r="P46" i="96"/>
  <c r="P47" i="96"/>
  <c r="P48" i="96"/>
  <c r="P49" i="96"/>
  <c r="P50" i="96"/>
  <c r="P51" i="96"/>
  <c r="P52" i="96"/>
  <c r="P53" i="96"/>
  <c r="P54" i="96"/>
  <c r="P55" i="96"/>
  <c r="P56" i="96"/>
  <c r="P57" i="96"/>
  <c r="P58" i="96"/>
  <c r="P59" i="96"/>
  <c r="P60" i="96"/>
  <c r="P61" i="96"/>
  <c r="P62" i="96"/>
  <c r="P63" i="96"/>
  <c r="P64" i="96"/>
  <c r="P65" i="96"/>
  <c r="P66" i="96"/>
  <c r="P67" i="96"/>
  <c r="P68" i="96"/>
  <c r="P69" i="96"/>
  <c r="P70" i="96"/>
  <c r="P71" i="96"/>
  <c r="P72" i="96"/>
  <c r="P73" i="96"/>
  <c r="P13" i="96"/>
  <c r="C19" i="55"/>
  <c r="M56" i="98"/>
  <c r="L58" i="98"/>
  <c r="J58" i="98"/>
  <c r="H58" i="98"/>
  <c r="G58" i="98"/>
  <c r="F58" i="98"/>
  <c r="D58" i="98"/>
  <c r="M55" i="98"/>
  <c r="A52" i="98"/>
  <c r="A51" i="98"/>
  <c r="A50" i="98"/>
  <c r="A49" i="98"/>
  <c r="G15" i="98" s="1"/>
  <c r="A48" i="98"/>
  <c r="A47" i="98"/>
  <c r="A46" i="98"/>
  <c r="A45" i="98"/>
  <c r="A44" i="98"/>
  <c r="A43" i="98"/>
  <c r="A42" i="98"/>
  <c r="L35" i="98"/>
  <c r="M33" i="98"/>
  <c r="J35" i="98"/>
  <c r="M31" i="98"/>
  <c r="N31" i="98" s="1"/>
  <c r="A28" i="98"/>
  <c r="A27" i="98"/>
  <c r="A26" i="98"/>
  <c r="A25" i="98"/>
  <c r="A24" i="98"/>
  <c r="A23" i="98"/>
  <c r="A22" i="98"/>
  <c r="A21" i="98"/>
  <c r="A20" i="98"/>
  <c r="A19" i="98"/>
  <c r="A18" i="98"/>
  <c r="F66" i="34"/>
  <c r="D107" i="6"/>
  <c r="C43" i="47"/>
  <c r="F12" i="47" s="1"/>
  <c r="G12" i="47" s="1"/>
  <c r="H12" i="47" s="1"/>
  <c r="I12" i="47" s="1"/>
  <c r="J12" i="47" s="1"/>
  <c r="K12" i="47" s="1"/>
  <c r="L12" i="47" s="1"/>
  <c r="M12" i="47" s="1"/>
  <c r="N12" i="47" s="1"/>
  <c r="O12" i="47" s="1"/>
  <c r="P12" i="47" s="1"/>
  <c r="Q12" i="47" s="1"/>
  <c r="R12" i="47" s="1"/>
  <c r="E41" i="66"/>
  <c r="B2" i="47"/>
  <c r="D130" i="6"/>
  <c r="E15" i="87"/>
  <c r="D15" i="87"/>
  <c r="F15" i="87"/>
  <c r="G15" i="87"/>
  <c r="H15" i="87"/>
  <c r="B16" i="44"/>
  <c r="B15" i="44"/>
  <c r="D118" i="6"/>
  <c r="D116" i="6"/>
  <c r="D110" i="6"/>
  <c r="D108" i="6"/>
  <c r="D94" i="6"/>
  <c r="D92" i="6"/>
  <c r="D86" i="6"/>
  <c r="D78" i="6"/>
  <c r="D71" i="6"/>
  <c r="D63" i="6"/>
  <c r="D55" i="6"/>
  <c r="D47" i="6"/>
  <c r="D39" i="6"/>
  <c r="D31" i="6"/>
  <c r="G98" i="66"/>
  <c r="E14" i="47"/>
  <c r="G46" i="59"/>
  <c r="I84" i="34"/>
  <c r="G59" i="34"/>
  <c r="D93" i="87"/>
  <c r="E91" i="87" s="1"/>
  <c r="E93" i="87" s="1"/>
  <c r="F91" i="87" s="1"/>
  <c r="F93" i="87" s="1"/>
  <c r="G91" i="87" s="1"/>
  <c r="G93" i="87" s="1"/>
  <c r="H91" i="87" s="1"/>
  <c r="H93" i="87" s="1"/>
  <c r="D90" i="87"/>
  <c r="E86" i="87" s="1"/>
  <c r="E90" i="87" s="1"/>
  <c r="F86" i="87" s="1"/>
  <c r="F90" i="87" s="1"/>
  <c r="G86" i="87" s="1"/>
  <c r="G90" i="87" s="1"/>
  <c r="H86" i="87" s="1"/>
  <c r="H90" i="87" s="1"/>
  <c r="D84" i="87"/>
  <c r="E80" i="87" s="1"/>
  <c r="E84" i="87" s="1"/>
  <c r="D29" i="87"/>
  <c r="E25" i="87" s="1"/>
  <c r="E29" i="87" s="1"/>
  <c r="F25" i="87" s="1"/>
  <c r="F29" i="87" s="1"/>
  <c r="G25" i="87" s="1"/>
  <c r="G29" i="87" s="1"/>
  <c r="H25" i="87" s="1"/>
  <c r="H29" i="87" s="1"/>
  <c r="D20" i="87"/>
  <c r="D23" i="87" s="1"/>
  <c r="I35" i="16"/>
  <c r="I34" i="16"/>
  <c r="I33" i="16"/>
  <c r="I32" i="16"/>
  <c r="I31" i="16"/>
  <c r="I30" i="16"/>
  <c r="I29" i="16"/>
  <c r="I28" i="16"/>
  <c r="I27" i="16"/>
  <c r="I22" i="16"/>
  <c r="E41" i="76" s="1"/>
  <c r="I21" i="16"/>
  <c r="I20" i="16"/>
  <c r="E39" i="76" s="1"/>
  <c r="I19" i="16"/>
  <c r="E38" i="76" s="1"/>
  <c r="I17" i="16"/>
  <c r="I16" i="16"/>
  <c r="E35" i="76" s="1"/>
  <c r="I15" i="16"/>
  <c r="E34" i="76" s="1"/>
  <c r="H35" i="16"/>
  <c r="H34" i="16"/>
  <c r="J34" i="16" s="1"/>
  <c r="H33" i="16"/>
  <c r="H32" i="16"/>
  <c r="H31" i="16"/>
  <c r="H30" i="16"/>
  <c r="H29" i="16"/>
  <c r="H28" i="16"/>
  <c r="H27" i="16"/>
  <c r="F23" i="16"/>
  <c r="F36" i="16" s="1"/>
  <c r="H41" i="45"/>
  <c r="H40" i="45"/>
  <c r="H39" i="45"/>
  <c r="H38" i="45"/>
  <c r="H37" i="45"/>
  <c r="H36" i="45"/>
  <c r="H35" i="45"/>
  <c r="H34" i="45"/>
  <c r="H33" i="45"/>
  <c r="H32" i="45"/>
  <c r="H31" i="45"/>
  <c r="H30" i="45"/>
  <c r="H29" i="45"/>
  <c r="H28" i="45"/>
  <c r="H27" i="45"/>
  <c r="H26" i="45"/>
  <c r="H25" i="45"/>
  <c r="H24" i="45"/>
  <c r="H23" i="45"/>
  <c r="H22" i="45"/>
  <c r="H21" i="45"/>
  <c r="H20" i="45"/>
  <c r="H19" i="45"/>
  <c r="H18" i="45"/>
  <c r="H17" i="45"/>
  <c r="H16" i="45"/>
  <c r="H15" i="45"/>
  <c r="G18" i="45"/>
  <c r="G17" i="45"/>
  <c r="G16" i="45"/>
  <c r="E42" i="45"/>
  <c r="D29" i="57"/>
  <c r="D15" i="76" s="1"/>
  <c r="F15" i="76" s="1"/>
  <c r="C17" i="57"/>
  <c r="D14" i="76" s="1"/>
  <c r="D17" i="57"/>
  <c r="E14" i="76" s="1"/>
  <c r="E16" i="57"/>
  <c r="E15" i="57"/>
  <c r="E14" i="57"/>
  <c r="E13" i="57"/>
  <c r="E12" i="57"/>
  <c r="E11" i="57"/>
  <c r="H18" i="76"/>
  <c r="J23" i="56" s="1"/>
  <c r="H150" i="80"/>
  <c r="H151" i="80"/>
  <c r="H152" i="80"/>
  <c r="H153" i="80"/>
  <c r="H154" i="80"/>
  <c r="H155" i="80"/>
  <c r="H156" i="80"/>
  <c r="H157" i="80"/>
  <c r="H158" i="80"/>
  <c r="H138" i="80"/>
  <c r="H139" i="80"/>
  <c r="H140" i="80"/>
  <c r="H141" i="80"/>
  <c r="H142" i="80"/>
  <c r="H143" i="80"/>
  <c r="H144" i="80"/>
  <c r="H145" i="80"/>
  <c r="H146" i="80"/>
  <c r="E150" i="80"/>
  <c r="E151" i="80"/>
  <c r="E152" i="80"/>
  <c r="E153" i="80"/>
  <c r="E154" i="80"/>
  <c r="E155" i="80"/>
  <c r="E156" i="80"/>
  <c r="E157" i="80"/>
  <c r="E158" i="80"/>
  <c r="D150" i="80"/>
  <c r="D151" i="80"/>
  <c r="D152" i="80"/>
  <c r="D153" i="80"/>
  <c r="D154" i="80"/>
  <c r="D155" i="80"/>
  <c r="D156" i="80"/>
  <c r="D157" i="80"/>
  <c r="D158" i="80"/>
  <c r="F117" i="80"/>
  <c r="F118" i="80"/>
  <c r="F119" i="80"/>
  <c r="F120" i="80"/>
  <c r="F121" i="80"/>
  <c r="F122" i="80"/>
  <c r="F123" i="80"/>
  <c r="F124" i="80"/>
  <c r="F125" i="80"/>
  <c r="E105" i="80"/>
  <c r="E106" i="80"/>
  <c r="E107" i="80"/>
  <c r="E108" i="80"/>
  <c r="E109" i="80"/>
  <c r="E110" i="80"/>
  <c r="E111" i="80"/>
  <c r="E112" i="80"/>
  <c r="E113" i="80"/>
  <c r="E80" i="80"/>
  <c r="E81" i="80"/>
  <c r="E82" i="80"/>
  <c r="E83" i="80"/>
  <c r="E84" i="80"/>
  <c r="E85" i="80"/>
  <c r="E86" i="80"/>
  <c r="E87" i="80"/>
  <c r="E88" i="80"/>
  <c r="D77" i="87"/>
  <c r="E73" i="87" s="1"/>
  <c r="E77" i="87" s="1"/>
  <c r="F73" i="87" s="1"/>
  <c r="F77" i="87" s="1"/>
  <c r="G73" i="87" s="1"/>
  <c r="G77" i="87" s="1"/>
  <c r="H73" i="87" s="1"/>
  <c r="H77" i="87" s="1"/>
  <c r="D71" i="87"/>
  <c r="E67" i="87" s="1"/>
  <c r="E71" i="87" s="1"/>
  <c r="F67" i="87" s="1"/>
  <c r="F71" i="87" s="1"/>
  <c r="G67" i="87" s="1"/>
  <c r="G71" i="87" s="1"/>
  <c r="H67" i="87" s="1"/>
  <c r="H71" i="87" s="1"/>
  <c r="D65" i="87"/>
  <c r="E61" i="87" s="1"/>
  <c r="E65" i="87" s="1"/>
  <c r="F61" i="87" s="1"/>
  <c r="F65" i="87" s="1"/>
  <c r="G61" i="87" s="1"/>
  <c r="G65" i="87" s="1"/>
  <c r="H61" i="87" s="1"/>
  <c r="H65" i="87" s="1"/>
  <c r="D59" i="87"/>
  <c r="E55" i="87" s="1"/>
  <c r="E59" i="87" s="1"/>
  <c r="F55" i="87" s="1"/>
  <c r="F59" i="87" s="1"/>
  <c r="G55" i="87" s="1"/>
  <c r="G59" i="87" s="1"/>
  <c r="H55" i="87" s="1"/>
  <c r="H59" i="87" s="1"/>
  <c r="D53" i="87"/>
  <c r="E49" i="87" s="1"/>
  <c r="E53" i="87" s="1"/>
  <c r="F49" i="87" s="1"/>
  <c r="F53" i="87" s="1"/>
  <c r="G49" i="87" s="1"/>
  <c r="G53" i="87" s="1"/>
  <c r="H49" i="87" s="1"/>
  <c r="H53" i="87" s="1"/>
  <c r="D47" i="87"/>
  <c r="E43" i="87" s="1"/>
  <c r="E47" i="87" s="1"/>
  <c r="F43" i="87" s="1"/>
  <c r="F47" i="87" s="1"/>
  <c r="G43" i="87" s="1"/>
  <c r="G47" i="87" s="1"/>
  <c r="H43" i="87" s="1"/>
  <c r="H47" i="87" s="1"/>
  <c r="D41" i="87"/>
  <c r="E37" i="87" s="1"/>
  <c r="E41" i="87" s="1"/>
  <c r="F37" i="87" s="1"/>
  <c r="F41" i="87" s="1"/>
  <c r="G37" i="87" s="1"/>
  <c r="G41" i="87" s="1"/>
  <c r="H37" i="87" s="1"/>
  <c r="H41" i="87" s="1"/>
  <c r="D35" i="87"/>
  <c r="E31" i="87" s="1"/>
  <c r="E35" i="87" s="1"/>
  <c r="F31" i="87" s="1"/>
  <c r="F35" i="87" s="1"/>
  <c r="G31" i="87" s="1"/>
  <c r="G35" i="87" s="1"/>
  <c r="H31" i="87" s="1"/>
  <c r="H35" i="87" s="1"/>
  <c r="C4" i="87"/>
  <c r="F36" i="47"/>
  <c r="C3" i="87"/>
  <c r="D42" i="74"/>
  <c r="E23" i="47"/>
  <c r="F28" i="47"/>
  <c r="F20" i="47"/>
  <c r="E15" i="47"/>
  <c r="B43" i="74"/>
  <c r="B44" i="74" s="1"/>
  <c r="C3" i="84"/>
  <c r="C3" i="66"/>
  <c r="C3" i="47"/>
  <c r="C3" i="59"/>
  <c r="C3" i="34"/>
  <c r="C3" i="63"/>
  <c r="C3" i="55"/>
  <c r="C3" i="6"/>
  <c r="C3" i="16"/>
  <c r="C3" i="45"/>
  <c r="C3" i="57"/>
  <c r="C3" i="56"/>
  <c r="C3" i="76"/>
  <c r="C3" i="5"/>
  <c r="C3" i="44"/>
  <c r="C3" i="82"/>
  <c r="C3" i="69"/>
  <c r="D3" i="4"/>
  <c r="C3" i="74"/>
  <c r="C3" i="80"/>
  <c r="J78" i="56"/>
  <c r="J35" i="56"/>
  <c r="J31" i="56" s="1"/>
  <c r="E149" i="80"/>
  <c r="D149" i="80"/>
  <c r="H21" i="76"/>
  <c r="E32" i="76"/>
  <c r="F66" i="56" s="1"/>
  <c r="H32" i="76"/>
  <c r="J66" i="56" s="1"/>
  <c r="H43" i="76"/>
  <c r="G17" i="59"/>
  <c r="L57" i="34"/>
  <c r="N57" i="34" s="1"/>
  <c r="Q57" i="34" s="1"/>
  <c r="G36" i="47"/>
  <c r="H36" i="47"/>
  <c r="I36" i="47"/>
  <c r="J36" i="47"/>
  <c r="K36" i="47"/>
  <c r="L36" i="47"/>
  <c r="M36" i="47"/>
  <c r="N36" i="47"/>
  <c r="O36" i="47"/>
  <c r="P36" i="47"/>
  <c r="Q36" i="47"/>
  <c r="R36" i="47"/>
  <c r="S36" i="47"/>
  <c r="T36" i="47"/>
  <c r="U36" i="47"/>
  <c r="V36" i="47"/>
  <c r="W36" i="47"/>
  <c r="X36" i="47"/>
  <c r="Y36" i="47"/>
  <c r="Z36" i="47"/>
  <c r="AA36" i="47"/>
  <c r="AB36" i="47"/>
  <c r="AC36" i="47"/>
  <c r="AD36" i="47"/>
  <c r="AE36" i="47"/>
  <c r="AF36" i="47"/>
  <c r="AG36" i="47"/>
  <c r="AH36" i="47"/>
  <c r="AI36" i="47"/>
  <c r="AJ36" i="47"/>
  <c r="AK36" i="47"/>
  <c r="AL36" i="47"/>
  <c r="AM36" i="47"/>
  <c r="AN36" i="47"/>
  <c r="AO36" i="47"/>
  <c r="AP36" i="47"/>
  <c r="AQ36" i="47"/>
  <c r="AR36" i="47"/>
  <c r="AS36" i="47"/>
  <c r="AT36" i="47"/>
  <c r="AU36" i="47"/>
  <c r="AV36" i="47"/>
  <c r="AW36" i="47"/>
  <c r="AX36" i="47"/>
  <c r="AY36" i="47"/>
  <c r="AZ36" i="47"/>
  <c r="BA36" i="47"/>
  <c r="BB36" i="47"/>
  <c r="BC36" i="47"/>
  <c r="BD36" i="47"/>
  <c r="BE36" i="47"/>
  <c r="BF36" i="47"/>
  <c r="BG36" i="47"/>
  <c r="BH36" i="47"/>
  <c r="BH28" i="47"/>
  <c r="BG28" i="47"/>
  <c r="BF28" i="47"/>
  <c r="BE28" i="47"/>
  <c r="BD28" i="47"/>
  <c r="BC28" i="47"/>
  <c r="BB28" i="47"/>
  <c r="BA28" i="47"/>
  <c r="AZ28" i="47"/>
  <c r="AY28" i="47"/>
  <c r="AX28" i="47"/>
  <c r="AW28" i="47"/>
  <c r="AV28" i="47"/>
  <c r="AU28" i="47"/>
  <c r="AT28" i="47"/>
  <c r="AS28" i="47"/>
  <c r="AR28" i="47"/>
  <c r="AQ28" i="47"/>
  <c r="AP28" i="47"/>
  <c r="AO28" i="47"/>
  <c r="AN28" i="47"/>
  <c r="AM28" i="47"/>
  <c r="AL28" i="47"/>
  <c r="AK28" i="47"/>
  <c r="AJ28" i="47"/>
  <c r="AI28" i="47"/>
  <c r="AH28" i="47"/>
  <c r="AG28" i="47"/>
  <c r="AF28" i="47"/>
  <c r="AE28" i="47"/>
  <c r="AD28" i="47"/>
  <c r="AC28" i="47"/>
  <c r="AB28" i="47"/>
  <c r="AA28" i="47"/>
  <c r="Z28" i="47"/>
  <c r="Y28" i="47"/>
  <c r="X28" i="47"/>
  <c r="W28" i="47"/>
  <c r="V28" i="47"/>
  <c r="U28" i="47"/>
  <c r="T28" i="47"/>
  <c r="S28" i="47"/>
  <c r="R28" i="47"/>
  <c r="Q28" i="47"/>
  <c r="P28" i="47"/>
  <c r="O28" i="47"/>
  <c r="N28" i="47"/>
  <c r="M28" i="47"/>
  <c r="L28" i="47"/>
  <c r="K28" i="47"/>
  <c r="J28" i="47"/>
  <c r="I28" i="47"/>
  <c r="H28" i="47"/>
  <c r="G28" i="47"/>
  <c r="BH20" i="47"/>
  <c r="BG20" i="47"/>
  <c r="BF20" i="47"/>
  <c r="BE20" i="47"/>
  <c r="BD20" i="47"/>
  <c r="BC20" i="47"/>
  <c r="BB20" i="47"/>
  <c r="BA20" i="47"/>
  <c r="AZ20" i="47"/>
  <c r="AY20" i="47"/>
  <c r="AX20" i="47"/>
  <c r="AW20" i="47"/>
  <c r="AV20" i="47"/>
  <c r="AU20" i="47"/>
  <c r="AT20" i="47"/>
  <c r="AS20" i="47"/>
  <c r="AR20" i="47"/>
  <c r="AQ20" i="47"/>
  <c r="AP20" i="47"/>
  <c r="AO20" i="47"/>
  <c r="AN20" i="47"/>
  <c r="AM20" i="47"/>
  <c r="AL20" i="47"/>
  <c r="AK20" i="47"/>
  <c r="AJ20" i="47"/>
  <c r="AI20" i="47"/>
  <c r="AH20" i="47"/>
  <c r="AG20" i="47"/>
  <c r="AF20" i="47"/>
  <c r="AE20" i="47"/>
  <c r="AD20" i="47"/>
  <c r="AC20" i="47"/>
  <c r="AB20" i="47"/>
  <c r="AA20" i="47"/>
  <c r="Z20" i="47"/>
  <c r="Y20" i="47"/>
  <c r="X20" i="47"/>
  <c r="W20" i="47"/>
  <c r="V20" i="47"/>
  <c r="U20" i="47"/>
  <c r="T20" i="47"/>
  <c r="S20" i="47"/>
  <c r="R20" i="47"/>
  <c r="Q20" i="47"/>
  <c r="P20" i="47"/>
  <c r="O20" i="47"/>
  <c r="N20" i="47"/>
  <c r="M20" i="47"/>
  <c r="L20" i="47"/>
  <c r="K20" i="47"/>
  <c r="J20" i="47"/>
  <c r="I20" i="47"/>
  <c r="H20" i="47"/>
  <c r="G20" i="47"/>
  <c r="E34" i="47"/>
  <c r="E27" i="47"/>
  <c r="E19" i="47"/>
  <c r="G37" i="59"/>
  <c r="G38" i="59"/>
  <c r="G39" i="59"/>
  <c r="G40" i="59"/>
  <c r="G41" i="59"/>
  <c r="E26" i="47"/>
  <c r="E25" i="47"/>
  <c r="E24" i="47"/>
  <c r="E22" i="47"/>
  <c r="C34" i="55"/>
  <c r="C23" i="55"/>
  <c r="C28" i="55"/>
  <c r="C18" i="55"/>
  <c r="C17" i="55"/>
  <c r="C16" i="55"/>
  <c r="C15" i="55"/>
  <c r="C14" i="55"/>
  <c r="C13" i="55"/>
  <c r="C12" i="55"/>
  <c r="C11" i="55"/>
  <c r="L25" i="34"/>
  <c r="N25" i="34" s="1"/>
  <c r="Q25" i="34" s="1"/>
  <c r="L26" i="34"/>
  <c r="N26" i="34" s="1"/>
  <c r="Q26" i="34" s="1"/>
  <c r="L27" i="34"/>
  <c r="N27" i="34" s="1"/>
  <c r="Q27" i="34" s="1"/>
  <c r="L28" i="34"/>
  <c r="N28" i="34" s="1"/>
  <c r="Q28" i="34" s="1"/>
  <c r="L29" i="34"/>
  <c r="N29" i="34" s="1"/>
  <c r="Q29" i="34" s="1"/>
  <c r="L30" i="34"/>
  <c r="N30" i="34" s="1"/>
  <c r="Q30" i="34" s="1"/>
  <c r="L31" i="34"/>
  <c r="N31" i="34" s="1"/>
  <c r="Q31" i="34" s="1"/>
  <c r="L32" i="34"/>
  <c r="N32" i="34" s="1"/>
  <c r="Q32" i="34" s="1"/>
  <c r="L33" i="34"/>
  <c r="N33" i="34" s="1"/>
  <c r="Q33" i="34" s="1"/>
  <c r="L34" i="34"/>
  <c r="N34" i="34" s="1"/>
  <c r="Q34" i="34" s="1"/>
  <c r="L35" i="34"/>
  <c r="N35" i="34" s="1"/>
  <c r="Q35" i="34" s="1"/>
  <c r="L36" i="34"/>
  <c r="N36" i="34" s="1"/>
  <c r="Q36" i="34" s="1"/>
  <c r="L37" i="34"/>
  <c r="N37" i="34" s="1"/>
  <c r="Q37" i="34" s="1"/>
  <c r="L38" i="34"/>
  <c r="N38" i="34" s="1"/>
  <c r="Q38" i="34" s="1"/>
  <c r="L39" i="34"/>
  <c r="N39" i="34" s="1"/>
  <c r="Q39" i="34" s="1"/>
  <c r="L40" i="34"/>
  <c r="N40" i="34" s="1"/>
  <c r="Q40" i="34" s="1"/>
  <c r="L41" i="34"/>
  <c r="N41" i="34" s="1"/>
  <c r="Q41" i="34" s="1"/>
  <c r="L42" i="34"/>
  <c r="N42" i="34" s="1"/>
  <c r="Q42" i="34" s="1"/>
  <c r="L43" i="34"/>
  <c r="N43" i="34" s="1"/>
  <c r="Q43" i="34" s="1"/>
  <c r="L44" i="34"/>
  <c r="N44" i="34" s="1"/>
  <c r="Q44" i="34" s="1"/>
  <c r="L45" i="34"/>
  <c r="N45" i="34" s="1"/>
  <c r="Q45" i="34" s="1"/>
  <c r="L46" i="34"/>
  <c r="N46" i="34" s="1"/>
  <c r="Q46" i="34" s="1"/>
  <c r="L47" i="34"/>
  <c r="N47" i="34" s="1"/>
  <c r="Q47" i="34" s="1"/>
  <c r="L48" i="34"/>
  <c r="N48" i="34" s="1"/>
  <c r="Q48" i="34" s="1"/>
  <c r="L49" i="34"/>
  <c r="N49" i="34" s="1"/>
  <c r="Q49" i="34" s="1"/>
  <c r="L50" i="34"/>
  <c r="N50" i="34" s="1"/>
  <c r="Q50" i="34" s="1"/>
  <c r="L51" i="34"/>
  <c r="N51" i="34" s="1"/>
  <c r="Q51" i="34" s="1"/>
  <c r="E17" i="47"/>
  <c r="K68" i="34"/>
  <c r="M68" i="34" s="1"/>
  <c r="P68" i="34" s="1"/>
  <c r="K69" i="34"/>
  <c r="M69" i="34" s="1"/>
  <c r="P69" i="34" s="1"/>
  <c r="K70" i="34"/>
  <c r="M70" i="34" s="1"/>
  <c r="P70" i="34" s="1"/>
  <c r="K71" i="34"/>
  <c r="M71" i="34" s="1"/>
  <c r="P71" i="34" s="1"/>
  <c r="K72" i="34"/>
  <c r="M72" i="34" s="1"/>
  <c r="P72" i="34" s="1"/>
  <c r="K73" i="34"/>
  <c r="M73" i="34" s="1"/>
  <c r="P73" i="34" s="1"/>
  <c r="K74" i="34"/>
  <c r="M74" i="34" s="1"/>
  <c r="P74" i="34" s="1"/>
  <c r="K75" i="34"/>
  <c r="M75" i="34" s="1"/>
  <c r="P75" i="34" s="1"/>
  <c r="K76" i="34"/>
  <c r="M76" i="34" s="1"/>
  <c r="P76" i="34" s="1"/>
  <c r="K77" i="34"/>
  <c r="M77" i="34" s="1"/>
  <c r="P77" i="34" s="1"/>
  <c r="K78" i="34"/>
  <c r="M78" i="34" s="1"/>
  <c r="P78" i="34" s="1"/>
  <c r="K79" i="34"/>
  <c r="M79" i="34" s="1"/>
  <c r="P79" i="34" s="1"/>
  <c r="K80" i="34"/>
  <c r="M80" i="34" s="1"/>
  <c r="P80" i="34" s="1"/>
  <c r="K81" i="34"/>
  <c r="M81" i="34" s="1"/>
  <c r="P81" i="34" s="1"/>
  <c r="K82" i="34"/>
  <c r="M82" i="34" s="1"/>
  <c r="P82" i="34" s="1"/>
  <c r="L52" i="34"/>
  <c r="N52" i="34" s="1"/>
  <c r="Q52" i="34" s="1"/>
  <c r="L53" i="34"/>
  <c r="N53" i="34" s="1"/>
  <c r="Q53" i="34" s="1"/>
  <c r="L54" i="34"/>
  <c r="N54" i="34" s="1"/>
  <c r="Q54" i="34" s="1"/>
  <c r="G45" i="59"/>
  <c r="G44" i="59"/>
  <c r="G43" i="59"/>
  <c r="G42" i="59"/>
  <c r="G36" i="59"/>
  <c r="G35" i="59"/>
  <c r="G34" i="59"/>
  <c r="G33" i="59"/>
  <c r="G32" i="59"/>
  <c r="G31" i="59"/>
  <c r="G30" i="59"/>
  <c r="G29" i="59"/>
  <c r="G28" i="59"/>
  <c r="G27" i="59"/>
  <c r="G26" i="59"/>
  <c r="G25" i="59"/>
  <c r="G24" i="59"/>
  <c r="G23" i="59"/>
  <c r="G22" i="59"/>
  <c r="G21" i="59"/>
  <c r="G20" i="59"/>
  <c r="G19" i="59"/>
  <c r="G18" i="59"/>
  <c r="E31" i="47"/>
  <c r="E32" i="47"/>
  <c r="E33" i="47"/>
  <c r="E35" i="47"/>
  <c r="G19" i="45"/>
  <c r="G20" i="45"/>
  <c r="G21" i="45"/>
  <c r="G22" i="45"/>
  <c r="G23" i="45"/>
  <c r="G24" i="45"/>
  <c r="G25" i="45"/>
  <c r="G26" i="45"/>
  <c r="G27" i="45"/>
  <c r="G28" i="45"/>
  <c r="G29" i="45"/>
  <c r="G30" i="45"/>
  <c r="G31" i="45"/>
  <c r="G32" i="45"/>
  <c r="G33" i="45"/>
  <c r="G34" i="45"/>
  <c r="G35" i="45"/>
  <c r="G36" i="45"/>
  <c r="G37" i="45"/>
  <c r="G38" i="45"/>
  <c r="G39" i="45"/>
  <c r="G40" i="45"/>
  <c r="G41" i="45"/>
  <c r="E16" i="47"/>
  <c r="E18" i="47"/>
  <c r="K83" i="34"/>
  <c r="M83" i="34" s="1"/>
  <c r="P83" i="34" s="1"/>
  <c r="L55" i="34"/>
  <c r="N55" i="34" s="1"/>
  <c r="Q55" i="34" s="1"/>
  <c r="L56" i="34"/>
  <c r="N56" i="34" s="1"/>
  <c r="Q56" i="34" s="1"/>
  <c r="L58" i="34"/>
  <c r="N58" i="34" s="1"/>
  <c r="Q58" i="34" s="1"/>
  <c r="H22" i="16"/>
  <c r="D41" i="76" s="1"/>
  <c r="H21" i="16"/>
  <c r="D40" i="76" s="1"/>
  <c r="H20" i="16"/>
  <c r="H17" i="16"/>
  <c r="D36" i="76" s="1"/>
  <c r="H16" i="16"/>
  <c r="D35" i="76" s="1"/>
  <c r="H15" i="16"/>
  <c r="H19" i="16"/>
  <c r="E102" i="6"/>
  <c r="D102" i="6"/>
  <c r="K58" i="98"/>
  <c r="D35" i="56"/>
  <c r="D47" i="56"/>
  <c r="F19" i="34"/>
  <c r="F20" i="34"/>
  <c r="F18" i="34"/>
  <c r="F17" i="34"/>
  <c r="F21" i="34"/>
  <c r="F16" i="34"/>
  <c r="F15" i="34"/>
  <c r="F23" i="34"/>
  <c r="H47" i="56"/>
  <c r="H35" i="56"/>
  <c r="E58" i="98" l="1"/>
  <c r="C2" i="4"/>
  <c r="B2" i="69"/>
  <c r="B2" i="44"/>
  <c r="B2" i="56"/>
  <c r="B2" i="55"/>
  <c r="B2" i="63"/>
  <c r="B2" i="66"/>
  <c r="B2" i="74"/>
  <c r="J19" i="16"/>
  <c r="B2" i="84"/>
  <c r="AG29" i="47"/>
  <c r="AW29" i="47"/>
  <c r="B2" i="76"/>
  <c r="D106" i="6"/>
  <c r="I36" i="45"/>
  <c r="B2" i="82"/>
  <c r="B2" i="80"/>
  <c r="B2" i="5"/>
  <c r="H29" i="47"/>
  <c r="B2" i="45"/>
  <c r="D84" i="6"/>
  <c r="B2" i="57"/>
  <c r="B2" i="16"/>
  <c r="B2" i="6"/>
  <c r="B2" i="34"/>
  <c r="B2" i="59"/>
  <c r="B2" i="87"/>
  <c r="P29" i="47"/>
  <c r="AF29" i="47"/>
  <c r="D90" i="6"/>
  <c r="J31" i="16"/>
  <c r="D40" i="6"/>
  <c r="J15" i="16"/>
  <c r="I20" i="45"/>
  <c r="BA37" i="47"/>
  <c r="G29" i="47"/>
  <c r="V29" i="47"/>
  <c r="I26" i="45"/>
  <c r="N29" i="47"/>
  <c r="AD29" i="47"/>
  <c r="AT29" i="47"/>
  <c r="H37" i="47"/>
  <c r="X29" i="47"/>
  <c r="BD29" i="47"/>
  <c r="I40" i="45"/>
  <c r="AE29" i="47"/>
  <c r="R37" i="47"/>
  <c r="D29" i="6"/>
  <c r="D38" i="76"/>
  <c r="F38" i="76" s="1"/>
  <c r="R29" i="47"/>
  <c r="AX29" i="47"/>
  <c r="AA29" i="47"/>
  <c r="AQ37" i="47"/>
  <c r="G21" i="76"/>
  <c r="I47" i="56" s="1"/>
  <c r="I37" i="56" s="1"/>
  <c r="AX37" i="47"/>
  <c r="H43" i="74"/>
  <c r="I35" i="45"/>
  <c r="I19" i="45"/>
  <c r="G43" i="74"/>
  <c r="F14" i="76"/>
  <c r="D72" i="6"/>
  <c r="D53" i="6"/>
  <c r="D56" i="6"/>
  <c r="D61" i="6"/>
  <c r="I45" i="74"/>
  <c r="I37" i="45"/>
  <c r="M37" i="47"/>
  <c r="M32" i="98"/>
  <c r="N32" i="98" s="1"/>
  <c r="AW37" i="47"/>
  <c r="AP37" i="47"/>
  <c r="J33" i="56"/>
  <c r="S29" i="47"/>
  <c r="AI29" i="47"/>
  <c r="J30" i="56"/>
  <c r="J35" i="16"/>
  <c r="J25" i="56"/>
  <c r="J34" i="56"/>
  <c r="J32" i="56"/>
  <c r="Q37" i="47"/>
  <c r="I43" i="74"/>
  <c r="G37" i="47"/>
  <c r="I22" i="45"/>
  <c r="AC37" i="47"/>
  <c r="H45" i="74"/>
  <c r="AY37" i="47"/>
  <c r="BH37" i="47"/>
  <c r="M29" i="47"/>
  <c r="T37" i="47"/>
  <c r="G45" i="74"/>
  <c r="D79" i="6"/>
  <c r="D77" i="6"/>
  <c r="J32" i="16"/>
  <c r="B45" i="74"/>
  <c r="I46" i="74" s="1"/>
  <c r="AY29" i="47"/>
  <c r="I34" i="45"/>
  <c r="I33" i="45"/>
  <c r="V37" i="47"/>
  <c r="I32" i="45"/>
  <c r="D24" i="6"/>
  <c r="S37" i="47"/>
  <c r="J28" i="56"/>
  <c r="E23" i="16"/>
  <c r="D91" i="6"/>
  <c r="F35" i="76"/>
  <c r="D109" i="6"/>
  <c r="E42" i="74"/>
  <c r="D37" i="6"/>
  <c r="C42" i="74"/>
  <c r="C26" i="74" s="1"/>
  <c r="E104" i="80" s="1"/>
  <c r="X37" i="47"/>
  <c r="J27" i="56"/>
  <c r="I31" i="45"/>
  <c r="J29" i="56"/>
  <c r="I30" i="45"/>
  <c r="F29" i="76"/>
  <c r="I28" i="45"/>
  <c r="J33" i="16"/>
  <c r="D32" i="6"/>
  <c r="BD37" i="47"/>
  <c r="D45" i="6"/>
  <c r="P37" i="47"/>
  <c r="J22" i="16"/>
  <c r="J37" i="47"/>
  <c r="D64" i="6"/>
  <c r="I29" i="45"/>
  <c r="J26" i="56"/>
  <c r="AR29" i="47"/>
  <c r="AF37" i="47"/>
  <c r="BH29" i="47"/>
  <c r="AC29" i="47"/>
  <c r="AS29" i="47"/>
  <c r="AT37" i="47"/>
  <c r="BB29" i="47"/>
  <c r="F41" i="76"/>
  <c r="N55" i="98"/>
  <c r="I58" i="98"/>
  <c r="I59" i="98" s="1"/>
  <c r="H22" i="76"/>
  <c r="J47" i="56"/>
  <c r="E18" i="76"/>
  <c r="F23" i="56" s="1"/>
  <c r="F35" i="56"/>
  <c r="N56" i="98"/>
  <c r="M58" i="98"/>
  <c r="M59" i="98" s="1"/>
  <c r="AM29" i="47"/>
  <c r="AM37" i="47"/>
  <c r="BC29" i="47"/>
  <c r="BC37" i="47"/>
  <c r="G35" i="98"/>
  <c r="I33" i="98"/>
  <c r="D111" i="6"/>
  <c r="I44" i="74"/>
  <c r="F30" i="76"/>
  <c r="F31" i="76"/>
  <c r="F24" i="76"/>
  <c r="F28" i="76"/>
  <c r="U29" i="47"/>
  <c r="U37" i="47"/>
  <c r="AL29" i="47"/>
  <c r="AL37" i="47"/>
  <c r="BA29" i="47"/>
  <c r="D48" i="6"/>
  <c r="AN37" i="47"/>
  <c r="AN29" i="47"/>
  <c r="I29" i="47"/>
  <c r="I37" i="47"/>
  <c r="Y37" i="47"/>
  <c r="Y29" i="47"/>
  <c r="O84" i="34"/>
  <c r="G44" i="74"/>
  <c r="Z29" i="47"/>
  <c r="Z37" i="47"/>
  <c r="AP29" i="47"/>
  <c r="K37" i="47"/>
  <c r="K29" i="47"/>
  <c r="I21" i="45"/>
  <c r="AA37" i="47"/>
  <c r="BB37" i="47"/>
  <c r="AQ29" i="47"/>
  <c r="BG37" i="47"/>
  <c r="AD37" i="47"/>
  <c r="E17" i="57"/>
  <c r="I25" i="45"/>
  <c r="I41" i="45"/>
  <c r="AS37" i="47"/>
  <c r="AR37" i="47"/>
  <c r="I27" i="45"/>
  <c r="D87" i="6"/>
  <c r="Q29" i="47"/>
  <c r="AE37" i="47"/>
  <c r="I17" i="45"/>
  <c r="J27" i="16"/>
  <c r="I18" i="45"/>
  <c r="J28" i="16"/>
  <c r="J16" i="16"/>
  <c r="I39" i="45"/>
  <c r="T29" i="47"/>
  <c r="AH37" i="47"/>
  <c r="J30" i="16"/>
  <c r="I38" i="45"/>
  <c r="I24" i="45"/>
  <c r="D34" i="76"/>
  <c r="F34" i="76" s="1"/>
  <c r="D20" i="6"/>
  <c r="E35" i="56"/>
  <c r="E26" i="56" s="1"/>
  <c r="D95" i="6"/>
  <c r="D119" i="6"/>
  <c r="S12" i="47"/>
  <c r="T12" i="47" s="1"/>
  <c r="U12" i="47" s="1"/>
  <c r="V12" i="47" s="1"/>
  <c r="W12" i="47" s="1"/>
  <c r="X12" i="47" s="1"/>
  <c r="Y12" i="47" s="1"/>
  <c r="Z12" i="47" s="1"/>
  <c r="AA12" i="47" s="1"/>
  <c r="AB12" i="47" s="1"/>
  <c r="AC12" i="47" s="1"/>
  <c r="AD12" i="47" s="1"/>
  <c r="AE12" i="47" s="1"/>
  <c r="AF12" i="47" s="1"/>
  <c r="AG12" i="47" s="1"/>
  <c r="AH12" i="47" s="1"/>
  <c r="AI12" i="47" s="1"/>
  <c r="AJ12" i="47" s="1"/>
  <c r="AK12" i="47" s="1"/>
  <c r="AL12" i="47" s="1"/>
  <c r="AM12" i="47" s="1"/>
  <c r="AN12" i="47" s="1"/>
  <c r="AO12" i="47" s="1"/>
  <c r="AP12" i="47" s="1"/>
  <c r="AQ12" i="47" s="1"/>
  <c r="AR12" i="47" s="1"/>
  <c r="AS12" i="47" s="1"/>
  <c r="AT12" i="47" s="1"/>
  <c r="AU12" i="47" s="1"/>
  <c r="AV12" i="47" s="1"/>
  <c r="AW12" i="47" s="1"/>
  <c r="AX12" i="47" s="1"/>
  <c r="AY12" i="47" s="1"/>
  <c r="AZ12" i="47" s="1"/>
  <c r="BA12" i="47" s="1"/>
  <c r="BB12" i="47" s="1"/>
  <c r="BC12" i="47" s="1"/>
  <c r="BD12" i="47" s="1"/>
  <c r="BE12" i="47" s="1"/>
  <c r="BF12" i="47" s="1"/>
  <c r="BG12" i="47" s="1"/>
  <c r="BH12" i="47" s="1"/>
  <c r="AZ37" i="47"/>
  <c r="AZ29" i="47"/>
  <c r="D78" i="87"/>
  <c r="E18" i="87"/>
  <c r="E20" i="87" s="1"/>
  <c r="E23" i="87" s="1"/>
  <c r="BE29" i="47"/>
  <c r="BE37" i="47"/>
  <c r="AV29" i="47"/>
  <c r="AV37" i="47"/>
  <c r="AU37" i="47"/>
  <c r="AU29" i="47"/>
  <c r="J29" i="16"/>
  <c r="J21" i="16"/>
  <c r="E40" i="76"/>
  <c r="F40" i="76" s="1"/>
  <c r="H42" i="45"/>
  <c r="I16" i="45"/>
  <c r="AJ37" i="47"/>
  <c r="AJ29" i="47"/>
  <c r="W37" i="47"/>
  <c r="W29" i="47"/>
  <c r="E28" i="47"/>
  <c r="J90" i="56"/>
  <c r="J91" i="56" s="1"/>
  <c r="H44" i="76"/>
  <c r="E20" i="47"/>
  <c r="J36" i="98"/>
  <c r="D39" i="76"/>
  <c r="F39" i="76" s="1"/>
  <c r="J20" i="16"/>
  <c r="AK37" i="47"/>
  <c r="AK29" i="47"/>
  <c r="AO29" i="47"/>
  <c r="AO37" i="47"/>
  <c r="E94" i="87"/>
  <c r="F80" i="87"/>
  <c r="F84" i="87" s="1"/>
  <c r="N37" i="47"/>
  <c r="L37" i="47"/>
  <c r="L29" i="47"/>
  <c r="J17" i="16"/>
  <c r="E36" i="76"/>
  <c r="F36" i="76" s="1"/>
  <c r="BG29" i="47"/>
  <c r="AB29" i="47"/>
  <c r="AB37" i="47"/>
  <c r="E36" i="47"/>
  <c r="O37" i="47"/>
  <c r="O29" i="47"/>
  <c r="F37" i="47"/>
  <c r="F29" i="47"/>
  <c r="G38" i="47" s="1"/>
  <c r="I23" i="45"/>
  <c r="BF37" i="47"/>
  <c r="BF29" i="47"/>
  <c r="AG37" i="47"/>
  <c r="AH29" i="47"/>
  <c r="AI37" i="47"/>
  <c r="D94" i="87"/>
  <c r="D36" i="98"/>
  <c r="H44" i="74"/>
  <c r="J29" i="47"/>
  <c r="I18" i="16"/>
  <c r="H38" i="47" l="1"/>
  <c r="D36" i="6"/>
  <c r="I38" i="47"/>
  <c r="J38" i="47" s="1"/>
  <c r="K38" i="47" s="1"/>
  <c r="L38" i="47" s="1"/>
  <c r="M38" i="47" s="1"/>
  <c r="N38" i="47" s="1"/>
  <c r="O38" i="47" s="1"/>
  <c r="P38" i="47" s="1"/>
  <c r="Q38" i="47" s="1"/>
  <c r="R38" i="47" s="1"/>
  <c r="S38" i="47" s="1"/>
  <c r="T38" i="47" s="1"/>
  <c r="U38" i="47" s="1"/>
  <c r="V38" i="47" s="1"/>
  <c r="W38" i="47" s="1"/>
  <c r="X38" i="47" s="1"/>
  <c r="Y38" i="47" s="1"/>
  <c r="Z38" i="47" s="1"/>
  <c r="AA38" i="47" s="1"/>
  <c r="AB38" i="47" s="1"/>
  <c r="AC38" i="47" s="1"/>
  <c r="AD38" i="47" s="1"/>
  <c r="AE38" i="47" s="1"/>
  <c r="AF38" i="47" s="1"/>
  <c r="AG38" i="47" s="1"/>
  <c r="AH38" i="47" s="1"/>
  <c r="AI38" i="47" s="1"/>
  <c r="AJ38" i="47" s="1"/>
  <c r="AK38" i="47" s="1"/>
  <c r="AL38" i="47" s="1"/>
  <c r="AM38" i="47" s="1"/>
  <c r="AN38" i="47" s="1"/>
  <c r="AO38" i="47" s="1"/>
  <c r="AP38" i="47" s="1"/>
  <c r="AQ38" i="47" s="1"/>
  <c r="AR38" i="47" s="1"/>
  <c r="AS38" i="47" s="1"/>
  <c r="AT38" i="47" s="1"/>
  <c r="AU38" i="47" s="1"/>
  <c r="AV38" i="47" s="1"/>
  <c r="AW38" i="47" s="1"/>
  <c r="AX38" i="47" s="1"/>
  <c r="AY38" i="47" s="1"/>
  <c r="AZ38" i="47" s="1"/>
  <c r="BA38" i="47" s="1"/>
  <c r="BB38" i="47" s="1"/>
  <c r="BC38" i="47" s="1"/>
  <c r="BD38" i="47" s="1"/>
  <c r="BE38" i="47" s="1"/>
  <c r="BF38" i="47" s="1"/>
  <c r="BG38" i="47" s="1"/>
  <c r="BH38" i="47" s="1"/>
  <c r="H45" i="76"/>
  <c r="H46" i="74"/>
  <c r="C129" i="80"/>
  <c r="D146" i="80" s="1"/>
  <c r="I45" i="56"/>
  <c r="I42" i="56"/>
  <c r="I20" i="76"/>
  <c r="I21" i="76" s="1"/>
  <c r="I41" i="56"/>
  <c r="I39" i="56"/>
  <c r="I43" i="56"/>
  <c r="I46" i="56"/>
  <c r="I40" i="56"/>
  <c r="I38" i="56"/>
  <c r="I44" i="56"/>
  <c r="D52" i="6"/>
  <c r="D68" i="6"/>
  <c r="D76" i="6"/>
  <c r="D28" i="6"/>
  <c r="D60" i="6"/>
  <c r="D44" i="6"/>
  <c r="D83" i="6"/>
  <c r="D93" i="6"/>
  <c r="D96" i="6" s="1"/>
  <c r="M35" i="98"/>
  <c r="M36" i="98" s="1"/>
  <c r="E21" i="6"/>
  <c r="E41" i="6"/>
  <c r="H24" i="16"/>
  <c r="I24" i="16"/>
  <c r="F116" i="80"/>
  <c r="E79" i="80"/>
  <c r="H149" i="80"/>
  <c r="H137" i="80"/>
  <c r="I42" i="76"/>
  <c r="E112" i="6"/>
  <c r="K66" i="34"/>
  <c r="M66" i="34" s="1"/>
  <c r="P66" i="34" s="1"/>
  <c r="G46" i="74"/>
  <c r="E47" i="59"/>
  <c r="B46" i="74"/>
  <c r="B47" i="74" s="1"/>
  <c r="D112" i="6"/>
  <c r="L24" i="34"/>
  <c r="N24" i="34" s="1"/>
  <c r="Q24" i="34" s="1"/>
  <c r="J84" i="34"/>
  <c r="E36" i="16"/>
  <c r="E34" i="56"/>
  <c r="E27" i="56"/>
  <c r="E25" i="56"/>
  <c r="E96" i="6"/>
  <c r="I25" i="76"/>
  <c r="N58" i="98"/>
  <c r="N59" i="98" s="1"/>
  <c r="O55" i="98"/>
  <c r="F26" i="56"/>
  <c r="G26" i="56" s="1"/>
  <c r="F34" i="56"/>
  <c r="F31" i="56"/>
  <c r="F33" i="56"/>
  <c r="F32" i="56"/>
  <c r="F30" i="56"/>
  <c r="F27" i="56"/>
  <c r="F28" i="56"/>
  <c r="F25" i="56"/>
  <c r="F29" i="56"/>
  <c r="F25" i="76"/>
  <c r="I38" i="76"/>
  <c r="I27" i="76"/>
  <c r="G15" i="59"/>
  <c r="F27" i="76"/>
  <c r="I35" i="98"/>
  <c r="I36" i="98" s="1"/>
  <c r="N33" i="98"/>
  <c r="N35" i="98" s="1"/>
  <c r="N36" i="98" s="1"/>
  <c r="I39" i="76"/>
  <c r="I35" i="76"/>
  <c r="I30" i="76"/>
  <c r="K59" i="34"/>
  <c r="I36" i="76"/>
  <c r="J41" i="56"/>
  <c r="J39" i="56"/>
  <c r="J42" i="56"/>
  <c r="J48" i="56"/>
  <c r="J44" i="56"/>
  <c r="J40" i="56"/>
  <c r="J43" i="56"/>
  <c r="J45" i="56"/>
  <c r="J46" i="56"/>
  <c r="J37" i="56"/>
  <c r="K37" i="56" s="1"/>
  <c r="J38" i="56"/>
  <c r="I41" i="76"/>
  <c r="I31" i="76"/>
  <c r="E29" i="47"/>
  <c r="C26" i="69" s="1"/>
  <c r="I40" i="76"/>
  <c r="G15" i="45"/>
  <c r="I28" i="76"/>
  <c r="E30" i="56"/>
  <c r="E31" i="56"/>
  <c r="E28" i="56"/>
  <c r="E33" i="56"/>
  <c r="E32" i="56"/>
  <c r="E29" i="56"/>
  <c r="I37" i="76"/>
  <c r="E20" i="76"/>
  <c r="E21" i="76" s="1"/>
  <c r="F44" i="56"/>
  <c r="F40" i="56"/>
  <c r="F37" i="56"/>
  <c r="F41" i="56"/>
  <c r="F45" i="56"/>
  <c r="F39" i="56"/>
  <c r="F42" i="56"/>
  <c r="F46" i="56"/>
  <c r="F43" i="56"/>
  <c r="F38" i="56"/>
  <c r="F94" i="87"/>
  <c r="G80" i="87"/>
  <c r="G84" i="87" s="1"/>
  <c r="H25" i="16"/>
  <c r="I25" i="16"/>
  <c r="N84" i="34"/>
  <c r="D117" i="6"/>
  <c r="E37" i="47"/>
  <c r="E78" i="87"/>
  <c r="E95" i="87" s="1"/>
  <c r="F18" i="87"/>
  <c r="F20" i="87" s="1"/>
  <c r="F23" i="87" s="1"/>
  <c r="D95" i="87"/>
  <c r="E37" i="76"/>
  <c r="D38" i="6" l="1"/>
  <c r="I34" i="76"/>
  <c r="I43" i="76" s="1"/>
  <c r="D138" i="80"/>
  <c r="D141" i="80"/>
  <c r="D144" i="80"/>
  <c r="D142" i="80"/>
  <c r="D140" i="80"/>
  <c r="D139" i="80"/>
  <c r="D145" i="80"/>
  <c r="C130" i="80"/>
  <c r="C131" i="80" s="1"/>
  <c r="C132" i="80" s="1"/>
  <c r="C133" i="80" s="1"/>
  <c r="E140" i="80" s="1"/>
  <c r="D137" i="80"/>
  <c r="D70" i="6"/>
  <c r="D54" i="6"/>
  <c r="E33" i="6"/>
  <c r="D30" i="6"/>
  <c r="E49" i="6"/>
  <c r="E73" i="6"/>
  <c r="D143" i="80"/>
  <c r="K42" i="56"/>
  <c r="K45" i="56"/>
  <c r="K41" i="56"/>
  <c r="G25" i="56"/>
  <c r="K39" i="56"/>
  <c r="K46" i="56"/>
  <c r="K43" i="56"/>
  <c r="K40" i="56"/>
  <c r="G32" i="56"/>
  <c r="E57" i="6"/>
  <c r="K44" i="56"/>
  <c r="K38" i="56"/>
  <c r="I59" i="34"/>
  <c r="D75" i="6"/>
  <c r="D80" i="6" s="1"/>
  <c r="D19" i="6"/>
  <c r="H47" i="74"/>
  <c r="G47" i="74"/>
  <c r="I47" i="74"/>
  <c r="L20" i="34"/>
  <c r="I24" i="76"/>
  <c r="D82" i="6"/>
  <c r="J24" i="16"/>
  <c r="D46" i="6"/>
  <c r="D62" i="6"/>
  <c r="E65" i="6"/>
  <c r="D85" i="6"/>
  <c r="E88" i="6"/>
  <c r="E80" i="6"/>
  <c r="H18" i="16"/>
  <c r="J18" i="16" s="1"/>
  <c r="G33" i="56"/>
  <c r="G29" i="56"/>
  <c r="G28" i="56"/>
  <c r="G34" i="56"/>
  <c r="G31" i="56"/>
  <c r="G27" i="56"/>
  <c r="D42" i="45"/>
  <c r="H48" i="74"/>
  <c r="I48" i="74"/>
  <c r="G48" i="74"/>
  <c r="B48" i="74"/>
  <c r="I29" i="76"/>
  <c r="I14" i="76"/>
  <c r="G30" i="56"/>
  <c r="I15" i="45"/>
  <c r="I42" i="45" s="1"/>
  <c r="G42" i="45"/>
  <c r="H26" i="16"/>
  <c r="I26" i="16"/>
  <c r="I23" i="16" s="1"/>
  <c r="J25" i="16"/>
  <c r="F47" i="56"/>
  <c r="F48" i="56" s="1"/>
  <c r="E22" i="76"/>
  <c r="F16" i="76"/>
  <c r="G18" i="87"/>
  <c r="G20" i="87" s="1"/>
  <c r="G23" i="87" s="1"/>
  <c r="F78" i="87"/>
  <c r="F95" i="87" s="1"/>
  <c r="H80" i="87"/>
  <c r="H84" i="87" s="1"/>
  <c r="H94" i="87" s="1"/>
  <c r="G94" i="87"/>
  <c r="D69" i="6"/>
  <c r="J59" i="34"/>
  <c r="F78" i="56"/>
  <c r="G43" i="76" l="1"/>
  <c r="E137" i="80"/>
  <c r="E145" i="80"/>
  <c r="E143" i="80"/>
  <c r="E138" i="80"/>
  <c r="E144" i="80"/>
  <c r="E142" i="80"/>
  <c r="E146" i="80"/>
  <c r="C134" i="80"/>
  <c r="E141" i="80"/>
  <c r="E139" i="80"/>
  <c r="D23" i="6"/>
  <c r="L22" i="34"/>
  <c r="N22" i="34" s="1"/>
  <c r="Q22" i="34" s="1"/>
  <c r="D59" i="6"/>
  <c r="D65" i="6" s="1"/>
  <c r="L23" i="34"/>
  <c r="N23" i="34" s="1"/>
  <c r="Q23" i="34" s="1"/>
  <c r="K47" i="56"/>
  <c r="D88" i="6"/>
  <c r="I16" i="76"/>
  <c r="D37" i="76"/>
  <c r="G35" i="56"/>
  <c r="D51" i="6"/>
  <c r="D57" i="6" s="1"/>
  <c r="L19" i="34"/>
  <c r="N19" i="34" s="1"/>
  <c r="Q19" i="34" s="1"/>
  <c r="L16" i="34"/>
  <c r="N16" i="34" s="1"/>
  <c r="Q16" i="34" s="1"/>
  <c r="D27" i="6"/>
  <c r="D33" i="6" s="1"/>
  <c r="L17" i="34"/>
  <c r="N17" i="34" s="1"/>
  <c r="Q17" i="34" s="1"/>
  <c r="D35" i="6"/>
  <c r="D41" i="6" s="1"/>
  <c r="J26" i="16"/>
  <c r="G49" i="74"/>
  <c r="B49" i="74"/>
  <c r="H49" i="74"/>
  <c r="I49" i="74"/>
  <c r="L15" i="34"/>
  <c r="N15" i="34" s="1"/>
  <c r="D18" i="6"/>
  <c r="D21" i="6" s="1"/>
  <c r="L18" i="34"/>
  <c r="N18" i="34" s="1"/>
  <c r="Q18" i="34" s="1"/>
  <c r="D43" i="6"/>
  <c r="D49" i="6" s="1"/>
  <c r="E42" i="76"/>
  <c r="E43" i="76" s="1"/>
  <c r="F90" i="56" s="1"/>
  <c r="I36" i="16"/>
  <c r="E37" i="56"/>
  <c r="G37" i="56" s="1"/>
  <c r="E43" i="56"/>
  <c r="G43" i="56" s="1"/>
  <c r="E38" i="56"/>
  <c r="G38" i="56" s="1"/>
  <c r="E42" i="56"/>
  <c r="G42" i="56" s="1"/>
  <c r="E40" i="56"/>
  <c r="G40" i="56" s="1"/>
  <c r="E46" i="56"/>
  <c r="G46" i="56" s="1"/>
  <c r="E44" i="56"/>
  <c r="G44" i="56" s="1"/>
  <c r="D20" i="76"/>
  <c r="E39" i="56"/>
  <c r="G39" i="56" s="1"/>
  <c r="E45" i="56"/>
  <c r="G45" i="56" s="1"/>
  <c r="E41" i="56"/>
  <c r="G41" i="56" s="1"/>
  <c r="L21" i="34"/>
  <c r="N21" i="34" s="1"/>
  <c r="Q21" i="34" s="1"/>
  <c r="D67" i="6"/>
  <c r="D73" i="6" s="1"/>
  <c r="G78" i="87"/>
  <c r="G95" i="87" s="1"/>
  <c r="H18" i="87"/>
  <c r="H20" i="87" s="1"/>
  <c r="H23" i="87" s="1"/>
  <c r="H78" i="87" s="1"/>
  <c r="H95" i="87" s="1"/>
  <c r="C23" i="69" s="1"/>
  <c r="H23" i="16"/>
  <c r="N20" i="34"/>
  <c r="I15" i="76"/>
  <c r="I35" i="56"/>
  <c r="E120" i="6"/>
  <c r="H59" i="34"/>
  <c r="I90" i="56"/>
  <c r="F37" i="76" l="1"/>
  <c r="G50" i="74"/>
  <c r="I50" i="74"/>
  <c r="B50" i="74"/>
  <c r="H50" i="74"/>
  <c r="D21" i="76"/>
  <c r="E47" i="56" s="1"/>
  <c r="F20" i="76"/>
  <c r="F21" i="76" s="1"/>
  <c r="C11" i="69" s="1"/>
  <c r="G84" i="34"/>
  <c r="D114" i="6"/>
  <c r="K67" i="34"/>
  <c r="E44" i="76"/>
  <c r="E45" i="76" s="1"/>
  <c r="I28" i="56"/>
  <c r="K28" i="56" s="1"/>
  <c r="I33" i="56"/>
  <c r="K33" i="56" s="1"/>
  <c r="I25" i="56"/>
  <c r="K25" i="56" s="1"/>
  <c r="I32" i="56"/>
  <c r="K32" i="56" s="1"/>
  <c r="I34" i="56"/>
  <c r="K34" i="56" s="1"/>
  <c r="I29" i="56"/>
  <c r="K29" i="56" s="1"/>
  <c r="I30" i="56"/>
  <c r="K30" i="56" s="1"/>
  <c r="I27" i="56"/>
  <c r="K27" i="56" s="1"/>
  <c r="I31" i="56"/>
  <c r="K31" i="56" s="1"/>
  <c r="I26" i="56"/>
  <c r="K26" i="56" s="1"/>
  <c r="G47" i="56"/>
  <c r="L59" i="34"/>
  <c r="J23" i="16"/>
  <c r="J36" i="16" s="1"/>
  <c r="D42" i="76"/>
  <c r="H36" i="16"/>
  <c r="Q20" i="34"/>
  <c r="N59" i="34"/>
  <c r="F91" i="56"/>
  <c r="G51" i="74" l="1"/>
  <c r="B51" i="74"/>
  <c r="I51" i="74"/>
  <c r="H51" i="74"/>
  <c r="K84" i="34"/>
  <c r="M67" i="34"/>
  <c r="K35" i="56"/>
  <c r="G16" i="59"/>
  <c r="G47" i="59" s="1"/>
  <c r="D115" i="6"/>
  <c r="D120" i="6" s="1"/>
  <c r="H84" i="34"/>
  <c r="F42" i="76"/>
  <c r="F43" i="76" s="1"/>
  <c r="D43" i="76"/>
  <c r="H52" i="74" l="1"/>
  <c r="I52" i="74"/>
  <c r="B52" i="74"/>
  <c r="G52" i="74"/>
  <c r="C14" i="69"/>
  <c r="P67" i="34"/>
  <c r="P84" i="34" s="1"/>
  <c r="M84" i="34"/>
  <c r="E90" i="56"/>
  <c r="G53" i="74" l="1"/>
  <c r="B53" i="74"/>
  <c r="I53" i="74"/>
  <c r="H53" i="74"/>
  <c r="B54" i="74" l="1"/>
  <c r="G54" i="74"/>
  <c r="H54" i="74"/>
  <c r="I54" i="74"/>
  <c r="E25" i="6" l="1"/>
  <c r="E103" i="6" s="1"/>
  <c r="B55" i="74"/>
  <c r="I55" i="74"/>
  <c r="G55" i="74"/>
  <c r="H55" i="74"/>
  <c r="O59" i="34" l="1"/>
  <c r="P59" i="34"/>
  <c r="G56" i="74"/>
  <c r="B56" i="74"/>
  <c r="I56" i="74"/>
  <c r="H56" i="74"/>
  <c r="I78" i="56" l="1"/>
  <c r="G32" i="76"/>
  <c r="I26" i="76"/>
  <c r="I32" i="76" s="1"/>
  <c r="I44" i="76" s="1"/>
  <c r="Q15" i="34"/>
  <c r="Q59" i="34" s="1"/>
  <c r="D22" i="6"/>
  <c r="D25" i="6" s="1"/>
  <c r="B57" i="74"/>
  <c r="I57" i="74"/>
  <c r="H57" i="74"/>
  <c r="G57" i="74"/>
  <c r="I66" i="56" l="1"/>
  <c r="I91" i="56" s="1"/>
  <c r="G44" i="76"/>
  <c r="D103" i="6"/>
  <c r="I58" i="74"/>
  <c r="B58" i="74"/>
  <c r="H58" i="74"/>
  <c r="G58" i="74"/>
  <c r="D32" i="76" l="1"/>
  <c r="F26" i="76"/>
  <c r="F32" i="76" s="1"/>
  <c r="E78" i="56"/>
  <c r="H59" i="74"/>
  <c r="B59" i="74"/>
  <c r="G59" i="74"/>
  <c r="I59" i="74"/>
  <c r="C13" i="69" l="1"/>
  <c r="F44" i="76"/>
  <c r="C15" i="69" s="1"/>
  <c r="E66" i="56"/>
  <c r="E91" i="56" s="1"/>
  <c r="D44" i="76"/>
  <c r="B60" i="74"/>
  <c r="H60" i="74"/>
  <c r="G60" i="74"/>
  <c r="I60" i="74"/>
  <c r="I61" i="74" l="1"/>
  <c r="B61" i="74"/>
  <c r="G61" i="74"/>
  <c r="H61" i="74"/>
  <c r="I62" i="74" l="1"/>
  <c r="H62" i="74"/>
  <c r="B62" i="74"/>
  <c r="G62" i="74"/>
  <c r="H63" i="74" l="1"/>
  <c r="B63" i="74"/>
  <c r="G63" i="74"/>
  <c r="I63" i="74"/>
  <c r="G64" i="74" l="1"/>
  <c r="H64" i="74"/>
  <c r="I64" i="74"/>
  <c r="B64" i="74"/>
  <c r="G65" i="74" l="1"/>
  <c r="I65" i="74"/>
  <c r="B65" i="74"/>
  <c r="H65" i="74"/>
  <c r="G66" i="74" l="1"/>
  <c r="B66" i="74"/>
  <c r="I66" i="74"/>
  <c r="H66" i="74"/>
  <c r="G67" i="74" l="1"/>
  <c r="I67" i="74"/>
  <c r="H67" i="74"/>
  <c r="B67" i="74"/>
  <c r="G68" i="74" l="1"/>
  <c r="B68" i="74"/>
  <c r="H68" i="74"/>
  <c r="I68" i="74"/>
  <c r="I69" i="74" l="1"/>
  <c r="B69" i="74"/>
  <c r="G69" i="74"/>
  <c r="H69" i="74"/>
  <c r="H70" i="74" l="1"/>
  <c r="B70" i="74"/>
  <c r="G70" i="74"/>
  <c r="I70" i="74"/>
  <c r="G71" i="74" l="1"/>
  <c r="I71" i="74"/>
  <c r="H71" i="74"/>
  <c r="B71" i="74"/>
  <c r="I72" i="74" l="1"/>
  <c r="G72" i="74"/>
  <c r="B72" i="74"/>
  <c r="H72" i="74"/>
  <c r="I73" i="74" l="1"/>
  <c r="H73" i="74"/>
  <c r="G73" i="74"/>
  <c r="B73" i="74"/>
  <c r="B74" i="74" l="1"/>
  <c r="G74" i="74"/>
  <c r="I74" i="74"/>
  <c r="H74" i="74"/>
  <c r="H75" i="74" l="1"/>
  <c r="G75" i="74"/>
  <c r="B75" i="74"/>
  <c r="I75" i="74"/>
  <c r="B76" i="74" l="1"/>
  <c r="H76" i="74"/>
  <c r="G76" i="74"/>
  <c r="I76" i="74"/>
  <c r="H77" i="74" l="1"/>
  <c r="B77" i="74"/>
  <c r="G77" i="74"/>
  <c r="I77" i="74"/>
  <c r="H78" i="74" l="1"/>
  <c r="B78" i="74"/>
  <c r="G78" i="74"/>
  <c r="I78" i="74"/>
  <c r="B79" i="74" l="1"/>
  <c r="G79" i="74"/>
  <c r="H79" i="74"/>
  <c r="I79" i="74"/>
  <c r="H80" i="74" l="1"/>
  <c r="B80" i="74"/>
  <c r="I80" i="74"/>
  <c r="G80" i="74"/>
  <c r="G81" i="74" l="1"/>
  <c r="H81" i="74"/>
  <c r="I81" i="74"/>
  <c r="B81" i="74"/>
  <c r="I82" i="74" l="1"/>
  <c r="B82" i="74"/>
  <c r="H82" i="74"/>
  <c r="G82" i="74"/>
  <c r="I83" i="74" l="1"/>
  <c r="G83" i="74"/>
  <c r="B83" i="74"/>
  <c r="H83" i="74"/>
  <c r="I84" i="74" l="1"/>
  <c r="G84" i="74"/>
  <c r="H84" i="74"/>
  <c r="B84" i="74"/>
  <c r="B85" i="74" l="1"/>
  <c r="H85" i="74"/>
  <c r="G85" i="74"/>
  <c r="I85" i="74"/>
  <c r="I86" i="74" l="1"/>
  <c r="G86" i="74"/>
  <c r="H86" i="74"/>
  <c r="B86" i="74"/>
  <c r="B87" i="74" l="1"/>
  <c r="H87" i="74"/>
  <c r="G87" i="74"/>
  <c r="I87" i="74"/>
  <c r="H88" i="74" l="1"/>
  <c r="B88" i="74"/>
  <c r="G88" i="74"/>
  <c r="I88" i="74"/>
  <c r="I89" i="74" l="1"/>
  <c r="G89" i="74"/>
  <c r="H89" i="74"/>
  <c r="B89" i="74"/>
  <c r="H90" i="74" l="1"/>
  <c r="B90" i="74"/>
  <c r="G90" i="74"/>
  <c r="I90" i="74"/>
  <c r="B91" i="74" l="1"/>
  <c r="G91" i="74"/>
  <c r="I91" i="74"/>
  <c r="H91" i="74"/>
  <c r="B92" i="74" l="1"/>
  <c r="H92" i="74"/>
  <c r="G92" i="74"/>
  <c r="I92" i="74"/>
  <c r="G93" i="74" l="1"/>
  <c r="H93" i="74"/>
  <c r="I93" i="74"/>
  <c r="B93" i="74"/>
  <c r="H94" i="74" l="1"/>
  <c r="I94" i="74"/>
  <c r="G94" i="74"/>
  <c r="B94" i="74"/>
  <c r="B95" i="74" l="1"/>
  <c r="H95" i="74"/>
  <c r="G95" i="74"/>
  <c r="I95" i="74"/>
  <c r="B96" i="74" l="1"/>
  <c r="H96" i="74"/>
  <c r="G96" i="74"/>
  <c r="I96" i="74"/>
  <c r="B97" i="74" l="1"/>
  <c r="G97" i="74"/>
  <c r="I97" i="74"/>
  <c r="H97" i="74"/>
  <c r="G98" i="74" l="1"/>
  <c r="H98" i="74"/>
  <c r="B98" i="74"/>
  <c r="I98" i="74"/>
  <c r="B99" i="74" l="1"/>
  <c r="I99" i="74"/>
  <c r="H99" i="74"/>
  <c r="G99" i="74"/>
  <c r="B100" i="74" l="1"/>
  <c r="I100" i="74"/>
  <c r="H100" i="74"/>
  <c r="G100" i="74"/>
  <c r="H101" i="74" l="1"/>
  <c r="B101" i="74"/>
  <c r="G101" i="74"/>
  <c r="I101" i="74"/>
  <c r="I102" i="74" l="1"/>
  <c r="G102" i="74"/>
  <c r="B102" i="74"/>
  <c r="H102" i="74"/>
  <c r="I103" i="74" l="1"/>
  <c r="H103" i="74"/>
  <c r="B103" i="74"/>
  <c r="G103" i="74"/>
  <c r="H104" i="74" l="1"/>
  <c r="B104" i="74"/>
  <c r="I104" i="74"/>
  <c r="G104" i="74"/>
  <c r="H105" i="74" l="1"/>
  <c r="B105" i="74"/>
  <c r="G105" i="74"/>
  <c r="I105" i="74"/>
  <c r="H106" i="74" l="1"/>
  <c r="B106" i="74"/>
  <c r="G106" i="74"/>
  <c r="I106" i="74"/>
  <c r="G107" i="74" l="1"/>
  <c r="H107" i="74"/>
  <c r="B107" i="74"/>
  <c r="I107" i="74"/>
  <c r="H108" i="74" l="1"/>
  <c r="I108" i="74"/>
  <c r="B108" i="74"/>
  <c r="G108" i="74"/>
  <c r="H109" i="74" l="1"/>
  <c r="I109" i="74"/>
  <c r="B109" i="74"/>
  <c r="G109" i="74"/>
  <c r="B110" i="74" l="1"/>
  <c r="G110" i="74"/>
  <c r="H110" i="74"/>
  <c r="I110" i="74"/>
  <c r="B111" i="74" l="1"/>
  <c r="I111" i="74"/>
  <c r="G111" i="74"/>
  <c r="H111" i="74"/>
  <c r="H112" i="74" l="1"/>
  <c r="I112" i="74"/>
  <c r="B112" i="74"/>
  <c r="G112" i="74"/>
  <c r="G113" i="74" l="1"/>
  <c r="I113" i="74"/>
  <c r="B113" i="74"/>
  <c r="H113" i="74"/>
  <c r="G114" i="74" l="1"/>
  <c r="I114" i="74"/>
  <c r="B114" i="74"/>
  <c r="H114" i="74"/>
  <c r="G115" i="74" l="1"/>
  <c r="I115" i="74"/>
  <c r="B115" i="74"/>
  <c r="H115" i="74"/>
  <c r="I116" i="74" l="1"/>
  <c r="B116" i="74"/>
  <c r="G116" i="74"/>
  <c r="H116" i="74"/>
  <c r="I117" i="74" l="1"/>
  <c r="B117" i="74"/>
  <c r="G117" i="74"/>
  <c r="H117" i="74"/>
  <c r="H118" i="74" l="1"/>
  <c r="B118" i="74"/>
  <c r="I118" i="74"/>
  <c r="G118" i="74"/>
  <c r="H119" i="74" l="1"/>
  <c r="B119" i="74"/>
  <c r="G119" i="74"/>
  <c r="I119" i="74"/>
  <c r="B120" i="74" l="1"/>
  <c r="I120" i="74"/>
  <c r="G120" i="74"/>
  <c r="H120" i="74"/>
  <c r="G121" i="74" l="1"/>
  <c r="B121" i="74"/>
  <c r="H121" i="74"/>
  <c r="I121" i="74"/>
  <c r="B122" i="74" l="1"/>
  <c r="I122" i="74"/>
  <c r="G122" i="74"/>
  <c r="H122" i="74"/>
  <c r="H123" i="74" l="1"/>
  <c r="G123" i="74"/>
  <c r="I123" i="74"/>
  <c r="B123" i="74"/>
  <c r="B124" i="74" l="1"/>
  <c r="I124" i="74"/>
  <c r="G124" i="74"/>
  <c r="H124" i="74"/>
  <c r="H125" i="74" l="1"/>
  <c r="G125" i="74"/>
  <c r="B125" i="74"/>
  <c r="I125" i="74"/>
  <c r="B126" i="74" l="1"/>
  <c r="I126" i="74"/>
  <c r="G126" i="74"/>
  <c r="H126" i="74"/>
  <c r="G127" i="74" l="1"/>
  <c r="B127" i="74"/>
  <c r="I127" i="74"/>
  <c r="H127" i="74"/>
  <c r="B128" i="74" l="1"/>
  <c r="G128" i="74"/>
  <c r="H128" i="74"/>
  <c r="I128" i="74"/>
  <c r="I129" i="74" l="1"/>
  <c r="B129" i="74"/>
  <c r="H129" i="74"/>
  <c r="G129" i="74"/>
  <c r="I130" i="74" l="1"/>
  <c r="G130" i="74"/>
  <c r="B130" i="74"/>
  <c r="H130" i="74"/>
  <c r="B131" i="74" l="1"/>
  <c r="H131" i="74"/>
  <c r="I131" i="74"/>
  <c r="G131" i="74"/>
  <c r="H132" i="74" l="1"/>
  <c r="B132" i="74"/>
  <c r="G132" i="74"/>
  <c r="I132" i="74"/>
  <c r="B133" i="74" l="1"/>
  <c r="H133" i="74"/>
  <c r="G133" i="74"/>
  <c r="I133" i="74"/>
  <c r="B134" i="74" l="1"/>
  <c r="I134" i="74"/>
  <c r="H134" i="74"/>
  <c r="G134" i="74"/>
  <c r="B135" i="74" l="1"/>
  <c r="H135" i="74"/>
  <c r="G135" i="74"/>
  <c r="I135" i="74"/>
  <c r="H136" i="74" l="1"/>
  <c r="B136" i="74"/>
  <c r="I136" i="74"/>
  <c r="G136" i="74"/>
  <c r="I137" i="74" l="1"/>
  <c r="G137" i="74"/>
  <c r="B137" i="74"/>
  <c r="H137" i="74"/>
  <c r="B138" i="74" l="1"/>
  <c r="G138" i="74"/>
  <c r="I138" i="74"/>
  <c r="H138" i="74"/>
  <c r="B139" i="74" l="1"/>
  <c r="I139" i="74"/>
  <c r="G139" i="74"/>
  <c r="H139" i="74"/>
  <c r="G140" i="74" l="1"/>
  <c r="B140" i="74"/>
  <c r="H140" i="74"/>
  <c r="I140" i="74"/>
  <c r="I141" i="74" l="1"/>
  <c r="B141" i="74"/>
  <c r="G141" i="74"/>
  <c r="H141" i="74"/>
  <c r="B142" i="74" l="1"/>
  <c r="G142" i="74"/>
  <c r="I142" i="74"/>
  <c r="H142" i="74"/>
  <c r="B143" i="74" l="1"/>
  <c r="G143" i="74"/>
  <c r="I143" i="74"/>
  <c r="H143" i="74"/>
  <c r="G144" i="74" l="1"/>
  <c r="I144" i="74"/>
  <c r="B144" i="74"/>
  <c r="H144" i="74"/>
  <c r="G145" i="74" l="1"/>
  <c r="B145" i="74"/>
  <c r="I145" i="74"/>
  <c r="H145" i="74"/>
  <c r="G146" i="74" l="1"/>
  <c r="I146" i="74"/>
  <c r="H146" i="74"/>
  <c r="B146" i="74"/>
  <c r="I147" i="74" l="1"/>
  <c r="B147" i="74"/>
  <c r="G147" i="74"/>
  <c r="H147" i="74"/>
  <c r="I148" i="74" l="1"/>
  <c r="B148" i="74"/>
  <c r="H148" i="74"/>
  <c r="G148" i="74"/>
  <c r="I149" i="74" l="1"/>
  <c r="G149" i="74"/>
  <c r="B149" i="74"/>
  <c r="H149" i="74"/>
  <c r="I150" i="74" l="1"/>
  <c r="B150" i="74"/>
  <c r="H150" i="74"/>
  <c r="G150" i="74"/>
  <c r="B151" i="74" l="1"/>
  <c r="H151" i="74"/>
  <c r="I151" i="74"/>
  <c r="G151" i="74"/>
  <c r="I152" i="74" l="1"/>
  <c r="H152" i="74"/>
  <c r="G152" i="74"/>
  <c r="B152" i="74"/>
  <c r="H153" i="74" l="1"/>
  <c r="B153" i="74"/>
  <c r="G153" i="74"/>
  <c r="I153" i="74"/>
  <c r="H154" i="74" l="1"/>
  <c r="I154" i="74"/>
  <c r="B154" i="74"/>
  <c r="G154" i="74"/>
  <c r="I155" i="74" l="1"/>
  <c r="G155" i="74"/>
  <c r="B155" i="74"/>
  <c r="H155" i="74"/>
  <c r="H156" i="74" l="1"/>
  <c r="I156" i="74"/>
  <c r="B156" i="74"/>
  <c r="G156" i="74"/>
  <c r="H157" i="74" l="1"/>
  <c r="B157" i="74"/>
  <c r="I157" i="74"/>
  <c r="G157" i="74"/>
  <c r="B158" i="74" l="1"/>
  <c r="G158" i="74"/>
  <c r="H158" i="74"/>
  <c r="I158" i="74"/>
  <c r="B159" i="74" l="1"/>
  <c r="G159" i="74"/>
  <c r="H159" i="74"/>
  <c r="I159" i="74"/>
  <c r="G160" i="74" l="1"/>
  <c r="B160" i="74"/>
  <c r="I160" i="74"/>
  <c r="H160" i="74"/>
  <c r="G161" i="74" l="1"/>
  <c r="I161" i="74"/>
  <c r="B161" i="74"/>
  <c r="H161" i="74"/>
  <c r="B162" i="74" l="1"/>
  <c r="G162" i="74"/>
  <c r="H162" i="74"/>
  <c r="I162" i="74"/>
  <c r="B163" i="74" l="1"/>
  <c r="I163" i="74"/>
  <c r="H163" i="74"/>
  <c r="G163" i="74"/>
  <c r="G164" i="74" l="1"/>
  <c r="H164" i="74"/>
  <c r="I164" i="74"/>
  <c r="B164" i="74"/>
  <c r="I165" i="74" l="1"/>
  <c r="B165" i="74"/>
  <c r="H165" i="74"/>
  <c r="G165" i="74"/>
  <c r="H166" i="74" l="1"/>
  <c r="G166" i="74"/>
  <c r="B166" i="74"/>
  <c r="I166" i="74"/>
  <c r="H167" i="74" l="1"/>
  <c r="B167" i="74"/>
  <c r="I167" i="74"/>
  <c r="G167" i="74"/>
  <c r="B168" i="74" l="1"/>
  <c r="H168" i="74"/>
  <c r="I168" i="74"/>
  <c r="G168" i="74"/>
  <c r="B169" i="74" l="1"/>
  <c r="H169" i="74"/>
  <c r="I169" i="74"/>
  <c r="G169" i="74"/>
  <c r="B170" i="74" l="1"/>
  <c r="G170" i="74"/>
  <c r="H170" i="74"/>
  <c r="I170" i="74"/>
  <c r="H171" i="74" l="1"/>
  <c r="B171" i="74"/>
  <c r="I171" i="74"/>
  <c r="G171" i="74"/>
  <c r="B172" i="74" l="1"/>
  <c r="G172" i="74"/>
  <c r="I172" i="74"/>
  <c r="H172" i="74"/>
  <c r="H173" i="74" l="1"/>
  <c r="B173" i="74"/>
  <c r="G173" i="74"/>
  <c r="I173" i="74"/>
  <c r="B174" i="74" l="1"/>
  <c r="G174" i="74"/>
  <c r="H174" i="74"/>
  <c r="I174" i="74"/>
  <c r="I175" i="74" l="1"/>
  <c r="H175" i="74"/>
  <c r="G175" i="74"/>
  <c r="B175" i="74"/>
  <c r="B176" i="74" l="1"/>
  <c r="I176" i="74"/>
  <c r="H176" i="74"/>
  <c r="G176" i="74"/>
  <c r="G177" i="74" l="1"/>
  <c r="B177" i="74"/>
  <c r="H177" i="74"/>
  <c r="I177" i="74"/>
  <c r="G178" i="74" l="1"/>
  <c r="B178" i="74"/>
  <c r="H178" i="74"/>
  <c r="I178" i="74"/>
  <c r="B179" i="74" l="1"/>
  <c r="I179" i="74"/>
  <c r="H179" i="74"/>
  <c r="G179" i="74"/>
  <c r="I180" i="74" l="1"/>
  <c r="G180" i="74"/>
  <c r="H180" i="74"/>
  <c r="B180" i="74"/>
  <c r="H181" i="74" l="1"/>
  <c r="G181" i="74"/>
  <c r="I181" i="74"/>
  <c r="B181" i="74"/>
  <c r="H182" i="74" l="1"/>
  <c r="G182" i="74"/>
  <c r="B182" i="74"/>
  <c r="I182" i="74"/>
  <c r="I183" i="74" l="1"/>
  <c r="H183" i="74"/>
  <c r="G183" i="74"/>
  <c r="B183" i="74"/>
  <c r="H184" i="74" l="1"/>
  <c r="B184" i="74"/>
  <c r="I184" i="74"/>
  <c r="G184" i="74"/>
  <c r="H185" i="74" l="1"/>
  <c r="I185" i="74"/>
  <c r="B185" i="74"/>
  <c r="G185" i="74"/>
  <c r="H186" i="74" l="1"/>
  <c r="I186" i="74"/>
  <c r="B186" i="74"/>
  <c r="G186" i="74"/>
  <c r="B187" i="74" l="1"/>
  <c r="I187" i="74"/>
  <c r="H187" i="74"/>
  <c r="G187" i="74"/>
  <c r="B188" i="74" l="1"/>
  <c r="H188" i="74"/>
  <c r="G188" i="74"/>
  <c r="I188" i="74"/>
  <c r="I189" i="74" l="1"/>
  <c r="H189" i="74"/>
  <c r="B189" i="74"/>
  <c r="G189" i="74"/>
  <c r="B190" i="74" l="1"/>
  <c r="I190" i="74"/>
  <c r="G190" i="74"/>
  <c r="H190" i="74"/>
  <c r="H191" i="74" l="1"/>
  <c r="B191" i="74"/>
  <c r="G191" i="74"/>
  <c r="I191" i="74"/>
  <c r="I192" i="74" l="1"/>
  <c r="G192" i="74"/>
  <c r="B192" i="74"/>
  <c r="H192" i="74"/>
  <c r="G193" i="74" l="1"/>
  <c r="H193" i="74"/>
  <c r="I193" i="74"/>
  <c r="B193" i="74"/>
  <c r="G194" i="74" l="1"/>
  <c r="I194" i="74"/>
  <c r="B194" i="74"/>
  <c r="H194" i="74"/>
  <c r="B195" i="74" l="1"/>
  <c r="H195" i="74"/>
  <c r="G195" i="74"/>
  <c r="I195" i="74"/>
  <c r="H196" i="74" l="1"/>
  <c r="I196" i="74"/>
  <c r="B196" i="74"/>
  <c r="G196" i="74"/>
  <c r="H197" i="74" l="1"/>
  <c r="G197" i="74"/>
  <c r="B197" i="74"/>
  <c r="I197" i="74"/>
  <c r="I198" i="74" l="1"/>
  <c r="G198" i="74"/>
  <c r="B198" i="74"/>
  <c r="H198" i="74"/>
  <c r="B199" i="74" l="1"/>
  <c r="H199" i="74"/>
  <c r="I199" i="74"/>
  <c r="G199" i="74"/>
  <c r="I200" i="74" l="1"/>
  <c r="H200" i="74"/>
  <c r="B200" i="74"/>
  <c r="G200" i="74"/>
  <c r="B201" i="74" l="1"/>
  <c r="H201" i="74"/>
  <c r="G201" i="74"/>
  <c r="I201" i="74"/>
  <c r="I202" i="74" l="1"/>
  <c r="B202" i="74"/>
  <c r="G202" i="74"/>
  <c r="H202" i="74"/>
  <c r="B203" i="74" l="1"/>
  <c r="G203" i="74"/>
  <c r="H203" i="74"/>
  <c r="I203" i="74"/>
  <c r="H204" i="74" l="1"/>
  <c r="B204" i="74"/>
  <c r="I204" i="74"/>
  <c r="G204" i="74"/>
  <c r="H205" i="74" l="1"/>
  <c r="B205" i="74"/>
  <c r="G205" i="74"/>
  <c r="I205" i="74"/>
  <c r="B206" i="74" l="1"/>
  <c r="H206" i="74"/>
  <c r="I206" i="74"/>
  <c r="G206" i="74"/>
  <c r="G207" i="74" l="1"/>
  <c r="H207" i="74"/>
  <c r="I207" i="74"/>
  <c r="B207" i="74"/>
  <c r="G208" i="74" l="1"/>
  <c r="B208" i="74"/>
  <c r="I208" i="74"/>
  <c r="H208" i="74"/>
  <c r="B209" i="74" l="1"/>
  <c r="G209" i="74"/>
  <c r="H209" i="74"/>
  <c r="I209" i="74"/>
  <c r="G210" i="74" l="1"/>
  <c r="B210" i="74"/>
  <c r="I210" i="74"/>
  <c r="H210" i="74"/>
  <c r="G211" i="74" l="1"/>
  <c r="I211" i="74"/>
  <c r="H211" i="74"/>
  <c r="B211" i="74"/>
  <c r="H212" i="74" l="1"/>
  <c r="G212" i="74"/>
  <c r="I212" i="74"/>
  <c r="B212" i="74"/>
  <c r="I213" i="74" l="1"/>
  <c r="G213" i="74"/>
  <c r="H213" i="74"/>
  <c r="B213" i="74"/>
  <c r="B214" i="74" l="1"/>
  <c r="H214" i="74"/>
  <c r="G214" i="74"/>
  <c r="I214" i="74"/>
  <c r="H215" i="74" l="1"/>
  <c r="G215" i="74"/>
  <c r="B215" i="74"/>
  <c r="I215" i="74"/>
  <c r="H216" i="74" l="1"/>
  <c r="G216" i="74"/>
  <c r="B216" i="74"/>
  <c r="I216" i="74"/>
  <c r="B217" i="74" l="1"/>
  <c r="G217" i="74"/>
  <c r="I217" i="74"/>
  <c r="H217" i="74"/>
  <c r="H218" i="74" l="1"/>
  <c r="I218" i="74"/>
  <c r="G218" i="74"/>
  <c r="B218" i="74"/>
  <c r="H219" i="74" l="1"/>
  <c r="B219" i="74"/>
  <c r="G219" i="74"/>
  <c r="I219" i="74"/>
  <c r="B220" i="74" l="1"/>
  <c r="G220" i="74"/>
  <c r="I220" i="74"/>
  <c r="H220" i="74"/>
  <c r="H221" i="74" l="1"/>
  <c r="B221" i="74"/>
  <c r="I221" i="74"/>
  <c r="G221" i="74"/>
  <c r="B222" i="74" l="1"/>
  <c r="G222" i="74"/>
  <c r="I222" i="74"/>
  <c r="H222" i="74"/>
  <c r="I223" i="74" l="1"/>
  <c r="B223" i="74"/>
  <c r="H223" i="74"/>
  <c r="G223" i="74"/>
  <c r="B224" i="74" l="1"/>
  <c r="I224" i="74"/>
  <c r="H224" i="74"/>
  <c r="G224" i="74"/>
  <c r="H225" i="74" l="1"/>
  <c r="B225" i="74"/>
  <c r="I225" i="74"/>
  <c r="G225" i="74"/>
  <c r="G226" i="74" l="1"/>
  <c r="B226" i="74"/>
  <c r="I226" i="74"/>
  <c r="H226" i="74"/>
  <c r="I227" i="74" l="1"/>
  <c r="G227" i="74"/>
  <c r="B227" i="74"/>
  <c r="H227" i="74"/>
  <c r="H228" i="74" l="1"/>
  <c r="B228" i="74"/>
  <c r="G228" i="74"/>
  <c r="I228" i="74"/>
  <c r="I229" i="74" l="1"/>
  <c r="H229" i="74"/>
  <c r="G229" i="74"/>
  <c r="B229" i="74"/>
  <c r="B230" i="74" l="1"/>
  <c r="I230" i="74"/>
  <c r="H230" i="74"/>
  <c r="G230" i="74"/>
  <c r="G231" i="74" l="1"/>
  <c r="B231" i="74"/>
  <c r="H231" i="74"/>
  <c r="I231" i="74"/>
  <c r="H232" i="74" l="1"/>
  <c r="B232" i="74"/>
  <c r="G232" i="74"/>
  <c r="I232" i="74"/>
  <c r="H233" i="74" l="1"/>
  <c r="I233" i="74"/>
  <c r="B233" i="74"/>
  <c r="G233" i="74"/>
  <c r="H234" i="74" l="1"/>
  <c r="G234" i="74"/>
  <c r="B234" i="74"/>
  <c r="I234" i="74"/>
  <c r="G235" i="74" l="1"/>
  <c r="H235" i="74"/>
  <c r="B235" i="74"/>
  <c r="I235" i="74"/>
  <c r="B236" i="74" l="1"/>
  <c r="H236" i="74"/>
  <c r="I236" i="74"/>
  <c r="G236" i="74"/>
  <c r="I237" i="74" l="1"/>
  <c r="H237" i="74"/>
  <c r="B237" i="74"/>
  <c r="G237" i="74"/>
  <c r="B238" i="74" l="1"/>
  <c r="I238" i="74"/>
  <c r="G238" i="74"/>
  <c r="H238" i="74"/>
  <c r="B239" i="74" l="1"/>
  <c r="G239" i="74"/>
  <c r="I239" i="74"/>
  <c r="H239" i="74"/>
  <c r="H240" i="74" l="1"/>
  <c r="I240" i="74"/>
  <c r="G240" i="74"/>
  <c r="B240" i="74"/>
  <c r="G241" i="74" l="1"/>
  <c r="B241" i="74"/>
  <c r="H241" i="74"/>
  <c r="I241" i="74"/>
  <c r="G242" i="74" l="1"/>
  <c r="B242" i="74"/>
  <c r="H242" i="74"/>
  <c r="I242" i="74"/>
  <c r="I243" i="74" l="1"/>
  <c r="G243" i="74"/>
  <c r="B243" i="74"/>
  <c r="H243" i="74"/>
  <c r="B244" i="74" l="1"/>
  <c r="G244" i="74"/>
  <c r="I244" i="74"/>
  <c r="H244" i="74"/>
  <c r="I245" i="74" l="1"/>
  <c r="G245" i="74"/>
  <c r="B245" i="74"/>
  <c r="H245" i="74"/>
  <c r="G246" i="74" l="1"/>
  <c r="B246" i="74"/>
  <c r="I246" i="74"/>
  <c r="H246" i="74"/>
  <c r="B247" i="74" l="1"/>
  <c r="I247" i="74"/>
  <c r="H247" i="74"/>
  <c r="G247" i="74"/>
  <c r="H248" i="74" l="1"/>
  <c r="G248" i="74"/>
  <c r="B248" i="74"/>
  <c r="I248" i="74"/>
  <c r="B249" i="74" l="1"/>
  <c r="G249" i="74"/>
  <c r="I249" i="74"/>
  <c r="H249" i="74"/>
  <c r="I250" i="74" l="1"/>
  <c r="B250" i="74"/>
  <c r="H250" i="74"/>
  <c r="G250" i="74"/>
  <c r="H251" i="74" l="1"/>
  <c r="B251" i="74"/>
  <c r="G251" i="74"/>
  <c r="I251" i="74"/>
  <c r="B252" i="74" l="1"/>
  <c r="I252" i="74"/>
  <c r="G252" i="74"/>
  <c r="H252" i="74"/>
  <c r="B253" i="74" l="1"/>
  <c r="H253" i="74"/>
  <c r="I253" i="74"/>
  <c r="G253" i="74"/>
  <c r="B254" i="74" l="1"/>
  <c r="G254" i="74"/>
  <c r="I254" i="74"/>
  <c r="H254" i="74"/>
  <c r="H255" i="74" l="1"/>
  <c r="B255" i="74"/>
  <c r="G255" i="74"/>
  <c r="I255" i="74"/>
  <c r="G256" i="74" l="1"/>
  <c r="B256" i="74"/>
  <c r="I256" i="74"/>
  <c r="H256" i="74"/>
  <c r="G257" i="74" l="1"/>
  <c r="B257" i="74"/>
  <c r="I257" i="74"/>
  <c r="H257" i="74"/>
  <c r="G258" i="74" l="1"/>
  <c r="B258" i="74"/>
  <c r="I258" i="74"/>
  <c r="H258" i="74"/>
  <c r="G259" i="74" l="1"/>
  <c r="I259" i="74"/>
  <c r="B259" i="74"/>
  <c r="H259" i="74"/>
  <c r="H260" i="74" l="1"/>
  <c r="I260" i="74"/>
  <c r="G260" i="74"/>
  <c r="B260" i="74"/>
  <c r="H261" i="74" l="1"/>
  <c r="G261" i="74"/>
  <c r="I261" i="74"/>
  <c r="B261" i="74"/>
  <c r="G262" i="74" l="1"/>
  <c r="B262" i="74"/>
  <c r="I262" i="74"/>
  <c r="H262" i="74"/>
  <c r="I263" i="74" l="1"/>
  <c r="H263" i="74"/>
  <c r="G263" i="74"/>
  <c r="B263" i="74"/>
  <c r="B264" i="74" l="1"/>
  <c r="H264" i="74"/>
  <c r="G264" i="74"/>
  <c r="I264" i="74"/>
  <c r="B265" i="74" l="1"/>
  <c r="G265" i="74"/>
  <c r="I265" i="74"/>
  <c r="H265" i="74"/>
  <c r="H266" i="74" l="1"/>
  <c r="G266" i="74"/>
  <c r="I266" i="74"/>
  <c r="B266" i="74"/>
  <c r="B267" i="74" l="1"/>
  <c r="I267" i="74"/>
  <c r="G267" i="74"/>
  <c r="H267" i="74"/>
  <c r="H268" i="74" l="1"/>
  <c r="B268" i="74"/>
  <c r="G268" i="74"/>
  <c r="I268" i="74"/>
  <c r="B269" i="74" l="1"/>
  <c r="H269" i="74"/>
  <c r="G269" i="74"/>
  <c r="I269" i="74"/>
  <c r="I270" i="74" l="1"/>
  <c r="G270" i="74"/>
  <c r="B270" i="74"/>
  <c r="H270" i="74"/>
  <c r="H271" i="74" l="1"/>
  <c r="G271" i="74"/>
  <c r="I271" i="74"/>
  <c r="B271" i="74"/>
  <c r="G272" i="74" l="1"/>
  <c r="I272" i="74"/>
  <c r="H272" i="74"/>
  <c r="B272" i="74"/>
  <c r="B273" i="74" l="1"/>
  <c r="G273" i="74"/>
  <c r="I273" i="74"/>
  <c r="H273" i="74"/>
  <c r="G274" i="74" l="1"/>
  <c r="B274" i="74"/>
  <c r="H274" i="74"/>
  <c r="I274" i="74"/>
  <c r="G275" i="74" l="1"/>
  <c r="I275" i="74"/>
  <c r="H275" i="74"/>
  <c r="B275" i="74"/>
  <c r="B276" i="74" l="1"/>
  <c r="G276" i="74"/>
  <c r="H276" i="74"/>
  <c r="I276" i="74"/>
  <c r="H277" i="74" l="1"/>
  <c r="G277" i="74"/>
  <c r="B277" i="74"/>
  <c r="I277" i="74"/>
  <c r="B278" i="74" l="1"/>
  <c r="I278" i="74"/>
  <c r="G278" i="74"/>
  <c r="H278" i="74"/>
  <c r="G279" i="74" l="1"/>
  <c r="I279" i="74"/>
  <c r="B279" i="74"/>
  <c r="H279" i="74"/>
  <c r="B280" i="74" l="1"/>
  <c r="G280" i="74"/>
  <c r="H280" i="74"/>
  <c r="I280" i="74"/>
  <c r="H281" i="74" l="1"/>
  <c r="B281" i="74"/>
  <c r="G281" i="74"/>
  <c r="I281" i="74"/>
  <c r="B282" i="74" l="1"/>
  <c r="G282" i="74"/>
  <c r="I282" i="74"/>
  <c r="H282" i="74"/>
  <c r="G283" i="74" l="1"/>
  <c r="B283" i="74"/>
  <c r="H283" i="74"/>
  <c r="I283" i="74"/>
  <c r="H284" i="74" l="1"/>
  <c r="B284" i="74"/>
  <c r="G284" i="74"/>
  <c r="I284" i="74"/>
  <c r="H285" i="74" l="1"/>
  <c r="I285" i="74"/>
  <c r="B285" i="74"/>
  <c r="G285" i="74"/>
  <c r="I286" i="74" l="1"/>
  <c r="G286" i="74"/>
  <c r="B286" i="74"/>
  <c r="H286" i="74"/>
  <c r="H287" i="74" l="1"/>
  <c r="B287" i="74"/>
  <c r="I287" i="74"/>
  <c r="G287" i="74"/>
  <c r="B288" i="74" l="1"/>
  <c r="H288" i="74"/>
  <c r="G288" i="74"/>
  <c r="I288" i="74"/>
  <c r="B289" i="74" l="1"/>
  <c r="I289" i="74"/>
  <c r="G289" i="74"/>
  <c r="H289" i="74"/>
  <c r="G290" i="74" l="1"/>
  <c r="I290" i="74"/>
  <c r="H290" i="74"/>
  <c r="B290" i="74"/>
  <c r="I291" i="74" l="1"/>
  <c r="B291" i="74"/>
  <c r="G291" i="74"/>
  <c r="H291" i="74"/>
  <c r="H292" i="74" l="1"/>
  <c r="G292" i="74"/>
  <c r="B292" i="74"/>
  <c r="I292" i="74"/>
  <c r="I293" i="74" l="1"/>
  <c r="B293" i="74"/>
  <c r="H293" i="74"/>
  <c r="G293" i="74"/>
  <c r="B294" i="74" l="1"/>
  <c r="G294" i="74"/>
  <c r="H294" i="74"/>
  <c r="I294" i="74"/>
  <c r="B295" i="74" l="1"/>
  <c r="H295" i="74"/>
  <c r="I295" i="74"/>
  <c r="G295" i="74"/>
  <c r="G296" i="74" l="1"/>
  <c r="B296" i="74"/>
  <c r="H296" i="74"/>
  <c r="I296" i="74"/>
  <c r="B297" i="74" l="1"/>
  <c r="I297" i="74"/>
  <c r="H297" i="74"/>
  <c r="G297" i="74"/>
  <c r="H298" i="74" l="1"/>
  <c r="G298" i="74"/>
  <c r="B298" i="74"/>
  <c r="I298" i="74"/>
  <c r="H299" i="74" l="1"/>
  <c r="I299" i="74"/>
  <c r="B299" i="74"/>
  <c r="G299" i="74"/>
  <c r="G300" i="74" l="1"/>
  <c r="H300" i="74"/>
  <c r="B300" i="74"/>
  <c r="I300" i="74"/>
  <c r="B301" i="74" l="1"/>
  <c r="H301" i="74"/>
  <c r="I301" i="74"/>
  <c r="G301" i="74"/>
  <c r="B302" i="74" l="1"/>
  <c r="H302" i="74"/>
  <c r="I302" i="74"/>
  <c r="G302" i="74"/>
  <c r="H303" i="74" l="1"/>
  <c r="B303" i="74"/>
  <c r="I303" i="74"/>
  <c r="G303" i="74"/>
  <c r="G304" i="74" l="1"/>
  <c r="B304" i="74"/>
  <c r="H304" i="74"/>
  <c r="I304" i="74"/>
  <c r="G305" i="74" l="1"/>
  <c r="I305" i="74"/>
  <c r="B305" i="74"/>
  <c r="H305" i="74"/>
  <c r="B306" i="74" l="1"/>
  <c r="G306" i="74"/>
  <c r="I306" i="74"/>
  <c r="H306" i="74"/>
  <c r="G307" i="74" l="1"/>
  <c r="H307" i="74"/>
  <c r="B307" i="74"/>
  <c r="I307" i="74"/>
  <c r="B308" i="74" l="1"/>
  <c r="H308" i="74"/>
  <c r="I308" i="74"/>
  <c r="G308" i="74"/>
  <c r="I309" i="74" l="1"/>
  <c r="B309" i="74"/>
  <c r="H309" i="74"/>
  <c r="G309" i="74"/>
  <c r="G310" i="74" l="1"/>
  <c r="B310" i="74"/>
  <c r="I310" i="74"/>
  <c r="H310" i="74"/>
  <c r="B311" i="74" l="1"/>
  <c r="I311" i="74"/>
  <c r="G311" i="74"/>
  <c r="H311" i="74"/>
  <c r="I312" i="74" l="1"/>
  <c r="H312" i="74"/>
  <c r="B312" i="74"/>
  <c r="G312" i="74"/>
  <c r="H313" i="74" l="1"/>
  <c r="B313" i="74"/>
  <c r="G313" i="74"/>
  <c r="I313" i="74"/>
  <c r="H314" i="74" l="1"/>
  <c r="G314" i="74"/>
  <c r="B314" i="74"/>
  <c r="I314" i="74"/>
  <c r="G315" i="74" l="1"/>
  <c r="B315" i="74"/>
  <c r="H315" i="74"/>
  <c r="I315" i="74"/>
  <c r="G316" i="74" l="1"/>
  <c r="B316" i="74"/>
  <c r="I316" i="74"/>
  <c r="H316" i="74"/>
  <c r="B317" i="74" l="1"/>
  <c r="H317" i="74"/>
  <c r="G317" i="74"/>
  <c r="I317" i="74"/>
  <c r="B318" i="74" l="1"/>
  <c r="H318" i="74"/>
  <c r="I318" i="74"/>
  <c r="G318" i="74"/>
  <c r="B319" i="74" l="1"/>
  <c r="I319" i="74"/>
  <c r="G319" i="74"/>
  <c r="H319" i="74"/>
  <c r="G320" i="74" l="1"/>
  <c r="I320" i="74"/>
  <c r="B320" i="74"/>
  <c r="H320" i="74"/>
  <c r="G321" i="74" l="1"/>
  <c r="B321" i="74"/>
  <c r="I321" i="74"/>
  <c r="H321" i="74"/>
  <c r="G322" i="74" l="1"/>
  <c r="H322" i="74"/>
  <c r="I322" i="74"/>
  <c r="B322" i="74"/>
  <c r="I323" i="74" l="1"/>
  <c r="B323" i="74"/>
  <c r="G323" i="74"/>
  <c r="H323" i="74"/>
  <c r="I324" i="74" l="1"/>
  <c r="G324" i="74"/>
  <c r="B324" i="74"/>
  <c r="H324" i="74"/>
  <c r="I325" i="74" l="1"/>
  <c r="H325" i="74"/>
  <c r="B325" i="74"/>
  <c r="G325" i="74"/>
  <c r="H326" i="74" l="1"/>
  <c r="I326" i="74"/>
  <c r="G326" i="74"/>
  <c r="B326" i="74"/>
  <c r="I327" i="74" l="1"/>
  <c r="B327" i="74"/>
  <c r="G327" i="74"/>
  <c r="H327" i="74"/>
  <c r="H328" i="74" l="1"/>
  <c r="B328" i="74"/>
  <c r="G328" i="74"/>
  <c r="I328" i="74"/>
  <c r="B329" i="74" l="1"/>
  <c r="H329" i="74"/>
  <c r="I329" i="74"/>
  <c r="G329" i="74"/>
  <c r="H330" i="74" l="1"/>
  <c r="I330" i="74"/>
  <c r="B330" i="74"/>
  <c r="G330" i="74"/>
  <c r="I331" i="74" l="1"/>
  <c r="G331" i="74"/>
  <c r="H331" i="74"/>
  <c r="B331" i="74"/>
  <c r="H332" i="74" l="1"/>
  <c r="B332" i="74"/>
  <c r="G332" i="74"/>
  <c r="I332" i="74"/>
  <c r="G333" i="74" l="1"/>
  <c r="B333" i="74"/>
  <c r="I333" i="74"/>
  <c r="H333" i="74"/>
  <c r="B334" i="74" l="1"/>
  <c r="H334" i="74"/>
  <c r="I334" i="74"/>
  <c r="G334" i="74"/>
  <c r="G335" i="74" l="1"/>
  <c r="B335" i="74"/>
  <c r="I335" i="74"/>
  <c r="H335" i="74"/>
  <c r="B336" i="74" l="1"/>
  <c r="I336" i="74"/>
  <c r="G336" i="74"/>
  <c r="H336" i="74"/>
  <c r="B337" i="74" l="1"/>
  <c r="H337" i="74"/>
  <c r="I337" i="74"/>
  <c r="G337" i="74"/>
  <c r="B338" i="74" l="1"/>
  <c r="H338" i="74"/>
  <c r="G338" i="74"/>
  <c r="I338" i="74"/>
  <c r="G339" i="74" l="1"/>
  <c r="B339" i="74"/>
  <c r="I339" i="74"/>
  <c r="H339" i="74"/>
  <c r="G340" i="74" l="1"/>
  <c r="I340" i="74"/>
  <c r="B340" i="74"/>
  <c r="H340" i="74"/>
  <c r="H341" i="74" l="1"/>
  <c r="B341" i="74"/>
  <c r="G341" i="74"/>
  <c r="I341" i="74"/>
  <c r="I342" i="74" l="1"/>
  <c r="B342" i="74"/>
  <c r="H342" i="74"/>
  <c r="G342" i="74"/>
  <c r="H343" i="74" l="1"/>
  <c r="B343" i="74"/>
  <c r="G343" i="74"/>
  <c r="I343" i="74"/>
  <c r="I344" i="74" l="1"/>
  <c r="B344" i="74"/>
  <c r="G344" i="74"/>
  <c r="H344" i="74"/>
  <c r="G345" i="74" l="1"/>
  <c r="B345" i="74"/>
  <c r="H345" i="74"/>
  <c r="I345" i="74"/>
  <c r="H346" i="74" l="1"/>
  <c r="B346" i="74"/>
  <c r="G346" i="74"/>
  <c r="I346" i="74"/>
  <c r="B347" i="74" l="1"/>
  <c r="H347" i="74"/>
  <c r="G347" i="74"/>
  <c r="I347" i="74"/>
  <c r="G348" i="74" l="1"/>
  <c r="H348" i="74"/>
  <c r="I348" i="74"/>
  <c r="B348" i="74"/>
  <c r="B349" i="74" l="1"/>
  <c r="H349" i="74"/>
  <c r="I349" i="74"/>
  <c r="G349" i="74"/>
  <c r="G350" i="74" l="1"/>
  <c r="I350" i="74"/>
  <c r="B350" i="74"/>
  <c r="H350" i="74"/>
  <c r="B351" i="74" l="1"/>
  <c r="G351" i="74"/>
  <c r="I351" i="74"/>
  <c r="H351" i="74"/>
  <c r="G352" i="74" l="1"/>
  <c r="B352" i="74"/>
  <c r="I352" i="74"/>
  <c r="H352" i="74"/>
  <c r="G353" i="74" l="1"/>
  <c r="B353" i="74"/>
  <c r="I353" i="74"/>
  <c r="H353" i="74"/>
  <c r="G354" i="74" l="1"/>
  <c r="B354" i="74"/>
  <c r="H354" i="74"/>
  <c r="I354" i="74"/>
  <c r="B355" i="74" l="1"/>
  <c r="G355" i="74"/>
  <c r="H355" i="74"/>
  <c r="I355" i="74"/>
  <c r="I356" i="74" l="1"/>
  <c r="H356" i="74"/>
  <c r="G356" i="74"/>
  <c r="B356" i="74"/>
  <c r="H357" i="74" l="1"/>
  <c r="G357" i="74"/>
  <c r="B357" i="74"/>
  <c r="I357" i="74"/>
  <c r="I358" i="74" l="1"/>
  <c r="B358" i="74"/>
  <c r="H358" i="74"/>
  <c r="G358" i="74"/>
  <c r="H359" i="74" l="1"/>
  <c r="I359" i="74"/>
  <c r="B359" i="74"/>
  <c r="G359" i="74"/>
  <c r="H360" i="74" l="1"/>
  <c r="G360" i="74"/>
  <c r="I360" i="74"/>
  <c r="B360" i="74"/>
  <c r="B361" i="74" l="1"/>
  <c r="H361" i="74"/>
  <c r="G361" i="74"/>
  <c r="I361" i="74"/>
  <c r="H362" i="74" l="1"/>
  <c r="I362" i="74"/>
  <c r="G362" i="74"/>
  <c r="B362" i="74"/>
  <c r="B363" i="74" l="1"/>
  <c r="G363" i="74"/>
  <c r="H363" i="74"/>
  <c r="I363" i="74"/>
  <c r="G364" i="74" l="1"/>
  <c r="B364" i="74"/>
  <c r="H364" i="74"/>
  <c r="I364" i="74"/>
  <c r="B365" i="74" l="1"/>
  <c r="G365" i="74"/>
  <c r="I365" i="74"/>
  <c r="H365" i="74"/>
  <c r="I366" i="74" l="1"/>
  <c r="G366" i="74"/>
  <c r="B366" i="74"/>
  <c r="H366" i="74"/>
  <c r="B367" i="74" l="1"/>
  <c r="G367" i="74"/>
  <c r="H367" i="74"/>
  <c r="I367" i="74"/>
  <c r="B368" i="74" l="1"/>
  <c r="I368" i="74"/>
  <c r="G368" i="74"/>
  <c r="H368" i="74"/>
  <c r="G369" i="74" l="1"/>
  <c r="I369" i="74"/>
  <c r="B369" i="74"/>
  <c r="H369" i="74"/>
  <c r="G370" i="74" l="1"/>
  <c r="H370" i="74"/>
  <c r="B370" i="74"/>
  <c r="I370" i="74"/>
  <c r="I371" i="74" l="1"/>
  <c r="G371" i="74"/>
  <c r="B371" i="74"/>
  <c r="H371" i="74"/>
  <c r="B372" i="74" l="1"/>
  <c r="H372" i="74"/>
  <c r="I372" i="74"/>
  <c r="G372" i="74"/>
  <c r="I373" i="74" l="1"/>
  <c r="B373" i="74"/>
  <c r="H373" i="74"/>
  <c r="G373" i="74"/>
  <c r="H374" i="74" l="1"/>
  <c r="G374" i="74"/>
  <c r="I374" i="74"/>
  <c r="B374" i="74"/>
  <c r="I375" i="74" l="1"/>
  <c r="B375" i="74"/>
  <c r="G375" i="74"/>
  <c r="H375" i="74"/>
  <c r="H376" i="74" l="1"/>
  <c r="G376" i="74"/>
  <c r="I376" i="74"/>
  <c r="B376" i="74"/>
  <c r="B377" i="74" l="1"/>
  <c r="G377" i="74"/>
  <c r="H377" i="74"/>
  <c r="I377" i="74"/>
  <c r="G378" i="74" l="1"/>
  <c r="I378" i="74"/>
  <c r="B378" i="74"/>
  <c r="H378" i="74"/>
  <c r="B379" i="74" l="1"/>
  <c r="G379" i="74"/>
  <c r="H379" i="74"/>
  <c r="I379" i="74"/>
  <c r="I380" i="74" l="1"/>
  <c r="B380" i="74"/>
  <c r="H380" i="74"/>
  <c r="G380" i="74"/>
  <c r="B381" i="74" l="1"/>
  <c r="H381" i="74"/>
  <c r="I381" i="74"/>
  <c r="G381" i="74"/>
  <c r="B382" i="74" l="1"/>
  <c r="H382" i="74"/>
  <c r="G382" i="74"/>
  <c r="I382" i="74"/>
  <c r="B383" i="74" l="1"/>
  <c r="I383" i="74"/>
  <c r="G383" i="74"/>
  <c r="H383" i="74"/>
  <c r="G384" i="74" l="1"/>
  <c r="B384" i="74"/>
  <c r="I384" i="74"/>
  <c r="H384" i="74"/>
  <c r="G385" i="74" l="1"/>
  <c r="B385" i="74"/>
  <c r="I385" i="74"/>
  <c r="H385" i="74"/>
  <c r="G386" i="74" l="1"/>
  <c r="B386" i="74"/>
  <c r="I386" i="74"/>
  <c r="H386" i="74"/>
  <c r="I387" i="74" l="1"/>
  <c r="B387" i="74"/>
  <c r="G387" i="74"/>
  <c r="H387" i="74"/>
  <c r="I388" i="74" l="1"/>
  <c r="B388" i="74"/>
  <c r="G388" i="74"/>
  <c r="H388" i="74"/>
  <c r="H389" i="74" l="1"/>
  <c r="B389" i="74"/>
  <c r="I389" i="74"/>
  <c r="G389" i="74"/>
  <c r="B390" i="74" l="1"/>
  <c r="H390" i="74"/>
  <c r="G390" i="74"/>
  <c r="I390" i="74"/>
  <c r="H391" i="74" l="1"/>
  <c r="I391" i="74"/>
  <c r="B391" i="74"/>
  <c r="G391" i="74"/>
  <c r="I392" i="74" l="1"/>
  <c r="B392" i="74"/>
  <c r="G392" i="74"/>
  <c r="H392" i="74"/>
  <c r="B393" i="74" l="1"/>
  <c r="I393" i="74"/>
  <c r="H393" i="74"/>
  <c r="G393" i="74"/>
  <c r="G394" i="74" l="1"/>
  <c r="I394" i="74"/>
  <c r="B394" i="74"/>
  <c r="H394" i="74"/>
  <c r="H395" i="74" l="1"/>
  <c r="B395" i="74"/>
  <c r="G395" i="74"/>
  <c r="I395" i="74"/>
  <c r="B396" i="74" l="1"/>
  <c r="G396" i="74"/>
  <c r="I396" i="74"/>
  <c r="H396" i="74"/>
  <c r="B397" i="74" l="1"/>
  <c r="G397" i="74"/>
  <c r="I397" i="74"/>
  <c r="H397" i="74"/>
  <c r="B398" i="74" l="1"/>
  <c r="G398" i="74"/>
  <c r="H398" i="74"/>
  <c r="I398" i="74"/>
  <c r="G399" i="74" l="1"/>
  <c r="B399" i="74"/>
  <c r="H399" i="74"/>
  <c r="I399" i="74"/>
  <c r="I400" i="74" l="1"/>
  <c r="B400" i="74"/>
  <c r="H400" i="74"/>
  <c r="G400" i="74"/>
  <c r="I401" i="74" l="1"/>
  <c r="G401" i="74"/>
  <c r="B401" i="74"/>
  <c r="H401" i="74"/>
  <c r="G402" i="74" l="1"/>
  <c r="H402" i="74"/>
  <c r="B402" i="74"/>
  <c r="I402" i="74"/>
  <c r="I403" i="74" l="1"/>
  <c r="B403" i="74"/>
  <c r="G403" i="74"/>
  <c r="H403" i="74"/>
  <c r="B404" i="74" l="1"/>
  <c r="G404" i="74"/>
  <c r="I404" i="74"/>
  <c r="H404" i="74"/>
  <c r="H405" i="74" l="1"/>
  <c r="I405" i="74"/>
  <c r="G405" i="74"/>
  <c r="B405" i="74"/>
  <c r="H406" i="74" l="1"/>
  <c r="B406" i="74"/>
  <c r="G406" i="74"/>
  <c r="I406" i="74"/>
  <c r="B407" i="74" l="1"/>
  <c r="I407" i="74"/>
  <c r="H407" i="74"/>
  <c r="G407" i="74"/>
  <c r="B408" i="74" l="1"/>
  <c r="I408" i="74"/>
  <c r="I42" i="74" s="1"/>
  <c r="H408" i="74"/>
  <c r="H42" i="74" s="1"/>
  <c r="G408" i="74"/>
  <c r="G42" i="74" s="1"/>
  <c r="I17" i="76" l="1"/>
  <c r="F17" i="76"/>
  <c r="E56" i="56" l="1"/>
  <c r="F56" i="56"/>
  <c r="D79" i="80"/>
  <c r="G79" i="80" s="1"/>
  <c r="D64" i="80" s="1"/>
  <c r="C79" i="80"/>
  <c r="F79" i="80" s="1"/>
  <c r="C64" i="80" s="1"/>
  <c r="F13" i="56"/>
  <c r="F13" i="76"/>
  <c r="F18" i="76" s="1"/>
  <c r="D18" i="76"/>
  <c r="C116" i="80"/>
  <c r="C92" i="80"/>
  <c r="F80" i="56"/>
  <c r="E80" i="56"/>
  <c r="E68" i="56"/>
  <c r="D92" i="80"/>
  <c r="D104" i="80"/>
  <c r="G104" i="80" s="1"/>
  <c r="F64" i="80" s="1"/>
  <c r="F68" i="56"/>
  <c r="C104" i="80"/>
  <c r="F104" i="80" s="1"/>
  <c r="E64" i="80" s="1"/>
  <c r="I13" i="76"/>
  <c r="I18" i="76" s="1"/>
  <c r="I22" i="76" s="1"/>
  <c r="I45" i="76" s="1"/>
  <c r="G18" i="76"/>
  <c r="G68" i="56" l="1"/>
  <c r="D23" i="56"/>
  <c r="J15" i="56"/>
  <c r="J75" i="56"/>
  <c r="I75" i="56"/>
  <c r="F88" i="56"/>
  <c r="E88" i="56"/>
  <c r="J84" i="56"/>
  <c r="I84" i="56"/>
  <c r="F17" i="56"/>
  <c r="J87" i="56"/>
  <c r="I87" i="56"/>
  <c r="C10" i="69"/>
  <c r="F22" i="76"/>
  <c r="F21" i="56"/>
  <c r="D83" i="80"/>
  <c r="G83" i="80" s="1"/>
  <c r="D68" i="80" s="1"/>
  <c r="F60" i="56"/>
  <c r="E60" i="56"/>
  <c r="C83" i="80"/>
  <c r="F83" i="80" s="1"/>
  <c r="C68" i="80" s="1"/>
  <c r="F76" i="56"/>
  <c r="D112" i="80"/>
  <c r="G112" i="80" s="1"/>
  <c r="F72" i="80" s="1"/>
  <c r="E76" i="56"/>
  <c r="C112" i="80"/>
  <c r="F112" i="80" s="1"/>
  <c r="E72" i="80" s="1"/>
  <c r="D100" i="80"/>
  <c r="D78" i="56"/>
  <c r="J13" i="56"/>
  <c r="H23" i="56"/>
  <c r="C117" i="80"/>
  <c r="C93" i="80"/>
  <c r="J71" i="56"/>
  <c r="I71" i="56"/>
  <c r="C111" i="80"/>
  <c r="F111" i="80" s="1"/>
  <c r="E71" i="80" s="1"/>
  <c r="D99" i="80"/>
  <c r="D111" i="80"/>
  <c r="G111" i="80" s="1"/>
  <c r="F71" i="80" s="1"/>
  <c r="E75" i="56"/>
  <c r="F75" i="56"/>
  <c r="D96" i="80"/>
  <c r="C108" i="80"/>
  <c r="F108" i="80" s="1"/>
  <c r="E68" i="80" s="1"/>
  <c r="D108" i="80"/>
  <c r="G108" i="80" s="1"/>
  <c r="F68" i="80" s="1"/>
  <c r="E72" i="56"/>
  <c r="F72" i="56"/>
  <c r="I88" i="56"/>
  <c r="J88" i="56"/>
  <c r="H78" i="56"/>
  <c r="J68" i="56"/>
  <c r="I68" i="56"/>
  <c r="H66" i="56"/>
  <c r="I56" i="56"/>
  <c r="K56" i="56" s="1"/>
  <c r="J56" i="56"/>
  <c r="E69" i="56"/>
  <c r="D93" i="80"/>
  <c r="D105" i="80"/>
  <c r="G105" i="80" s="1"/>
  <c r="F65" i="80" s="1"/>
  <c r="F69" i="56"/>
  <c r="C105" i="80"/>
  <c r="F105" i="80" s="1"/>
  <c r="E65" i="80" s="1"/>
  <c r="J59" i="56"/>
  <c r="I59" i="56"/>
  <c r="F63" i="56"/>
  <c r="E63" i="56"/>
  <c r="D86" i="80"/>
  <c r="G86" i="80" s="1"/>
  <c r="D71" i="80" s="1"/>
  <c r="C86" i="80"/>
  <c r="F86" i="80" s="1"/>
  <c r="C71" i="80" s="1"/>
  <c r="F84" i="56"/>
  <c r="E84" i="56"/>
  <c r="J64" i="56"/>
  <c r="I64" i="56"/>
  <c r="J63" i="56"/>
  <c r="I63" i="56"/>
  <c r="J19" i="56"/>
  <c r="I80" i="56"/>
  <c r="J80" i="56"/>
  <c r="H90" i="56"/>
  <c r="F81" i="56"/>
  <c r="E81" i="56"/>
  <c r="J16" i="56"/>
  <c r="C123" i="80"/>
  <c r="C99" i="80"/>
  <c r="C120" i="80"/>
  <c r="C96" i="80"/>
  <c r="J76" i="56"/>
  <c r="I76" i="56"/>
  <c r="J74" i="56"/>
  <c r="I74" i="56"/>
  <c r="G80" i="56"/>
  <c r="F57" i="56"/>
  <c r="D80" i="80"/>
  <c r="G80" i="80" s="1"/>
  <c r="D65" i="80" s="1"/>
  <c r="E57" i="56"/>
  <c r="C80" i="80"/>
  <c r="F80" i="80" s="1"/>
  <c r="C65" i="80" s="1"/>
  <c r="J83" i="56"/>
  <c r="I83" i="56"/>
  <c r="F87" i="56"/>
  <c r="E87" i="56"/>
  <c r="E62" i="56"/>
  <c r="F62" i="56"/>
  <c r="D85" i="80"/>
  <c r="G85" i="80" s="1"/>
  <c r="D70" i="80" s="1"/>
  <c r="C85" i="80"/>
  <c r="F85" i="80" s="1"/>
  <c r="C70" i="80" s="1"/>
  <c r="J21" i="56"/>
  <c r="J62" i="56"/>
  <c r="I62" i="56"/>
  <c r="F14" i="56"/>
  <c r="C125" i="80"/>
  <c r="C101" i="80"/>
  <c r="F20" i="56"/>
  <c r="D98" i="80"/>
  <c r="D110" i="80"/>
  <c r="G110" i="80" s="1"/>
  <c r="F70" i="80" s="1"/>
  <c r="C110" i="80"/>
  <c r="F110" i="80" s="1"/>
  <c r="E70" i="80" s="1"/>
  <c r="E74" i="56"/>
  <c r="F74" i="56"/>
  <c r="D38" i="80"/>
  <c r="D37" i="80"/>
  <c r="J86" i="56"/>
  <c r="I86" i="56"/>
  <c r="D90" i="56"/>
  <c r="C137" i="80"/>
  <c r="C149" i="80"/>
  <c r="E92" i="80"/>
  <c r="D116" i="80" s="1"/>
  <c r="E116" i="80" s="1"/>
  <c r="G116" i="80" s="1"/>
  <c r="G64" i="80" s="1"/>
  <c r="E37" i="80" s="1"/>
  <c r="C113" i="80"/>
  <c r="F113" i="80" s="1"/>
  <c r="E73" i="80" s="1"/>
  <c r="E77" i="56"/>
  <c r="D113" i="80"/>
  <c r="G113" i="80" s="1"/>
  <c r="F73" i="80" s="1"/>
  <c r="F77" i="56"/>
  <c r="D101" i="80"/>
  <c r="D95" i="80"/>
  <c r="C107" i="80"/>
  <c r="F107" i="80" s="1"/>
  <c r="E67" i="80" s="1"/>
  <c r="D107" i="80"/>
  <c r="G107" i="80" s="1"/>
  <c r="F67" i="80" s="1"/>
  <c r="F71" i="56"/>
  <c r="E71" i="56"/>
  <c r="C122" i="80"/>
  <c r="C98" i="80"/>
  <c r="E23" i="56"/>
  <c r="E17" i="56" s="1"/>
  <c r="D22" i="76"/>
  <c r="D45" i="76" s="1"/>
  <c r="I57" i="56"/>
  <c r="J57" i="56"/>
  <c r="F22" i="56"/>
  <c r="C119" i="80"/>
  <c r="C95" i="80"/>
  <c r="F19" i="56"/>
  <c r="J69" i="56"/>
  <c r="I69" i="56"/>
  <c r="E73" i="56"/>
  <c r="F73" i="56"/>
  <c r="D97" i="80"/>
  <c r="D109" i="80"/>
  <c r="G109" i="80" s="1"/>
  <c r="F69" i="80" s="1"/>
  <c r="C109" i="80"/>
  <c r="F109" i="80" s="1"/>
  <c r="E69" i="80" s="1"/>
  <c r="C31" i="80"/>
  <c r="F65" i="56"/>
  <c r="E65" i="56"/>
  <c r="D88" i="80"/>
  <c r="G88" i="80" s="1"/>
  <c r="D73" i="80" s="1"/>
  <c r="C88" i="80"/>
  <c r="F88" i="80" s="1"/>
  <c r="C73" i="80" s="1"/>
  <c r="F59" i="56"/>
  <c r="E59" i="56"/>
  <c r="D82" i="80"/>
  <c r="G82" i="80" s="1"/>
  <c r="D67" i="80" s="1"/>
  <c r="C82" i="80"/>
  <c r="F82" i="80" s="1"/>
  <c r="C67" i="80" s="1"/>
  <c r="F86" i="56"/>
  <c r="E86" i="56"/>
  <c r="G56" i="56"/>
  <c r="J81" i="56"/>
  <c r="I81" i="56"/>
  <c r="F18" i="56"/>
  <c r="J18" i="56"/>
  <c r="F89" i="56"/>
  <c r="E89" i="56"/>
  <c r="F83" i="56"/>
  <c r="E83" i="56"/>
  <c r="F58" i="56"/>
  <c r="E58" i="56"/>
  <c r="D81" i="80"/>
  <c r="G81" i="80" s="1"/>
  <c r="D66" i="80" s="1"/>
  <c r="C81" i="80"/>
  <c r="F81" i="80" s="1"/>
  <c r="C66" i="80" s="1"/>
  <c r="D66" i="56"/>
  <c r="J14" i="56"/>
  <c r="C121" i="80"/>
  <c r="C97" i="80"/>
  <c r="J73" i="56"/>
  <c r="I73" i="56"/>
  <c r="F16" i="56"/>
  <c r="F82" i="56"/>
  <c r="E82" i="56"/>
  <c r="I65" i="56"/>
  <c r="J65" i="56"/>
  <c r="G22" i="76"/>
  <c r="G45" i="76" s="1"/>
  <c r="I23" i="56"/>
  <c r="I48" i="56" s="1"/>
  <c r="I58" i="56"/>
  <c r="J58" i="56"/>
  <c r="E61" i="56"/>
  <c r="F61" i="56"/>
  <c r="D84" i="80"/>
  <c r="G84" i="80" s="1"/>
  <c r="D69" i="80" s="1"/>
  <c r="C84" i="80"/>
  <c r="F84" i="80" s="1"/>
  <c r="C69" i="80" s="1"/>
  <c r="I61" i="56"/>
  <c r="J61" i="56"/>
  <c r="J60" i="56"/>
  <c r="I60" i="56"/>
  <c r="F15" i="56"/>
  <c r="I89" i="56"/>
  <c r="J89" i="56"/>
  <c r="J70" i="56"/>
  <c r="I70" i="56"/>
  <c r="F85" i="56"/>
  <c r="E85" i="56"/>
  <c r="I85" i="56"/>
  <c r="J85" i="56"/>
  <c r="E64" i="56"/>
  <c r="F64" i="56"/>
  <c r="D87" i="80"/>
  <c r="G87" i="80" s="1"/>
  <c r="D72" i="80" s="1"/>
  <c r="C87" i="80"/>
  <c r="F87" i="80" s="1"/>
  <c r="C72" i="80" s="1"/>
  <c r="J17" i="56"/>
  <c r="F70" i="56"/>
  <c r="C106" i="80"/>
  <c r="F106" i="80" s="1"/>
  <c r="E66" i="80" s="1"/>
  <c r="D106" i="80"/>
  <c r="G106" i="80" s="1"/>
  <c r="F66" i="80" s="1"/>
  <c r="E70" i="56"/>
  <c r="D94" i="80"/>
  <c r="I77" i="56"/>
  <c r="J77" i="56"/>
  <c r="J82" i="56"/>
  <c r="I82" i="56"/>
  <c r="J20" i="56"/>
  <c r="C124" i="80"/>
  <c r="C100" i="80"/>
  <c r="J72" i="56"/>
  <c r="I72" i="56"/>
  <c r="C118" i="80"/>
  <c r="C94" i="80"/>
  <c r="J22" i="56"/>
  <c r="G60" i="56" l="1"/>
  <c r="E18" i="56"/>
  <c r="G18" i="56" s="1"/>
  <c r="D17" i="5" s="1"/>
  <c r="E19" i="56"/>
  <c r="G19" i="56" s="1"/>
  <c r="D18" i="5" s="1"/>
  <c r="E14" i="56"/>
  <c r="G14" i="56" s="1"/>
  <c r="D13" i="5" s="1"/>
  <c r="E16" i="56"/>
  <c r="E15" i="56"/>
  <c r="G15" i="56" s="1"/>
  <c r="D14" i="5" s="1"/>
  <c r="I20" i="56"/>
  <c r="K20" i="56" s="1"/>
  <c r="I21" i="56"/>
  <c r="K21" i="56" s="1"/>
  <c r="K64" i="56"/>
  <c r="K75" i="56"/>
  <c r="K62" i="56"/>
  <c r="K87" i="56"/>
  <c r="K63" i="56"/>
  <c r="E38" i="80"/>
  <c r="G87" i="56"/>
  <c r="G76" i="56"/>
  <c r="K85" i="56"/>
  <c r="G61" i="56"/>
  <c r="I17" i="56"/>
  <c r="K17" i="56" s="1"/>
  <c r="G17" i="56"/>
  <c r="D16" i="5" s="1"/>
  <c r="G64" i="56"/>
  <c r="E21" i="56"/>
  <c r="G21" i="56" s="1"/>
  <c r="D20" i="5" s="1"/>
  <c r="K82" i="56"/>
  <c r="K81" i="56"/>
  <c r="G84" i="56"/>
  <c r="K68" i="56"/>
  <c r="K58" i="56"/>
  <c r="G63" i="56"/>
  <c r="K88" i="56"/>
  <c r="I22" i="56"/>
  <c r="K22" i="56" s="1"/>
  <c r="G58" i="56"/>
  <c r="K83" i="56"/>
  <c r="G59" i="56"/>
  <c r="G82" i="56"/>
  <c r="G88" i="56"/>
  <c r="K57" i="56"/>
  <c r="I18" i="56"/>
  <c r="K18" i="56" s="1"/>
  <c r="K61" i="56"/>
  <c r="G73" i="56"/>
  <c r="G69" i="56"/>
  <c r="G74" i="56"/>
  <c r="G70" i="56"/>
  <c r="G81" i="56"/>
  <c r="G89" i="56"/>
  <c r="D44" i="80"/>
  <c r="D43" i="80"/>
  <c r="G62" i="56"/>
  <c r="E99" i="80"/>
  <c r="D123" i="80" s="1"/>
  <c r="E123" i="80" s="1"/>
  <c r="G123" i="80" s="1"/>
  <c r="G71" i="80" s="1"/>
  <c r="E51" i="80" s="1"/>
  <c r="C156" i="80"/>
  <c r="C144" i="80"/>
  <c r="C150" i="80"/>
  <c r="C138" i="80"/>
  <c r="E93" i="80"/>
  <c r="D117" i="80" s="1"/>
  <c r="E117" i="80" s="1"/>
  <c r="G117" i="80" s="1"/>
  <c r="G65" i="80" s="1"/>
  <c r="E40" i="80" s="1"/>
  <c r="D51" i="80"/>
  <c r="D52" i="80"/>
  <c r="C12" i="69"/>
  <c r="F45" i="76"/>
  <c r="C16" i="69" s="1"/>
  <c r="C152" i="80"/>
  <c r="E95" i="80"/>
  <c r="D119" i="80" s="1"/>
  <c r="E119" i="80" s="1"/>
  <c r="G119" i="80" s="1"/>
  <c r="G67" i="80" s="1"/>
  <c r="E44" i="80" s="1"/>
  <c r="C140" i="80"/>
  <c r="I16" i="56"/>
  <c r="K16" i="56" s="1"/>
  <c r="I13" i="56"/>
  <c r="K13" i="56" s="1"/>
  <c r="E94" i="80"/>
  <c r="D118" i="80" s="1"/>
  <c r="E118" i="80" s="1"/>
  <c r="G118" i="80" s="1"/>
  <c r="G66" i="80" s="1"/>
  <c r="E42" i="80" s="1"/>
  <c r="C151" i="80"/>
  <c r="C139" i="80"/>
  <c r="K72" i="56"/>
  <c r="G83" i="56"/>
  <c r="E20" i="56"/>
  <c r="G20" i="56" s="1"/>
  <c r="D19" i="5" s="1"/>
  <c r="K60" i="56"/>
  <c r="G16" i="56"/>
  <c r="D15" i="5" s="1"/>
  <c r="D56" i="80"/>
  <c r="D55" i="80"/>
  <c r="E22" i="56"/>
  <c r="G22" i="56" s="1"/>
  <c r="D21" i="5" s="1"/>
  <c r="G77" i="56"/>
  <c r="E101" i="80"/>
  <c r="D125" i="80" s="1"/>
  <c r="E125" i="80" s="1"/>
  <c r="G125" i="80" s="1"/>
  <c r="G73" i="80" s="1"/>
  <c r="E56" i="80" s="1"/>
  <c r="C146" i="80"/>
  <c r="C158" i="80"/>
  <c r="D40" i="80"/>
  <c r="D39" i="80"/>
  <c r="K59" i="56"/>
  <c r="G72" i="56"/>
  <c r="D41" i="80"/>
  <c r="D42" i="80"/>
  <c r="K89" i="56"/>
  <c r="C145" i="80"/>
  <c r="C157" i="80"/>
  <c r="E100" i="80"/>
  <c r="D124" i="80" s="1"/>
  <c r="E124" i="80" s="1"/>
  <c r="G124" i="80" s="1"/>
  <c r="G72" i="80" s="1"/>
  <c r="E53" i="80" s="1"/>
  <c r="D53" i="80"/>
  <c r="D54" i="80"/>
  <c r="G65" i="56"/>
  <c r="G57" i="56"/>
  <c r="F149" i="80"/>
  <c r="I149" i="80" s="1"/>
  <c r="J64" i="80" s="1"/>
  <c r="G149" i="80"/>
  <c r="J149" i="80" s="1"/>
  <c r="K64" i="80" s="1"/>
  <c r="K84" i="56"/>
  <c r="D48" i="80"/>
  <c r="D47" i="80"/>
  <c r="K73" i="56"/>
  <c r="F137" i="80"/>
  <c r="I137" i="80" s="1"/>
  <c r="H64" i="80" s="1"/>
  <c r="G137" i="80"/>
  <c r="J137" i="80" s="1"/>
  <c r="I64" i="80" s="1"/>
  <c r="K80" i="56"/>
  <c r="E48" i="56"/>
  <c r="E13" i="56"/>
  <c r="G13" i="56" s="1"/>
  <c r="I19" i="56"/>
  <c r="K19" i="56" s="1"/>
  <c r="C154" i="80"/>
  <c r="E97" i="80"/>
  <c r="D121" i="80" s="1"/>
  <c r="E121" i="80" s="1"/>
  <c r="G121" i="80" s="1"/>
  <c r="G69" i="80" s="1"/>
  <c r="E47" i="80" s="1"/>
  <c r="C142" i="80"/>
  <c r="E98" i="80"/>
  <c r="D122" i="80" s="1"/>
  <c r="E122" i="80" s="1"/>
  <c r="G122" i="80" s="1"/>
  <c r="G70" i="80" s="1"/>
  <c r="E50" i="80" s="1"/>
  <c r="C143" i="80"/>
  <c r="C155" i="80"/>
  <c r="K86" i="56"/>
  <c r="K74" i="56"/>
  <c r="G75" i="56"/>
  <c r="K65" i="56"/>
  <c r="D46" i="80"/>
  <c r="D45" i="80"/>
  <c r="G85" i="56"/>
  <c r="I14" i="56"/>
  <c r="K14" i="56" s="1"/>
  <c r="G71" i="56"/>
  <c r="K76" i="56"/>
  <c r="F12" i="5"/>
  <c r="D50" i="80"/>
  <c r="D49" i="80"/>
  <c r="I15" i="56"/>
  <c r="K15" i="56" s="1"/>
  <c r="K77" i="56"/>
  <c r="K70" i="56"/>
  <c r="G86" i="56"/>
  <c r="K69" i="56"/>
  <c r="C153" i="80"/>
  <c r="C141" i="80"/>
  <c r="E96" i="80"/>
  <c r="D120" i="80" s="1"/>
  <c r="E120" i="80" s="1"/>
  <c r="G120" i="80" s="1"/>
  <c r="G68" i="80" s="1"/>
  <c r="E46" i="80" s="1"/>
  <c r="K71" i="56"/>
  <c r="E52" i="80" l="1"/>
  <c r="F14" i="5"/>
  <c r="G14" i="5" s="1"/>
  <c r="F21" i="5"/>
  <c r="G21" i="5" s="1"/>
  <c r="F17" i="5"/>
  <c r="G17" i="5" s="1"/>
  <c r="G66" i="56"/>
  <c r="K66" i="56"/>
  <c r="F19" i="5"/>
  <c r="G19" i="5" s="1"/>
  <c r="F16" i="5"/>
  <c r="G16" i="5" s="1"/>
  <c r="F20" i="5"/>
  <c r="G20" i="5" s="1"/>
  <c r="E39" i="80"/>
  <c r="F18" i="5"/>
  <c r="G18" i="5" s="1"/>
  <c r="E48" i="80"/>
  <c r="K90" i="56"/>
  <c r="K78" i="56"/>
  <c r="E41" i="80"/>
  <c r="F15" i="5"/>
  <c r="G15" i="5" s="1"/>
  <c r="D12" i="5"/>
  <c r="G23" i="56"/>
  <c r="G48" i="56" s="1"/>
  <c r="G158" i="80"/>
  <c r="J158" i="80" s="1"/>
  <c r="K73" i="80" s="1"/>
  <c r="F158" i="80"/>
  <c r="I158" i="80" s="1"/>
  <c r="J73" i="80" s="1"/>
  <c r="E55" i="80"/>
  <c r="F138" i="80"/>
  <c r="I138" i="80" s="1"/>
  <c r="H65" i="80" s="1"/>
  <c r="G138" i="80"/>
  <c r="J138" i="80" s="1"/>
  <c r="I65" i="80" s="1"/>
  <c r="F151" i="80"/>
  <c r="I151" i="80" s="1"/>
  <c r="J66" i="80" s="1"/>
  <c r="G151" i="80"/>
  <c r="J151" i="80" s="1"/>
  <c r="K66" i="80" s="1"/>
  <c r="G144" i="80"/>
  <c r="J144" i="80" s="1"/>
  <c r="I71" i="80" s="1"/>
  <c r="F144" i="80"/>
  <c r="I144" i="80" s="1"/>
  <c r="H71" i="80" s="1"/>
  <c r="G150" i="80"/>
  <c r="J150" i="80" s="1"/>
  <c r="K65" i="80" s="1"/>
  <c r="F150" i="80"/>
  <c r="I150" i="80" s="1"/>
  <c r="J65" i="80" s="1"/>
  <c r="F143" i="80"/>
  <c r="I143" i="80" s="1"/>
  <c r="H70" i="80" s="1"/>
  <c r="G143" i="80"/>
  <c r="J143" i="80" s="1"/>
  <c r="I70" i="80" s="1"/>
  <c r="G155" i="80"/>
  <c r="J155" i="80" s="1"/>
  <c r="K70" i="80" s="1"/>
  <c r="F155" i="80"/>
  <c r="I155" i="80" s="1"/>
  <c r="J70" i="80" s="1"/>
  <c r="G90" i="56"/>
  <c r="G139" i="80"/>
  <c r="J139" i="80" s="1"/>
  <c r="I66" i="80" s="1"/>
  <c r="F139" i="80"/>
  <c r="I139" i="80" s="1"/>
  <c r="H66" i="80" s="1"/>
  <c r="F13" i="5"/>
  <c r="G13" i="5" s="1"/>
  <c r="F145" i="80"/>
  <c r="I145" i="80" s="1"/>
  <c r="H72" i="80" s="1"/>
  <c r="G145" i="80"/>
  <c r="J145" i="80" s="1"/>
  <c r="I72" i="80" s="1"/>
  <c r="E49" i="80"/>
  <c r="K23" i="56"/>
  <c r="K48" i="56" s="1"/>
  <c r="E54" i="80"/>
  <c r="F140" i="80"/>
  <c r="I140" i="80" s="1"/>
  <c r="H67" i="80" s="1"/>
  <c r="G140" i="80"/>
  <c r="J140" i="80" s="1"/>
  <c r="I67" i="80" s="1"/>
  <c r="F157" i="80"/>
  <c r="I157" i="80" s="1"/>
  <c r="J72" i="80" s="1"/>
  <c r="G157" i="80"/>
  <c r="J157" i="80" s="1"/>
  <c r="K72" i="80" s="1"/>
  <c r="E43" i="80"/>
  <c r="F154" i="80"/>
  <c r="I154" i="80" s="1"/>
  <c r="J69" i="80" s="1"/>
  <c r="G154" i="80"/>
  <c r="J154" i="80" s="1"/>
  <c r="K69" i="80" s="1"/>
  <c r="G153" i="80"/>
  <c r="J153" i="80" s="1"/>
  <c r="K68" i="80" s="1"/>
  <c r="F153" i="80"/>
  <c r="I153" i="80" s="1"/>
  <c r="J68" i="80" s="1"/>
  <c r="E45" i="80"/>
  <c r="G152" i="80"/>
  <c r="J152" i="80" s="1"/>
  <c r="K67" i="80" s="1"/>
  <c r="F152" i="80"/>
  <c r="I152" i="80" s="1"/>
  <c r="J67" i="80" s="1"/>
  <c r="F146" i="80"/>
  <c r="I146" i="80" s="1"/>
  <c r="H73" i="80" s="1"/>
  <c r="G146" i="80"/>
  <c r="J146" i="80" s="1"/>
  <c r="I73" i="80" s="1"/>
  <c r="F37" i="80"/>
  <c r="G37" i="80" s="1"/>
  <c r="C11" i="84" s="1"/>
  <c r="F38" i="80"/>
  <c r="G38" i="80" s="1"/>
  <c r="D11" i="84" s="1"/>
  <c r="G156" i="80"/>
  <c r="J156" i="80" s="1"/>
  <c r="K71" i="80" s="1"/>
  <c r="F156" i="80"/>
  <c r="I156" i="80" s="1"/>
  <c r="J71" i="80" s="1"/>
  <c r="F142" i="80"/>
  <c r="I142" i="80" s="1"/>
  <c r="H69" i="80" s="1"/>
  <c r="G142" i="80"/>
  <c r="J142" i="80" s="1"/>
  <c r="I69" i="80" s="1"/>
  <c r="F141" i="80"/>
  <c r="I141" i="80" s="1"/>
  <c r="H68" i="80" s="1"/>
  <c r="G141" i="80"/>
  <c r="J141" i="80" s="1"/>
  <c r="I68" i="80" s="1"/>
  <c r="G78" i="56"/>
  <c r="C24" i="69"/>
  <c r="C27" i="69"/>
  <c r="K91" i="56" l="1"/>
  <c r="F39" i="80"/>
  <c r="G39" i="80" s="1"/>
  <c r="C12" i="84" s="1"/>
  <c r="F40" i="80"/>
  <c r="G40" i="80" s="1"/>
  <c r="D12" i="84" s="1"/>
  <c r="F51" i="80"/>
  <c r="G51" i="80" s="1"/>
  <c r="C18" i="84" s="1"/>
  <c r="F52" i="80"/>
  <c r="G52" i="80" s="1"/>
  <c r="D18" i="84" s="1"/>
  <c r="F55" i="80"/>
  <c r="G55" i="80" s="1"/>
  <c r="C20" i="84" s="1"/>
  <c r="F56" i="80"/>
  <c r="G56" i="80" s="1"/>
  <c r="D20" i="84" s="1"/>
  <c r="F44" i="80"/>
  <c r="G44" i="80" s="1"/>
  <c r="D14" i="84" s="1"/>
  <c r="F43" i="80"/>
  <c r="G43" i="80" s="1"/>
  <c r="C14" i="84" s="1"/>
  <c r="G91" i="56"/>
  <c r="F53" i="80"/>
  <c r="G53" i="80" s="1"/>
  <c r="C19" i="84" s="1"/>
  <c r="F54" i="80"/>
  <c r="G54" i="80" s="1"/>
  <c r="D19" i="84" s="1"/>
  <c r="F41" i="80"/>
  <c r="G41" i="80" s="1"/>
  <c r="C13" i="84" s="1"/>
  <c r="F42" i="80"/>
  <c r="G42" i="80" s="1"/>
  <c r="D13" i="84" s="1"/>
  <c r="F49" i="80"/>
  <c r="G49" i="80" s="1"/>
  <c r="C17" i="84" s="1"/>
  <c r="F50" i="80"/>
  <c r="G50" i="80" s="1"/>
  <c r="D17" i="84" s="1"/>
  <c r="F47" i="80"/>
  <c r="G47" i="80" s="1"/>
  <c r="C16" i="84" s="1"/>
  <c r="F48" i="80"/>
  <c r="G48" i="80" s="1"/>
  <c r="D16" i="84" s="1"/>
  <c r="F45" i="80"/>
  <c r="G45" i="80" s="1"/>
  <c r="C15" i="84" s="1"/>
  <c r="F46" i="80"/>
  <c r="G46" i="80" s="1"/>
  <c r="D15" i="84" s="1"/>
  <c r="F22" i="5" a="1"/>
  <c r="F22" i="5" s="1"/>
  <c r="D22" i="5" a="1"/>
  <c r="D22" i="5" s="1"/>
  <c r="G12" i="5"/>
  <c r="G22" i="5" l="1"/>
  <c r="E124" i="6" l="1"/>
  <c r="E125" i="6" s="1"/>
  <c r="D124" i="6" l="1"/>
  <c r="D125" i="6" s="1"/>
  <c r="C20" i="69" l="1"/>
  <c r="C21" i="69" s="1"/>
  <c r="E73" i="6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15" authorId="0" shapeId="0" xr:uid="{1E30D717-DCE4-43D6-B707-45CEBAD4AAA0}">
      <text>
        <r>
          <rPr>
            <sz val="10"/>
            <color indexed="81"/>
            <rFont val="Tahoma"/>
            <family val="2"/>
          </rPr>
          <t>These cells will display if "Scheme pipeline" is chosen in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C23" authorId="0" shapeId="0" xr:uid="{0A4CEA0A-15DF-4A31-A264-D2C976A4BD46}">
      <text>
        <r>
          <rPr>
            <sz val="9"/>
            <color indexed="81"/>
            <rFont val="Tahoma"/>
            <family val="2"/>
          </rPr>
          <t>The sum of percentages should not be greater than 100%. If above 100%, the cell will be shaded red. If less than 100%, it will be shaded in light red.</t>
        </r>
      </text>
    </comment>
    <comment ref="C35" authorId="0" shapeId="0" xr:uid="{4844D3BC-30DB-438B-8B1E-CDADE73A87FD}">
      <text>
        <r>
          <rPr>
            <sz val="9"/>
            <color indexed="81"/>
            <rFont val="Tahoma"/>
            <family val="2"/>
          </rPr>
          <t>The sum of percentages should not be greater than 100%. If above 100%, the cell will be shaded red. If less than 100%, it will be shaded in light red.</t>
        </r>
      </text>
    </comment>
    <comment ref="C47" authorId="0" shapeId="0" xr:uid="{FC0F992F-F248-47FB-8585-929B59EFEA42}">
      <text>
        <r>
          <rPr>
            <sz val="9"/>
            <color indexed="81"/>
            <rFont val="Tahoma"/>
            <family val="2"/>
          </rPr>
          <t>The sum of percentages should not be greater than 100%. If above 100%, the cell will be shaded red. If less than 100%, it will be shaded in light red.</t>
        </r>
      </text>
    </comment>
    <comment ref="C66" authorId="0" shapeId="0" xr:uid="{6B79F8E7-5F85-4225-92C5-16D3083A4EEC}">
      <text>
        <r>
          <rPr>
            <sz val="9"/>
            <color indexed="81"/>
            <rFont val="Tahoma"/>
            <family val="2"/>
          </rPr>
          <t>The sum of percentages should not be greater than 100%. If above 100%, the cell will be shaded red. If less than 100%, it will be shaded in light red.</t>
        </r>
      </text>
    </comment>
    <comment ref="C78" authorId="0" shapeId="0" xr:uid="{47572AA5-38DF-475C-BDCF-AE27F5B5CAA4}">
      <text>
        <r>
          <rPr>
            <sz val="9"/>
            <color indexed="81"/>
            <rFont val="Tahoma"/>
            <family val="2"/>
          </rPr>
          <t>The sum of percentages should not be greater than 100%. If above 100%, the cell will be shaded red. If less than 100%, it will be shaded in light red.</t>
        </r>
      </text>
    </comment>
    <comment ref="C90" authorId="0" shapeId="0" xr:uid="{E1B1B4AB-0CFF-40F3-AA6F-48D23D935208}">
      <text>
        <r>
          <rPr>
            <sz val="9"/>
            <color indexed="81"/>
            <rFont val="Tahoma"/>
            <family val="2"/>
          </rPr>
          <t>The sum of percentages should not be greater than 100%. If above 100%, the cell will be shaded red. If less than 100%, it will be shaded in light 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Zhang, Cathy</author>
  </authors>
  <commentList>
    <comment ref="D19" authorId="0" shapeId="0" xr:uid="{CEEF190D-23B7-46AE-9004-BE7DA49CF9D8}">
      <text>
        <r>
          <rPr>
            <sz val="9"/>
            <color indexed="81"/>
            <rFont val="Tahoma"/>
            <family val="2"/>
          </rPr>
          <t>This item only to be used for periods from the implementation of the revised accounting standard on leases AASB16</t>
        </r>
      </text>
    </comment>
    <comment ref="D27" authorId="0" shapeId="0" xr:uid="{E422B42E-6E3C-4733-912C-71ECDCD068A1}">
      <text>
        <r>
          <rPr>
            <sz val="9"/>
            <color indexed="81"/>
            <rFont val="Tahoma"/>
            <family val="2"/>
          </rPr>
          <t>This item only to be used for periods from the implementation of the revised accounting standard on leases AASB16</t>
        </r>
      </text>
    </comment>
    <comment ref="D34" authorId="0" shapeId="0" xr:uid="{9E3EA95E-828A-41B7-BCCF-70B2EC45984F}">
      <text>
        <r>
          <rPr>
            <sz val="9"/>
            <color indexed="81"/>
            <rFont val="Tahoma"/>
            <family val="2"/>
          </rPr>
          <t>This item only to be used for periods from the implementation of the revised accounting standard on leases AASB16</t>
        </r>
      </text>
    </comment>
    <comment ref="D35" authorId="1" shapeId="0" xr:uid="{7C38FB25-9A45-4673-A465-FADE570749BC}">
      <text>
        <r>
          <rPr>
            <sz val="9"/>
            <color indexed="81"/>
            <rFont val="Tahoma"/>
            <family val="2"/>
          </rPr>
          <t xml:space="preserve">This item should not be greater than </t>
        </r>
        <r>
          <rPr>
            <i/>
            <sz val="9"/>
            <color indexed="81"/>
            <rFont val="Tahoma"/>
            <family val="2"/>
          </rPr>
          <t xml:space="preserve">Revenue </t>
        </r>
        <r>
          <rPr>
            <sz val="9"/>
            <color indexed="81"/>
            <rFont val="Tahoma"/>
            <family val="2"/>
          </rPr>
          <t>within the year. If incorrect figure is recorded, the cell will be shaded 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31" authorId="0" shapeId="0" xr:uid="{8AFCE04E-FA11-42CC-A12E-9AF828E7BE3E}">
      <text>
        <r>
          <rPr>
            <sz val="9"/>
            <color indexed="81"/>
            <rFont val="Tahoma"/>
            <family val="2"/>
          </rPr>
          <t>This item should not be greater than 100%. If above 100%, the cell will be shaded red. If less than 100%, it will be shaded in light red.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Webster, Sook</author>
  </authors>
  <commentList>
    <comment ref="P74" authorId="0" shapeId="0" xr:uid="{EC210499-198A-4527-99F9-BFC11822B8CB}">
      <text>
        <r>
          <rPr>
            <b/>
            <sz val="9"/>
            <color indexed="81"/>
            <rFont val="Tahoma"/>
            <family val="2"/>
          </rPr>
          <t>Webster, Sook:</t>
        </r>
        <r>
          <rPr>
            <sz val="9"/>
            <color indexed="81"/>
            <rFont val="Tahoma"/>
            <family val="2"/>
          </rPr>
          <t xml:space="preserve">
customer contribution reclassify to Other direct to reverse statutory revenue  </t>
        </r>
      </text>
    </comment>
  </commentList>
</comments>
</file>

<file path=xl/sharedStrings.xml><?xml version="1.0" encoding="utf-8"?>
<sst xmlns="http://schemas.openxmlformats.org/spreadsheetml/2006/main" count="18742" uniqueCount="995">
  <si>
    <t>Category</t>
  </si>
  <si>
    <t>Colour coding of input sheets:</t>
  </si>
  <si>
    <t>Leave coloured cells blank if no information exists - PLEASE DO NOT ENTER TEXT unless specifically requested to do so.</t>
  </si>
  <si>
    <t>Business address</t>
  </si>
  <si>
    <t>Address</t>
  </si>
  <si>
    <t>Suburb</t>
  </si>
  <si>
    <t>State</t>
  </si>
  <si>
    <t>Postcode</t>
  </si>
  <si>
    <t>Postal address</t>
  </si>
  <si>
    <t>Contact name/s</t>
  </si>
  <si>
    <t>Contact phone/s</t>
  </si>
  <si>
    <t>Contact email address/s</t>
  </si>
  <si>
    <t xml:space="preserve"> </t>
  </si>
  <si>
    <t>Description</t>
  </si>
  <si>
    <t>Profit from sale of fixed assets</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</si>
  <si>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</si>
  <si>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</si>
  <si>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</si>
  <si>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</si>
  <si>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</si>
  <si>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</si>
  <si>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</si>
  <si>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</si>
  <si>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</si>
  <si>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</si>
  <si>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</si>
  <si>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</si>
  <si>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</si>
  <si>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Storage services</t>
  </si>
  <si>
    <t>Trading services</t>
  </si>
  <si>
    <t>Other (please specify)</t>
  </si>
  <si>
    <t>Provided to related parties</t>
  </si>
  <si>
    <t>Direct revenue</t>
  </si>
  <si>
    <t>Customer contribution revenue</t>
  </si>
  <si>
    <t>Other direct revenue</t>
  </si>
  <si>
    <t>Insurance</t>
  </si>
  <si>
    <t>Licence and regulatory costs</t>
  </si>
  <si>
    <t>Directly attributable finance charges</t>
  </si>
  <si>
    <t>Indirect revenue allocated</t>
  </si>
  <si>
    <t xml:space="preserve">Shared asset depreciation </t>
  </si>
  <si>
    <t>Loss from sale of shared fixed assets</t>
  </si>
  <si>
    <t>Amounts excluding related party transactions</t>
  </si>
  <si>
    <t>Related party transactions</t>
  </si>
  <si>
    <t>Information technology and communication costs</t>
  </si>
  <si>
    <t>Rental and leasing costs</t>
  </si>
  <si>
    <t>Leasing and rental costs</t>
  </si>
  <si>
    <t>Pipeline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</si>
  <si>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</si>
  <si>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</si>
  <si>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</si>
  <si>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</si>
  <si>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</si>
  <si>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</si>
  <si>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</si>
  <si>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</si>
  <si>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</si>
  <si>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</si>
  <si>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</si>
  <si>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Year</t>
  </si>
  <si>
    <t>Asset description</t>
  </si>
  <si>
    <t>Closing compressors carrying value</t>
  </si>
  <si>
    <t>Closing buildings carrying value</t>
  </si>
  <si>
    <t>Total allocated to pipeline excluding related parties</t>
  </si>
  <si>
    <t>Total related party amounts allocated to pipeline</t>
  </si>
  <si>
    <t>Total assets</t>
  </si>
  <si>
    <t>Pipeline information</t>
  </si>
  <si>
    <t>Revenue</t>
  </si>
  <si>
    <t>Operating expenses</t>
  </si>
  <si>
    <t>Net tax liabilities</t>
  </si>
  <si>
    <t>Shared supporting assets</t>
  </si>
  <si>
    <t xml:space="preserve">Inventories </t>
  </si>
  <si>
    <t>Deferred tax assets</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</si>
  <si>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</si>
  <si>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</si>
  <si>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</si>
  <si>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</si>
  <si>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</si>
  <si>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</si>
  <si>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</si>
  <si>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</si>
  <si>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</si>
  <si>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</si>
  <si>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</si>
  <si>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</si>
  <si>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</si>
  <si>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</si>
  <si>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Asset useful life</t>
  </si>
  <si>
    <t>Total capitalised pipeline construction costs</t>
  </si>
  <si>
    <t>Closing city gates, supply regulators and valve stations carrying value</t>
  </si>
  <si>
    <t>Closing SCADA carrying value</t>
  </si>
  <si>
    <t>Land and easements</t>
  </si>
  <si>
    <t>Closing land and easements carrying value</t>
  </si>
  <si>
    <t>Other non-depreciable pipeline assets</t>
  </si>
  <si>
    <t>Estimated residual value</t>
  </si>
  <si>
    <t>Asset impairment</t>
  </si>
  <si>
    <t>Impairment date</t>
  </si>
  <si>
    <t>Basis for impairment</t>
  </si>
  <si>
    <t>Reporting template</t>
  </si>
  <si>
    <t>Reporting period start date:</t>
  </si>
  <si>
    <t>Reporting period end date:</t>
  </si>
  <si>
    <t>Shared assets</t>
  </si>
  <si>
    <t>Return on capital</t>
  </si>
  <si>
    <t>Total Return of Capital</t>
  </si>
  <si>
    <t>Reversal date</t>
  </si>
  <si>
    <t>Basis for Reversal</t>
  </si>
  <si>
    <t>Description (list each individual shared asset category greater than 5%)</t>
  </si>
  <si>
    <t>Category of shared assets</t>
  </si>
  <si>
    <t>Total amount</t>
  </si>
  <si>
    <t>Description of works</t>
  </si>
  <si>
    <t>Date recognised</t>
  </si>
  <si>
    <t xml:space="preserve">Year ending </t>
  </si>
  <si>
    <t>$ nominal</t>
  </si>
  <si>
    <t>Table 1.1: Pipeline details</t>
  </si>
  <si>
    <t>Table 1.2: Pipeline services provided</t>
  </si>
  <si>
    <t xml:space="preserve">Description </t>
  </si>
  <si>
    <t>(list each individual revenue item)</t>
  </si>
  <si>
    <t>Indirect revenue</t>
  </si>
  <si>
    <t xml:space="preserve"> (list each individual cost)</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</si>
  <si>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</si>
  <si>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</si>
  <si>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</si>
  <si>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</si>
  <si>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</si>
  <si>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</si>
  <si>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</si>
  <si>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</si>
  <si>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Service provider:</t>
  </si>
  <si>
    <t>Pipeline name:</t>
  </si>
  <si>
    <t>Indirect revenue excluding related parties</t>
  </si>
  <si>
    <t>Table 4.2: Pipeline details</t>
  </si>
  <si>
    <t>Reporting period</t>
  </si>
  <si>
    <t>Previous reporting period</t>
  </si>
  <si>
    <t>Other depreciable pipeline assets</t>
  </si>
  <si>
    <t>Closing other depreciable pipeline assets carrying value</t>
  </si>
  <si>
    <t>Stand-alone compression services</t>
  </si>
  <si>
    <t>Date</t>
  </si>
  <si>
    <t>AER amendment#</t>
  </si>
  <si>
    <t>Worksheet</t>
  </si>
  <si>
    <t>Table</t>
  </si>
  <si>
    <t>Amendment record</t>
  </si>
  <si>
    <t>AER advised of errors in the published file - the amendment record allows for errors to be corrected in a transparent manner</t>
  </si>
  <si>
    <t>Change</t>
  </si>
  <si>
    <t>Reason</t>
  </si>
  <si>
    <t>3 Statement of pipeline assets</t>
  </si>
  <si>
    <t>3.3 Depreciation</t>
  </si>
  <si>
    <t>3.3.1</t>
  </si>
  <si>
    <t>List amended</t>
  </si>
  <si>
    <t>The term 'other depreciable assets' has been replaced with ' other depreciable pipeline assets' to match the terms used on worksheet 3.</t>
  </si>
  <si>
    <t>2. Revenue and expenses</t>
  </si>
  <si>
    <t>F13</t>
  </si>
  <si>
    <t>Formula corrected</t>
  </si>
  <si>
    <t>Formula amended to sum both elements of 'Direct revenue' to get 'Total direct revenue'.</t>
  </si>
  <si>
    <t>M7 and N7</t>
  </si>
  <si>
    <t>Heading amended</t>
  </si>
  <si>
    <t>The heading has been amended to make it clear that accumulated depreciation is to be reported for both the current reporting period and the prior period.</t>
  </si>
  <si>
    <t>Prior years' accumulated depreciation</t>
  </si>
  <si>
    <t>I5:K5</t>
  </si>
  <si>
    <t>Guidance note added</t>
  </si>
  <si>
    <t>Column O</t>
  </si>
  <si>
    <t>Formula to aggregate relevant rows (Metering) to determine Closing value for metering assets</t>
  </si>
  <si>
    <t>Formula updated to avoid double counting of prior years' data.</t>
  </si>
  <si>
    <t>New worksheet inserted</t>
  </si>
  <si>
    <t>Formula inserted</t>
  </si>
  <si>
    <t>Formula updated</t>
  </si>
  <si>
    <t>Cell</t>
  </si>
  <si>
    <t>D33:E33</t>
  </si>
  <si>
    <t xml:space="preserve">D9:D52 </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</si>
  <si>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</si>
  <si>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Closing leased asset carrying value</t>
  </si>
  <si>
    <t>rows inserted</t>
  </si>
  <si>
    <t>Rows 63-67 and 74-78</t>
  </si>
  <si>
    <t>New items inserted to record Leased Assets as per AASB16.</t>
  </si>
  <si>
    <t>D68:E68 and D82:E82</t>
  </si>
  <si>
    <t>3.1 Pipeline asset useful life</t>
  </si>
  <si>
    <t>tab renamed 3.3 Depreciation amortisation</t>
  </si>
  <si>
    <t xml:space="preserve">D14, D19, D25, D31, D37, D43, D49, D59 </t>
  </si>
  <si>
    <t>Formulae ammended to include prior year accumulated depreciation plus current year depreciation.  It was only picking up current year depreciation.</t>
  </si>
  <si>
    <t>Formulae corrected</t>
  </si>
  <si>
    <t>Cover</t>
  </si>
  <si>
    <t>To be visible.</t>
  </si>
  <si>
    <t>Formatting - font changed from white to black colour</t>
  </si>
  <si>
    <t>1.1 Financial performance</t>
  </si>
  <si>
    <t>1.1.1</t>
  </si>
  <si>
    <t>C10</t>
  </si>
  <si>
    <t>Formatting - changed from Accounting Comma to Percentage Percent</t>
  </si>
  <si>
    <t>To disclose percentage with appropriate signage</t>
  </si>
  <si>
    <t>D31:F32</t>
  </si>
  <si>
    <t>3.1.1</t>
  </si>
  <si>
    <t>B21:F25 and B32:F37</t>
  </si>
  <si>
    <t>Allow for lease asset information</t>
  </si>
  <si>
    <t>L58:L78</t>
  </si>
  <si>
    <t>Insert column</t>
  </si>
  <si>
    <t>3.3.2</t>
  </si>
  <si>
    <t>To explicitly allow for prior period depreciation</t>
  </si>
  <si>
    <t>Row 59</t>
  </si>
  <si>
    <t>to record additions and improvements capitalised</t>
  </si>
  <si>
    <t>D58</t>
  </si>
  <si>
    <t>Formulae updated to include leased assets</t>
  </si>
  <si>
    <t>to only pick up initial acquisition costs</t>
  </si>
  <si>
    <t>Shared leased assets</t>
  </si>
  <si>
    <t>D60:D67</t>
  </si>
  <si>
    <t>D9:D52</t>
  </si>
  <si>
    <t>List updated</t>
  </si>
  <si>
    <t>added Leased assets to drop list</t>
  </si>
  <si>
    <t>added Shared leased assets to drop list</t>
  </si>
  <si>
    <t>Leased Asset</t>
  </si>
  <si>
    <t>4 Recovered Capital</t>
  </si>
  <si>
    <t>Rows 15, 22, 29</t>
  </si>
  <si>
    <t>New items inserted to record Leased Assets</t>
  </si>
  <si>
    <t>to include Leased Assets in total</t>
  </si>
  <si>
    <t>E15, E22 and E29</t>
  </si>
  <si>
    <t>Formula added</t>
  </si>
  <si>
    <t>to sum columns F to BH for respective items</t>
  </si>
  <si>
    <t>Leased Asset Interest/Financing Charge</t>
  </si>
  <si>
    <t>F16:BH16 and F23:BH23</t>
  </si>
  <si>
    <t>3.3 Depreciation amortisation</t>
  </si>
  <si>
    <t>3.3.1 and 3.3.2</t>
  </si>
  <si>
    <t>Headings updated for clarity</t>
  </si>
  <si>
    <t>B5, B56, K7, G58, J58 and M58</t>
  </si>
  <si>
    <t xml:space="preserve">Total assets </t>
  </si>
  <si>
    <t>All numbers are expressed in $nominal</t>
  </si>
  <si>
    <t>Indirect operating expenses</t>
  </si>
  <si>
    <t>Impairment losses (nature of the impairment loss)</t>
  </si>
  <si>
    <r>
      <t xml:space="preserve">Current year </t>
    </r>
    <r>
      <rPr>
        <b/>
        <sz val="10"/>
        <color indexed="9"/>
        <rFont val="Arial"/>
        <family val="2"/>
      </rPr>
      <t>depreciation</t>
    </r>
  </si>
  <si>
    <t>Shared property, plant and equipment</t>
  </si>
  <si>
    <t>Government contribution revenue</t>
  </si>
  <si>
    <t>Opening asset value</t>
  </si>
  <si>
    <t>Capitalised maintenance or improvements</t>
  </si>
  <si>
    <t>Depreciation</t>
  </si>
  <si>
    <t>Closing pipelines carrying value</t>
  </si>
  <si>
    <t xml:space="preserve">Additions </t>
  </si>
  <si>
    <t>Closing metering carrying value</t>
  </si>
  <si>
    <t>Shared supporting assets allocated</t>
  </si>
  <si>
    <t xml:space="preserve">Total shared supporting assets allocated </t>
  </si>
  <si>
    <t>Closing leased assets carrying value</t>
  </si>
  <si>
    <t>Closing shared property, plant and equipment carrying value</t>
  </si>
  <si>
    <t>Disposals or early termination (at cost)</t>
  </si>
  <si>
    <t>Has any information in this template been amended since last published within this current reporting period?</t>
  </si>
  <si>
    <t>Summary</t>
  </si>
  <si>
    <t>Pipeline assets cost base</t>
  </si>
  <si>
    <t>Shared assets cost base</t>
  </si>
  <si>
    <r>
      <t>Other</t>
    </r>
    <r>
      <rPr>
        <b/>
        <sz val="10"/>
        <color indexed="10"/>
        <rFont val="Arial"/>
        <family val="2"/>
      </rPr>
      <t xml:space="preserve"> </t>
    </r>
    <r>
      <rPr>
        <b/>
        <sz val="10"/>
        <color indexed="51"/>
        <rFont val="Arial"/>
        <family val="2"/>
      </rPr>
      <t>assets</t>
    </r>
  </si>
  <si>
    <t>For information</t>
  </si>
  <si>
    <t>Rate of return (WACC)</t>
  </si>
  <si>
    <t>other service (insert description)</t>
  </si>
  <si>
    <t>Reported information is current as at:</t>
  </si>
  <si>
    <t>Current year depreciation</t>
  </si>
  <si>
    <t>1. Pipeline information</t>
  </si>
  <si>
    <t>B16, B20, B21</t>
  </si>
  <si>
    <t>To make the labelling of pipeline service categories consistent with those listed in Table 2.1.1.</t>
  </si>
  <si>
    <t>2. Revenues and expenses</t>
  </si>
  <si>
    <t>2.1 Revenue by service</t>
  </si>
  <si>
    <t>2.1.1</t>
  </si>
  <si>
    <t>Rows 16 and 17</t>
  </si>
  <si>
    <t>Row 20</t>
  </si>
  <si>
    <t>3. Statement of pipeline assets</t>
  </si>
  <si>
    <t>C8 and C81</t>
  </si>
  <si>
    <t>C82</t>
  </si>
  <si>
    <t>H7 and G58</t>
  </si>
  <si>
    <t>J7 and I58</t>
  </si>
  <si>
    <t>D60:D77</t>
  </si>
  <si>
    <t>3.4 Shared supporting assets</t>
  </si>
  <si>
    <t>3.4.1</t>
  </si>
  <si>
    <t>D9:D40</t>
  </si>
  <si>
    <t>Rows inserted</t>
  </si>
  <si>
    <t>To improve the clarity of revenue categories, ‘Customer contribution revenue’ and ‘profit from sale of fixed assets’ are removed from the ‘Total service revenue’ category under Table 2.1.1. They are now reflected in Table 2.1 instead, where ‘Direct revenue’ category is reported. 
‘Government contribution revenue’ is added as a category, consistent with the treatment for ‘Customer contribution revenue’ under the ‘Direct revenue’ category.</t>
  </si>
  <si>
    <t xml:space="preserve">To clarify that Table 2.1.1 only captures service revenue, rather than all direct revenue. </t>
  </si>
  <si>
    <t>Rows removed</t>
  </si>
  <si>
    <t>Rows amended and inserted</t>
  </si>
  <si>
    <t xml:space="preserve">Heading amended </t>
  </si>
  <si>
    <t xml:space="preserve">Cover </t>
  </si>
  <si>
    <t>A25:E25</t>
  </si>
  <si>
    <t>Row inserted</t>
  </si>
  <si>
    <t>A27:E27</t>
  </si>
  <si>
    <t xml:space="preserve">To record the date to which the reported information is current </t>
  </si>
  <si>
    <t>A29:K29</t>
  </si>
  <si>
    <t>To record whether there has been any change in the template and disclose the basis of preparation reference, if relevant</t>
  </si>
  <si>
    <t xml:space="preserve">Contents </t>
  </si>
  <si>
    <t>Hyperlink added</t>
  </si>
  <si>
    <t xml:space="preserve">Hyperlink to 'Summary' worksheet inserted. </t>
  </si>
  <si>
    <t>Worksheet inserted</t>
  </si>
  <si>
    <t xml:space="preserve">To enhance accessibility and transparency of the reported information by providing 'a quick glance' view of the key information reported in the template. </t>
  </si>
  <si>
    <t>Row 12 to Row 14 /
 C12: C14</t>
  </si>
  <si>
    <t>D32:D40 and E32:E40</t>
  </si>
  <si>
    <t>To amend the formula to sum up the relevant rows in Table 2.4.1 (rows 9-35 instead of rows 9-36).</t>
  </si>
  <si>
    <t>J24</t>
  </si>
  <si>
    <t>Comment removed</t>
  </si>
  <si>
    <t>To remove a comment made inadvertantly.</t>
  </si>
  <si>
    <t>C34 and C39</t>
  </si>
  <si>
    <t>To remove uppercase in some words.</t>
  </si>
  <si>
    <t>I16</t>
  </si>
  <si>
    <t>To correctly sum up revenue categories to derive 'total direct revenue'.</t>
  </si>
  <si>
    <t xml:space="preserve">C10, C21 </t>
  </si>
  <si>
    <t>To split “Park and park and loan services” into two rows: “Park services” and “Park and loan services” , consistent with how service categories are presented in Table 1.2.</t>
  </si>
  <si>
    <t xml:space="preserve">To replace 'Distribution/transmission revenue' with 'Other pipeline services (if relevant)', consistent with how service categories are presented in Table 1.2. </t>
  </si>
  <si>
    <t>I21</t>
  </si>
  <si>
    <t>To correctly calculate the 'total service revenue'.</t>
  </si>
  <si>
    <t>2.3 Indirect revenue</t>
  </si>
  <si>
    <t>2.3.1</t>
  </si>
  <si>
    <t>E2:G4</t>
  </si>
  <si>
    <t xml:space="preserve">A prompt has been added to the worksheet to highlight the need for pipeline operators to include sufficient information in their basis of preparation to explain its allocation methodologies and the basis of its allocators. </t>
  </si>
  <si>
    <t xml:space="preserve">2.4 Shared costs </t>
  </si>
  <si>
    <t>2.4.1</t>
  </si>
  <si>
    <t>As above.</t>
  </si>
  <si>
    <t>2.4 Shared costs</t>
  </si>
  <si>
    <t xml:space="preserve">H36 &amp; I36 </t>
  </si>
  <si>
    <t>To rectify a double counting error.</t>
  </si>
  <si>
    <t>C11 and C16</t>
  </si>
  <si>
    <t>Heading renamed</t>
  </si>
  <si>
    <t>To remove upppercase in some words.</t>
  </si>
  <si>
    <t>Heading inserted</t>
  </si>
  <si>
    <t xml:space="preserve">To improve the clarity of asset categories </t>
  </si>
  <si>
    <t xml:space="preserve">To improve the consistency of labelling between worksheets </t>
  </si>
  <si>
    <t xml:space="preserve">Column C </t>
  </si>
  <si>
    <t>Rows added and headings amended</t>
  </si>
  <si>
    <t xml:space="preserve">To improve the consistency of labelling between worksheets, each asset category other than ‘pipelines’, ‘land and easements’, ‘other non-depreciable pipeline assets’, ‘inventories’, ‘deferred tax assets’ and ‘other assets’, is amended to have the following reporting lines, consistent with the headings in Table 3.3.1 : 
- Initial construction or acquisition costs 
- Additions
- Capitalised maintenance or improvements
- Depreciation 
- Disposals or early termination (at cost)
There are also some formatting changes. </t>
  </si>
  <si>
    <t>D71 &amp; E71</t>
  </si>
  <si>
    <t>To correctly sum up the cost components that derive the carrying value of ‘other depreciable pipeline assets’.</t>
  </si>
  <si>
    <t>D88 &amp; E88</t>
  </si>
  <si>
    <t xml:space="preserve">To correctly sum up the cost components that derive the carrying value of ‘shared property, plant and equipment’ (previously labelled ‘shared supporting assets’). </t>
  </si>
  <si>
    <t>3.1 Asset useful life</t>
  </si>
  <si>
    <t>Tab renamed</t>
  </si>
  <si>
    <t xml:space="preserve">Tab is renamed  from '3.1 Pipeline asset useful life' to '3.1 Asset useful life' to be consistent with the heading of the worksheet. The worksheet does not only contain pipeline asset useful life information, but also shared assets’. </t>
  </si>
  <si>
    <t>D9:D37</t>
  </si>
  <si>
    <t xml:space="preserve">Number formatting </t>
  </si>
  <si>
    <t>To disclose numbers as short dates.</t>
  </si>
  <si>
    <t>3.2 Asset impairment</t>
  </si>
  <si>
    <t xml:space="preserve">Tab is renamed  from '3.2 Pipeline asset impairment' to '3.2 Asset impairment' to be consistent with the heading of the worksheet. The worksheet does not only contain pipeline asset impairment information, but also shared assets’. </t>
  </si>
  <si>
    <t>3.2.1 and 3.2.2</t>
  </si>
  <si>
    <t>D8:D22, D28:D54, G28:G54,</t>
  </si>
  <si>
    <t>G53</t>
  </si>
  <si>
    <t>To rectify a missing formula.</t>
  </si>
  <si>
    <t>F9:F52 and F60:F77</t>
  </si>
  <si>
    <t xml:space="preserve">To disclose numbers to the nearest whole number. </t>
  </si>
  <si>
    <t>N7, M58</t>
  </si>
  <si>
    <t>The heading has been amended to make it clear that depreciation for the current reporting period does not include accumulated depreciation for the prior years.</t>
  </si>
  <si>
    <t>The dropdown box values have been amended to match the asset categories terms used on worksheet 3.</t>
  </si>
  <si>
    <t xml:space="preserve">3.4 Shared supporting assets </t>
  </si>
  <si>
    <t>4. Recovered capital</t>
  </si>
  <si>
    <t>Minor punctuation amendment.</t>
  </si>
  <si>
    <t>Background amended</t>
  </si>
  <si>
    <t>Background amended to white, consistent with the rest of the template worksheets.</t>
  </si>
  <si>
    <t>E11</t>
  </si>
  <si>
    <t xml:space="preserve">To revise the formula to sum F11:BH11, consistent with the formula of other cost compoenents that make up the 'cost base'. </t>
  </si>
  <si>
    <t>Rows 33 and 34</t>
  </si>
  <si>
    <t>To disclose opening asset value and rate of return (WACC) of each year.</t>
  </si>
  <si>
    <t>E25</t>
  </si>
  <si>
    <t>Formula deleted</t>
  </si>
  <si>
    <t>Formula not required.</t>
  </si>
  <si>
    <t>F31:BH31</t>
  </si>
  <si>
    <t>Previous sum formula included row 25 which is not an input cell</t>
  </si>
  <si>
    <t>F8:BH8</t>
  </si>
  <si>
    <t xml:space="preserve">To adjust the formula to display year numbers that would allow for cross-referencing in the Summary tab. </t>
  </si>
  <si>
    <t>5. Weighted average price</t>
  </si>
  <si>
    <t>Column B</t>
  </si>
  <si>
    <t>Column added</t>
  </si>
  <si>
    <t xml:space="preserve">To disclose the reference to the basis of preparation where pipeline operator may have explained the basis of allocation between pipelines and service types. </t>
  </si>
  <si>
    <t>Column D</t>
  </si>
  <si>
    <t>To provide clarity on whether there has been any use of estimates by the pipeline operator to allocate revenue between pipelines and service types.</t>
  </si>
  <si>
    <t>B2:E3</t>
  </si>
  <si>
    <t>To insert Heading "Year ending XX/XX/XXXX", consistent with the strucure of other worksheets in the template.</t>
  </si>
  <si>
    <t>F10: BJ10</t>
  </si>
  <si>
    <t xml:space="preserve">To clarify the unit measurement the data is supposed to be expressed in. </t>
  </si>
  <si>
    <t>All worksheets</t>
  </si>
  <si>
    <t xml:space="preserve">All data points expressed in dollars terms have been formatted to remove decimal points (except for weighted average prices) and to express negative values in brackets. </t>
  </si>
  <si>
    <t>A7</t>
  </si>
  <si>
    <t xml:space="preserve">2.2 Revenue contributions </t>
  </si>
  <si>
    <t>E9:E14</t>
  </si>
  <si>
    <t>Formula added and formatting changed</t>
  </si>
  <si>
    <t xml:space="preserve">Added sum formula. </t>
  </si>
  <si>
    <t>2.2.1</t>
  </si>
  <si>
    <t>Closing odorant plants carrying value</t>
  </si>
  <si>
    <t>C38, C44</t>
  </si>
  <si>
    <t>Spelling correction - "Odourant" changed to "Odorant"</t>
  </si>
  <si>
    <t>Spelling correction - "insructions" changed to "instructions"</t>
  </si>
  <si>
    <t>D7</t>
  </si>
  <si>
    <t>To correct spelling mistake: "Acqusition" changed to "Acquisition"</t>
  </si>
  <si>
    <t>Construction cost or acquisition cost (where allowed) apportioned</t>
  </si>
  <si>
    <t>D18</t>
  </si>
  <si>
    <t>To correct spelling error - "Acqusition" changed to "Acquisition"</t>
  </si>
  <si>
    <t xml:space="preserve">To record the publication date of the reporting template </t>
  </si>
  <si>
    <t xml:space="preserve">Publication date of this financial report: </t>
  </si>
  <si>
    <t>To provide guidance that MDQ Total TJ shall be reported as the sum of MDQ's over the reporting period in TJs</t>
  </si>
  <si>
    <t>Comment box inserted</t>
  </si>
  <si>
    <t>G10, N10, U10, AA10, AG10, AN10, AT10, AZ10, BF10</t>
  </si>
  <si>
    <t xml:space="preserve">F11 and I11 </t>
  </si>
  <si>
    <t xml:space="preserve">To amend the formula to sum up D11 and E11 ; and G11 and H11 respectively. </t>
  </si>
  <si>
    <t xml:space="preserve">The removed categories have been moved to Table 2.1, as discussed at amendment record number 31. </t>
  </si>
  <si>
    <t>Type of regulated pipeline:</t>
  </si>
  <si>
    <t>Acquisition date (provide a range)</t>
  </si>
  <si>
    <t>Indirect revenue from related parties</t>
  </si>
  <si>
    <t>Description of the matter</t>
  </si>
  <si>
    <t>Proposed expenditure (if available, required for publicly announced expansions)</t>
  </si>
  <si>
    <t>Total proposed expenditure</t>
  </si>
  <si>
    <t>GJ/day</t>
  </si>
  <si>
    <t>Historical demand</t>
  </si>
  <si>
    <t>Publicly available link on Gas Bulletin Board</t>
  </si>
  <si>
    <t>Description of the information</t>
  </si>
  <si>
    <t>For information required to be published on the Gas Bulletin Board, please provide a publicly available link on their website to the relevant part of the Gas Bulletin Board.</t>
  </si>
  <si>
    <t>% Cost adjustment for accelerated depreciation (if applicable)</t>
  </si>
  <si>
    <t>Adjusted cost base</t>
  </si>
  <si>
    <t>Total amounts allocated to pipeline</t>
  </si>
  <si>
    <t>28. Estimated remaining direct asset lives</t>
  </si>
  <si>
    <t>Estimated one-year direct asset depreciation</t>
  </si>
  <si>
    <t>Estimated remaining asset life</t>
  </si>
  <si>
    <t>Revenue and expenses</t>
  </si>
  <si>
    <t>CONTENTS</t>
  </si>
  <si>
    <t>Revenue contributions</t>
  </si>
  <si>
    <t>Depreciation amortisation</t>
  </si>
  <si>
    <t>SUMMARY</t>
  </si>
  <si>
    <t>Price benchmarks</t>
  </si>
  <si>
    <t>2. REVENUE AND EXPENSES</t>
  </si>
  <si>
    <t>1. PIPELINE INFORMATION</t>
  </si>
  <si>
    <t>4.1 Pipelines capex</t>
  </si>
  <si>
    <t>Utilised capacity</t>
  </si>
  <si>
    <t>Available capacity-total</t>
  </si>
  <si>
    <t>Available capacity-firm</t>
  </si>
  <si>
    <t>Available contracted capacity</t>
  </si>
  <si>
    <t>Contracted firm capacity-storage</t>
  </si>
  <si>
    <t>Contracted firm capacity-transportation</t>
  </si>
  <si>
    <t>TJ/day</t>
  </si>
  <si>
    <t>Current reporting period</t>
  </si>
  <si>
    <t>Table 5.1: Historical demand information</t>
  </si>
  <si>
    <t>Table 5.3: Daily demand</t>
  </si>
  <si>
    <t>Total expenditure</t>
  </si>
  <si>
    <t xml:space="preserve">2.3 Revenue contributions </t>
  </si>
  <si>
    <t>2.4 Indirect revenue</t>
  </si>
  <si>
    <t>Fixed operating costs</t>
  </si>
  <si>
    <t>Low</t>
  </si>
  <si>
    <t>High</t>
  </si>
  <si>
    <t>2 Fixed operating costs</t>
  </si>
  <si>
    <t>Return on capital &amp; Tax</t>
  </si>
  <si>
    <t>Average regulatory return on debt</t>
  </si>
  <si>
    <t>Gearing</t>
  </si>
  <si>
    <t>Statutory tax rate</t>
  </si>
  <si>
    <t>Gamma</t>
  </si>
  <si>
    <t>30-31. Depreciation on (total: direct and shared/direct) assets per unit of capacity</t>
  </si>
  <si>
    <t>34. Estimation of taxes</t>
  </si>
  <si>
    <t>Pipeline rate of return</t>
  </si>
  <si>
    <t>Post-tax return on equity</t>
  </si>
  <si>
    <t>Estimated pretax return on equity</t>
  </si>
  <si>
    <t>Tax as a % of equity</t>
  </si>
  <si>
    <t>32. Estimated RCM depreciation per unit of capacity</t>
  </si>
  <si>
    <t>Tax as a % of assets</t>
  </si>
  <si>
    <t>Closing asset value based on Table 4.1</t>
  </si>
  <si>
    <t>Pre-tax rate of return</t>
  </si>
  <si>
    <t>Estimated yearly depreciation</t>
  </si>
  <si>
    <t>Tax estimate</t>
  </si>
  <si>
    <t>Allocation to pipeline service</t>
  </si>
  <si>
    <t>%</t>
  </si>
  <si>
    <t>Capital contributions</t>
  </si>
  <si>
    <t>Total capital contributions</t>
  </si>
  <si>
    <t>Total indirect revenue</t>
  </si>
  <si>
    <t>Total depreciation</t>
  </si>
  <si>
    <t>Total net revenue</t>
  </si>
  <si>
    <t>Average regulatory rate of return</t>
  </si>
  <si>
    <t>Commission date (provide a range)</t>
  </si>
  <si>
    <t>Direct revenue (excl. capital contributions)</t>
  </si>
  <si>
    <t>Total direct revenue (excl. capital contributions)</t>
  </si>
  <si>
    <t>Expenses</t>
  </si>
  <si>
    <t>Total Expenses</t>
  </si>
  <si>
    <t>Direct expenses</t>
  </si>
  <si>
    <t>Other direct expenses</t>
  </si>
  <si>
    <t>Shared expenses</t>
  </si>
  <si>
    <t>Employee expenses</t>
  </si>
  <si>
    <t>Total expenses</t>
  </si>
  <si>
    <t>Other shared expenses</t>
  </si>
  <si>
    <t>Direct expenses (excl. depreciation)</t>
  </si>
  <si>
    <t>Total direct expenses (excl. depreciation)</t>
  </si>
  <si>
    <t>Shared expenses allocated (excl. depreciation)</t>
  </si>
  <si>
    <t>Total shared expenses (excl. depreciation)</t>
  </si>
  <si>
    <t>Shared expenses excluding related parties</t>
  </si>
  <si>
    <t>Shared expenses paid to related parties</t>
  </si>
  <si>
    <t>Other indirect revenue</t>
  </si>
  <si>
    <t>Table 2.2.1:  Revenue by service</t>
  </si>
  <si>
    <t>Table 2.2.2:  Expenses by service</t>
  </si>
  <si>
    <t>Table 2.3.1: Customer contributions received</t>
  </si>
  <si>
    <t>Table 2.3.2: Government contributions received</t>
  </si>
  <si>
    <t>Table 2.4.1: Indirect revenue allocation</t>
  </si>
  <si>
    <t>Table 2.5.1: Shared expense allocation</t>
  </si>
  <si>
    <t>Shared expenses allocated</t>
  </si>
  <si>
    <t>Total costs less depreciation in Table 2.1.1</t>
  </si>
  <si>
    <t>Direct costs less depreciation in Table 2.1.1</t>
  </si>
  <si>
    <t>Service provider inputs</t>
  </si>
  <si>
    <t>AER inputs</t>
  </si>
  <si>
    <t>29. Three estimates of opex per unit of capacity</t>
  </si>
  <si>
    <t>Total asset depreciation in Table 2.1.1</t>
  </si>
  <si>
    <t>Direct asset depreciation in Table 2.1.1</t>
  </si>
  <si>
    <t>2.5 Shared expenses</t>
  </si>
  <si>
    <t>5. HISTORICAL DEMAND</t>
  </si>
  <si>
    <t>35. Based on the inferred rates of return under Depreciated book value method</t>
  </si>
  <si>
    <t>6.1 Inputs</t>
  </si>
  <si>
    <t>6.3 Elements calculated</t>
  </si>
  <si>
    <t>6.4 Calculation process</t>
  </si>
  <si>
    <t>Table 2.1:  Statement of pipeline revenue and expenses by service</t>
  </si>
  <si>
    <t>Grey = Not applicable/No inputs required</t>
  </si>
  <si>
    <t>Pipeline length (kilometres)</t>
  </si>
  <si>
    <t>Direct revenue by pipeline</t>
  </si>
  <si>
    <t>Total direct revenue by pipeline</t>
  </si>
  <si>
    <t>Total indirect revenue by pipeline</t>
  </si>
  <si>
    <t>Total revenue by pipeline</t>
  </si>
  <si>
    <t>Total direct expenses by pipeline</t>
  </si>
  <si>
    <t>Indirect revenue allocated to pipeline</t>
  </si>
  <si>
    <t>Direct expenses by pipeline</t>
  </si>
  <si>
    <t>Shared expenses by pipeline</t>
  </si>
  <si>
    <t>Total shared expenses allocated to pipeline</t>
  </si>
  <si>
    <t>Total expenses by pipeline</t>
  </si>
  <si>
    <t>Please ensure allocation methodologies are explained in sufficient detail in the Basis of Preparation as required under the Guideline.</t>
  </si>
  <si>
    <t>Pricing template</t>
  </si>
  <si>
    <t>Part 10 Financial Reporting Template</t>
  </si>
  <si>
    <t>Part 10 Financial Reporting</t>
  </si>
  <si>
    <t>Asset value - Recovered Capital Method (RCM)</t>
  </si>
  <si>
    <t>6. PRICING TEMPLATE</t>
  </si>
  <si>
    <t>Pipeline capital expenditure</t>
  </si>
  <si>
    <t>All dollar amounts are to be unrounded, and in nominal terms.</t>
  </si>
  <si>
    <t>Basis of Preparation ID</t>
  </si>
  <si>
    <t>Basis of preparation ID</t>
  </si>
  <si>
    <t>Recovered capital method  (Table 4.1)</t>
  </si>
  <si>
    <t>Return on assets</t>
  </si>
  <si>
    <t>Other</t>
  </si>
  <si>
    <t>2.1 Profit &amp; Loss by component</t>
  </si>
  <si>
    <t>3 Return on capital &amp; Tax</t>
  </si>
  <si>
    <t>3 Return of capital</t>
  </si>
  <si>
    <t>6.2 Pricing benchmarks</t>
  </si>
  <si>
    <t>Table 2.1.1:  Statement of pipeline revenue and expenses by component</t>
  </si>
  <si>
    <t>Measurement unit</t>
  </si>
  <si>
    <t>Fixed operating costs per unit</t>
  </si>
  <si>
    <t>Return of capital per unit</t>
  </si>
  <si>
    <t>Return on capital &amp; Tax per unit</t>
  </si>
  <si>
    <t>Total cost per unit</t>
  </si>
  <si>
    <t>$/GJ/day of Pipeline MDQ</t>
  </si>
  <si>
    <t>$/GJ of MDQ traded</t>
  </si>
  <si>
    <t>$/GJ traded</t>
  </si>
  <si>
    <t>Pricing benchmarks summary</t>
  </si>
  <si>
    <t>Data visualisation</t>
  </si>
  <si>
    <t>Financial summary</t>
  </si>
  <si>
    <t>Revenue &amp; Expense allocation to pipeline services</t>
  </si>
  <si>
    <t>Orange = Input cells</t>
  </si>
  <si>
    <t>Light Blue / Dark Blue = AER instructions / headings</t>
  </si>
  <si>
    <t>Basis of preparation document is to be uploaded alongside this financial template, providing assumptions, methodologies, and other relevant information.</t>
  </si>
  <si>
    <t>Total costs less depreciation in Table 2.1.1 per capacity denominator</t>
  </si>
  <si>
    <t>Direct costs less depreciation in Table 2.1.1 per capacity denominator</t>
  </si>
  <si>
    <t>Total asset depreciation per capacity denominator</t>
  </si>
  <si>
    <t>Direct asset depreciation per capacity denominator</t>
  </si>
  <si>
    <t>Depreciation of RCM asset value per capacity denominator</t>
  </si>
  <si>
    <t>Return on capital per capacity denominator</t>
  </si>
  <si>
    <t>Tax estimate per capacity denominator</t>
  </si>
  <si>
    <t>Data validation lists</t>
  </si>
  <si>
    <t xml:space="preserve">Pipelines </t>
  </si>
  <si>
    <t xml:space="preserve">Compressors </t>
  </si>
  <si>
    <t xml:space="preserve">City Gates, supply regulators and valve stations </t>
  </si>
  <si>
    <t xml:space="preserve">Metering </t>
  </si>
  <si>
    <t xml:space="preserve">Odorant plants </t>
  </si>
  <si>
    <t xml:space="preserve">SCADA (Communications) </t>
  </si>
  <si>
    <t xml:space="preserve">Buildings </t>
  </si>
  <si>
    <t xml:space="preserve">Leased assets </t>
  </si>
  <si>
    <t>Inventories</t>
  </si>
  <si>
    <t>Other assets</t>
  </si>
  <si>
    <t>Capacity denominator (report period) TJ</t>
  </si>
  <si>
    <t>Table 4.1.1: Capital expenditure greater than 5% of construction cost</t>
  </si>
  <si>
    <t>Table 4.1.2: Historical expansions and extensions</t>
  </si>
  <si>
    <t>Please report all historical expansions/extensions in table 4.1.2, regardless of value.
Please ensure all extensions/expansions in the next 12 months that have advanced to the "Final Investment Decision" stage are comprehensively reported in table 4.1.3.</t>
  </si>
  <si>
    <t>Closing other non-depreciable pipeline assets carrying value</t>
  </si>
  <si>
    <t>Pipeline nameplate capacity</t>
  </si>
  <si>
    <t>Depreciation (excl. impairment)</t>
  </si>
  <si>
    <t>Impairment losses</t>
  </si>
  <si>
    <t>Depreciation (Amortisation) (excl. impairment)</t>
  </si>
  <si>
    <t>Table 4.1.3: Planned expansions and extensions of capacity</t>
  </si>
  <si>
    <t>Facility's proposed nameplate rating, or the estimated likely range during affected period</t>
  </si>
  <si>
    <t>Proposed commissioning date, or a range of dates</t>
  </si>
  <si>
    <t>Expected end date, or a range of dates</t>
  </si>
  <si>
    <t>Firm forward haul transportation service</t>
  </si>
  <si>
    <t>Backhaul services</t>
  </si>
  <si>
    <t>Interruptible or as available transportation service</t>
  </si>
  <si>
    <t>Firm stand-alone compression service</t>
  </si>
  <si>
    <t>Interruptible or as available stand-alone compression service</t>
  </si>
  <si>
    <t>Park services</t>
  </si>
  <si>
    <t>Park and loan services</t>
  </si>
  <si>
    <t>Capacity trading service</t>
  </si>
  <si>
    <t>In pipe trading service</t>
  </si>
  <si>
    <t>Profit &amp; Loss statement by component</t>
  </si>
  <si>
    <t>Table 3.1.1: Pipeline assets (DBVM)</t>
  </si>
  <si>
    <t>Table 3.2.1: Pipeline assets (RAB)</t>
  </si>
  <si>
    <t>Contracted MDQ</t>
  </si>
  <si>
    <t>Table 5.2: Demand by pipeline service</t>
  </si>
  <si>
    <t>Opening Cost Base</t>
  </si>
  <si>
    <t>Current year additions</t>
  </si>
  <si>
    <t>Current year disposals or Early termination</t>
  </si>
  <si>
    <t>Modify cost adjustment column if accelerated depreciation is applicable.</t>
  </si>
  <si>
    <t>$</t>
  </si>
  <si>
    <t>Date RAB estabilished</t>
  </si>
  <si>
    <t xml:space="preserve"> Pipelines </t>
  </si>
  <si>
    <t xml:space="preserve"> Nominal Opening Regulatory Asset Base  </t>
  </si>
  <si>
    <t xml:space="preserve"> Nominal Capex </t>
  </si>
  <si>
    <t xml:space="preserve"> Total capitalised pipeline construction costs </t>
  </si>
  <si>
    <t xml:space="preserve"> Less Asset disposal (at cost) </t>
  </si>
  <si>
    <t xml:space="preserve"> Less Nominal Actual Regulatory Depreciation  </t>
  </si>
  <si>
    <t xml:space="preserve"> Closing pipeline carrying value </t>
  </si>
  <si>
    <t xml:space="preserve"> Compressors </t>
  </si>
  <si>
    <t xml:space="preserve"> Additions and improvements capitalised </t>
  </si>
  <si>
    <t xml:space="preserve"> Less Depreciation of compressors </t>
  </si>
  <si>
    <t xml:space="preserve"> Less Disposal (at cost) </t>
  </si>
  <si>
    <t xml:space="preserve"> Closing compressors carrying value </t>
  </si>
  <si>
    <t xml:space="preserve"> City Gates, supply regulators and valve stations </t>
  </si>
  <si>
    <t xml:space="preserve"> Improvements capitalised </t>
  </si>
  <si>
    <t xml:space="preserve"> Less Depreciation of city gates, supply regulators and valve stations </t>
  </si>
  <si>
    <t xml:space="preserve"> Closing city gates, supply regulators and valve stations carrying value </t>
  </si>
  <si>
    <t xml:space="preserve"> Metering </t>
  </si>
  <si>
    <t xml:space="preserve"> Less Depreciation of metering </t>
  </si>
  <si>
    <t xml:space="preserve"> Closing Metering </t>
  </si>
  <si>
    <t xml:space="preserve"> Less Depreciation of odourant plants </t>
  </si>
  <si>
    <t xml:space="preserve"> Closing odourant plants carrying value </t>
  </si>
  <si>
    <t xml:space="preserve"> SCADA (Communications) </t>
  </si>
  <si>
    <t xml:space="preserve"> Less Depreciation of SCADA </t>
  </si>
  <si>
    <t xml:space="preserve"> Closing SCADA carrying value </t>
  </si>
  <si>
    <t xml:space="preserve"> Buildings </t>
  </si>
  <si>
    <t xml:space="preserve"> Less Depreciation of buildings </t>
  </si>
  <si>
    <t xml:space="preserve"> Closing buildings carrying value </t>
  </si>
  <si>
    <t xml:space="preserve"> Land and easements </t>
  </si>
  <si>
    <t xml:space="preserve"> Less Depreciation of land and easement </t>
  </si>
  <si>
    <t xml:space="preserve"> Closing land and easements carrying value </t>
  </si>
  <si>
    <t xml:space="preserve"> Other depreciable pipeline assets </t>
  </si>
  <si>
    <t xml:space="preserve"> Less Depreciation/amortisation </t>
  </si>
  <si>
    <t xml:space="preserve"> Closing other depreciable pipeline assets carrying value </t>
  </si>
  <si>
    <t xml:space="preserve"> Leased pipeline assets </t>
  </si>
  <si>
    <t xml:space="preserve"> Closing leased pipeline assets carrying value </t>
  </si>
  <si>
    <t xml:space="preserve"> Total pipeline assets </t>
  </si>
  <si>
    <t xml:space="preserve"> Less Shared property, plant and equipment depreciation </t>
  </si>
  <si>
    <t xml:space="preserve"> Less disposals of shared supporting assets </t>
  </si>
  <si>
    <t xml:space="preserve"> Closing shared property, plant and equipment </t>
  </si>
  <si>
    <t xml:space="preserve"> Shared leased assets </t>
  </si>
  <si>
    <t xml:space="preserve"> Closing shared leased assets carrying value </t>
  </si>
  <si>
    <t xml:space="preserve"> Opening other assets </t>
  </si>
  <si>
    <t xml:space="preserve"> Change in other assets </t>
  </si>
  <si>
    <t xml:space="preserve"> Closing other assets </t>
  </si>
  <si>
    <t xml:space="preserve"> Total shared supporting assets allocated </t>
  </si>
  <si>
    <t xml:space="preserve"> TOTAL ASSETS </t>
  </si>
  <si>
    <t xml:space="preserve"> Odorant plants </t>
  </si>
  <si>
    <t>Depreciable direct assets in Table 3.1.1 or 3.2.1</t>
  </si>
  <si>
    <t xml:space="preserve">Depreciated book value method (Table 3.1.1 for Non-scheme pipelines) </t>
  </si>
  <si>
    <t xml:space="preserve">Regulatory Asset Base (Table 3.2.1 for Scheme pipelines) </t>
  </si>
  <si>
    <t>Table 3.3.1: Asset useful life</t>
  </si>
  <si>
    <t>Table 3.4.1: Assets impaired</t>
  </si>
  <si>
    <t>Table 3.4.2: Asset impairment reversals</t>
  </si>
  <si>
    <t>Table 3.5.1: Pipeline assets at cost</t>
  </si>
  <si>
    <t>Table 3.6.1: Shared supporting asset allocation</t>
  </si>
  <si>
    <t>Table 3.5.2: Shared assets at cost</t>
  </si>
  <si>
    <t>Table 4.1: Pipeline assets (RCM)</t>
  </si>
  <si>
    <t>3.3 Asset useful life</t>
  </si>
  <si>
    <t>3.4 Asset impairment</t>
  </si>
  <si>
    <t>3.5 Depreciation amortisation</t>
  </si>
  <si>
    <t>3.6 Shared supporting assets</t>
  </si>
  <si>
    <t>3.1 ASSET VALUE - DEPRICIATED BOOK VALUE METHOD (DBVM)</t>
  </si>
  <si>
    <t>4. ASSET VALUE - RECOVERED CAPITAL METHOD (RCM)</t>
  </si>
  <si>
    <t>3.2 ASSET VALUE - REGULATORY ASSET BASE (RAB)</t>
  </si>
  <si>
    <t>Asset value - Depreciated Book Value Method (DBVM) (For Non-scheme pipeline only)</t>
  </si>
  <si>
    <t>Asset value - Regulatory Asset Base (RAB) (For Scheme pipeline only)</t>
  </si>
  <si>
    <t>Please ensure allocation methodologies are explained in sufficient detail within the Basis of Preparation as required under the Guideline.</t>
  </si>
  <si>
    <t>Current year capitalised maintenance or improvements</t>
  </si>
  <si>
    <t>Asset allocation to pipeline service</t>
  </si>
  <si>
    <t>Please input the percentages of asset value allocated to each services, and the indexes provided by AER. Please ensure to include any necessary explanation in the Basis of Preparation of the allocation methodologies, or if alternative index is used.
The cost-based pricing benchmarks is calculated based on three elements. The basic logics of the methodology would be explained in the handbook.</t>
  </si>
  <si>
    <t>Backhaul service</t>
  </si>
  <si>
    <t>Park service</t>
  </si>
  <si>
    <t>Allocation to pipeline services</t>
  </si>
  <si>
    <t>2.2 Allocation to pipeline services</t>
  </si>
  <si>
    <t xml:space="preserve"> -</t>
  </si>
  <si>
    <t>Residual Value</t>
  </si>
  <si>
    <t>This template is for a non-indexed asset value derived from a regulator-determined initial regulatory asset base and capital expenditure with straight-line depreciation, for scheme pipelines.</t>
  </si>
  <si>
    <t>All numbers are expressed in $nominal.</t>
  </si>
  <si>
    <t xml:space="preserve"> Shared supporting assets (RAB)</t>
  </si>
  <si>
    <t>Depreciable direct assets in Table 3.1.1 or 3.2.1 (Including Land and easements)</t>
  </si>
  <si>
    <t>Profit and loss (Table 2.1.1)</t>
  </si>
  <si>
    <t>Value as at current reporting period</t>
  </si>
  <si>
    <t>36. Based on the average regulatory rate of return</t>
  </si>
  <si>
    <t>Based on the inferred rates of return under Depreciated book value method</t>
  </si>
  <si>
    <t>Based on the average regulatory rate of return</t>
  </si>
  <si>
    <t>Earnings before interest and tax (EBIT)</t>
  </si>
  <si>
    <t>Earnings before interest and tax (EBIT) by service</t>
  </si>
  <si>
    <t>This template is for a non-indexed asset value based on original construction costs and “depreciation” based on a notional cash-flow based “return of capital” approach, for non-scheme pipelines.</t>
  </si>
  <si>
    <t>Initial acquisition costs</t>
  </si>
  <si>
    <t>Data validation lists_1</t>
  </si>
  <si>
    <t xml:space="preserve">Initial construction costs </t>
  </si>
  <si>
    <t>Closing Regulatory Asset Base value</t>
  </si>
  <si>
    <t>Table 3.1.2:  Initial costs of pipeline assets (DBVM)</t>
  </si>
  <si>
    <t xml:space="preserve">This template is for a non-indexed asset value based on the Australian Accounting Standards, featuring allowances for acquisition costs and asset impairments, for non-scheme pipelines.
</t>
  </si>
  <si>
    <t>Construction year</t>
  </si>
  <si>
    <t>Acquisition year</t>
  </si>
  <si>
    <t>Year of closing RAB set</t>
  </si>
  <si>
    <t>C16</t>
  </si>
  <si>
    <t>Column C, D, E, F, I, J, K</t>
  </si>
  <si>
    <t>change the format of cell C16 from “date” to “number”</t>
  </si>
  <si>
    <t>this cell currently displays # symbols instead of a number</t>
  </si>
  <si>
    <t>update the formula</t>
  </si>
  <si>
    <t>Table 2.1: Statement of pipeline revenue and expenses by service</t>
  </si>
  <si>
    <t>the restricted cell space precludes the complete display of service provider name</t>
  </si>
  <si>
    <t>D12-D21, F12-F21</t>
  </si>
  <si>
    <t xml:space="preserve">#N/A in the cells cause the sum formula in cells D22/F22 to return an error </t>
  </si>
  <si>
    <t>adjust column width to allow more characters</t>
  </si>
  <si>
    <t>Source:</t>
  </si>
  <si>
    <t>RCWP AER Part 10 Workings.xlsx</t>
  </si>
  <si>
    <t>Report</t>
  </si>
  <si>
    <t>APA FIN - TRIAL BALANCE BY ASSET</t>
  </si>
  <si>
    <t>Company</t>
  </si>
  <si>
    <t>Ledger</t>
  </si>
  <si>
    <t>ACTUALS</t>
  </si>
  <si>
    <t>Book</t>
  </si>
  <si>
    <t>Amount Type</t>
  </si>
  <si>
    <t>ENDING BALANCE</t>
  </si>
  <si>
    <t xml:space="preserve">Time Period </t>
  </si>
  <si>
    <t>CURRENT PERIOD YTD</t>
  </si>
  <si>
    <t>Period</t>
  </si>
  <si>
    <t>Multi Company Filter</t>
  </si>
  <si>
    <t>Report last ran on</t>
  </si>
  <si>
    <t>Part 10 Mapping</t>
  </si>
  <si>
    <t>Mapping for check purposes</t>
  </si>
  <si>
    <t>Ledger Account</t>
  </si>
  <si>
    <t>Ledger Account Number</t>
  </si>
  <si>
    <t>Ledger Account Description</t>
  </si>
  <si>
    <t>Ending Balance</t>
  </si>
  <si>
    <t>1701:PROPERTY, PLANT AND EQUIPMENT - COST (CONTRA)</t>
  </si>
  <si>
    <t>1704:PROPERTY, PLANT AND EQUIPMENT - ACCUM DEPRECIATION AND IMPAIRMENT (CONTRA)</t>
  </si>
  <si>
    <t>4000:OPERATING REVENUE</t>
  </si>
  <si>
    <t>4000</t>
  </si>
  <si>
    <t>OPERATING REVENUE</t>
  </si>
  <si>
    <t>Depreciation Expense</t>
  </si>
  <si>
    <t>APA FIN - WORKDAY WORKSHEET FOR JOURNAL SUMMARY - CCM AND ASSET VIEW</t>
  </si>
  <si>
    <t>Ledger accounts</t>
  </si>
  <si>
    <t>4000: OPERATING REVENUE</t>
  </si>
  <si>
    <t>Journal Accounting Month</t>
  </si>
  <si>
    <t>Company ID</t>
  </si>
  <si>
    <t>Journal Source</t>
  </si>
  <si>
    <t>APA Asset ID</t>
  </si>
  <si>
    <t>APA Asset</t>
  </si>
  <si>
    <t>Cost Center ID</t>
  </si>
  <si>
    <t>Cost Center</t>
  </si>
  <si>
    <t>Ledger Account ID</t>
  </si>
  <si>
    <t>Spend Category ID</t>
  </si>
  <si>
    <t>Spend Category</t>
  </si>
  <si>
    <t>Revenue Category ID</t>
  </si>
  <si>
    <t>Revenue Category</t>
  </si>
  <si>
    <t>Supplier</t>
  </si>
  <si>
    <t>Customer</t>
  </si>
  <si>
    <t>Ledger/Budget Debit minus Credit</t>
  </si>
  <si>
    <t>2025-04</t>
  </si>
  <si>
    <t>Customer Invoice</t>
  </si>
  <si>
    <t>2025-06</t>
  </si>
  <si>
    <t>Manual Journal</t>
  </si>
  <si>
    <t>RC0018</t>
  </si>
  <si>
    <t>RC0018 PIPELINE - MINIMUM BILL</t>
  </si>
  <si>
    <t>2024-07</t>
  </si>
  <si>
    <t>RC0019</t>
  </si>
  <si>
    <t>RC0019 PIPELINE - FIRM CAPACITY LONG TERM</t>
  </si>
  <si>
    <t>2024-08</t>
  </si>
  <si>
    <t>2024-09</t>
  </si>
  <si>
    <t>2024-10</t>
  </si>
  <si>
    <t>2024-11</t>
  </si>
  <si>
    <t>2024-12</t>
  </si>
  <si>
    <t>2025-01</t>
  </si>
  <si>
    <t>2025-02</t>
  </si>
  <si>
    <t>2025-03</t>
  </si>
  <si>
    <t>2025-05</t>
  </si>
  <si>
    <t>RC0056</t>
  </si>
  <si>
    <t>RC0056 CAPACITY TRADING - MINIMUM BILL PARTICIPANT FEE</t>
  </si>
  <si>
    <t>RC0066</t>
  </si>
  <si>
    <t>RC0066 PIPELINE - IMBALANCE</t>
  </si>
  <si>
    <t>RC0069</t>
  </si>
  <si>
    <t>RC0069 PIPELINE - IN-PIPE TRADE CHARGE</t>
  </si>
  <si>
    <t>RC0075</t>
  </si>
  <si>
    <t>RC0075 PIPELINE - COMMODITY - THROUGHPUT</t>
  </si>
  <si>
    <t>RC0091</t>
  </si>
  <si>
    <t>RC0091 PIPELINE - INTERRUPTIBLE</t>
  </si>
  <si>
    <t>Opening Cost</t>
  </si>
  <si>
    <t>Disposals</t>
  </si>
  <si>
    <t>Closing Cost</t>
  </si>
  <si>
    <t>Buildings</t>
  </si>
  <si>
    <t>City Gates, supply regulators and valve stations</t>
  </si>
  <si>
    <t>Compressors</t>
  </si>
  <si>
    <t>Odourant plants</t>
  </si>
  <si>
    <t>Metering</t>
  </si>
  <si>
    <t>Pipelines</t>
  </si>
  <si>
    <t>SCADA (Communications)</t>
  </si>
  <si>
    <t xml:space="preserve">This has been extracted from the file as detailed below, which contains all workings for the determination of the Property, Plant and Equipment calculated on the basis of Appendix A lives per the Pipeline Information Disclosure Guideline. </t>
  </si>
  <si>
    <t xml:space="preserve">Summary of Capex and Accumulated depreciation which has been calculated on the basis of the statutory accounting lives, adopted by the APA Group. </t>
  </si>
  <si>
    <t>This information is for the tab called "3.1 Depreciated Book Value" for the purposes of including the FY24 comparatives.</t>
  </si>
  <si>
    <t xml:space="preserve">Please note that for the implementation of Part 10, the pipeline asset lives adopted for RCWP PPE and associated assets were aligned with those used by the APA Group for statutory accounting purposes. </t>
  </si>
  <si>
    <t xml:space="preserve">In contrast, the lives adopted for Part 23 purposes were determined in accordance with the Appendix A of the Part 23 Guideline. </t>
  </si>
  <si>
    <t xml:space="preserve">Therefore, the information below is required for the comparative information. </t>
  </si>
  <si>
    <t>For Comparative purposes</t>
  </si>
  <si>
    <t>Property, Plant and Equipment - 30 June 2024</t>
  </si>
  <si>
    <t>ColumnL</t>
  </si>
  <si>
    <t>Opening cost</t>
  </si>
  <si>
    <t>Additions - adj</t>
  </si>
  <si>
    <t>Closing cost</t>
  </si>
  <si>
    <t>Opening Accumulated Depreciation</t>
  </si>
  <si>
    <t>Depreciation expense</t>
  </si>
  <si>
    <t>Depreciation exp - disposal</t>
  </si>
  <si>
    <t>Closing Accumulated Depreciation</t>
  </si>
  <si>
    <t>Closing WDV</t>
  </si>
  <si>
    <t>N/A</t>
  </si>
  <si>
    <t>(blank)</t>
  </si>
  <si>
    <t>Closing balance</t>
  </si>
  <si>
    <t>FY25</t>
  </si>
  <si>
    <t>FY24</t>
  </si>
  <si>
    <t>A206 Moomba-Sydney Pipeline</t>
  </si>
  <si>
    <t>Transmission</t>
  </si>
  <si>
    <t>Shared corporate operating expense</t>
  </si>
  <si>
    <t>Non-scheme pipeline</t>
  </si>
  <si>
    <t>No</t>
  </si>
  <si>
    <t>Sydney</t>
  </si>
  <si>
    <t>NSW</t>
  </si>
  <si>
    <t>PO Box R41</t>
  </si>
  <si>
    <t>Royal Exhange</t>
  </si>
  <si>
    <t>Andrew Narin (General Manager Investor Relations)</t>
  </si>
  <si>
    <t>+61 (03) 8416 2887</t>
  </si>
  <si>
    <t>APARegReporting@apa.com.au</t>
  </si>
  <si>
    <t>https://aemo.com.au/energy-systems/gas/gas-bulletin-board-gbb/data-gbb/gas-flows</t>
  </si>
  <si>
    <t>Yes</t>
  </si>
  <si>
    <t>Shared lease asset interest expense</t>
  </si>
  <si>
    <t>Shared lease asset depreciation</t>
  </si>
  <si>
    <t>Information Technology</t>
  </si>
  <si>
    <t>Various</t>
  </si>
  <si>
    <t>APA Infra Consolidation Hierarchy</t>
  </si>
  <si>
    <t>C016 EAST AUSTRALIAN PIPELINE PTY LIMITED
C304 (J) EAST AUSTRALIAN PIPELINE CONS</t>
  </si>
  <si>
    <t>C016 EAST AUSTRALIAN PIPELINE PTY LIMITED</t>
  </si>
  <si>
    <t>4002:OTHER REVENUE</t>
  </si>
  <si>
    <t>OTHER REVENUE</t>
  </si>
  <si>
    <t>2024- 12 JUN</t>
  </si>
  <si>
    <t>C016</t>
  </si>
  <si>
    <t>Ad Hoc Bank Transaction</t>
  </si>
  <si>
    <t>A206</t>
  </si>
  <si>
    <t>800384</t>
  </si>
  <si>
    <t>800384 MSP_GENERAL (C016)</t>
  </si>
  <si>
    <t>4002</t>
  </si>
  <si>
    <t>RC0109</t>
  </si>
  <si>
    <t>RC0109 INSURANCE PROCEEDS</t>
  </si>
  <si>
    <t>C-0057045 Tarac - Firm &amp; Interruptible Services</t>
  </si>
  <si>
    <t>C-0001588 MSP Visy Pulp &amp; Paper Pty Limited 1589</t>
  </si>
  <si>
    <t>RC0024</t>
  </si>
  <si>
    <t>RC0024 PIPELINE - REDIRECTION - FIRM</t>
  </si>
  <si>
    <t>RC0062</t>
  </si>
  <si>
    <t>RC0062 PIPELINE - OVER RUNS, AUTHORISED</t>
  </si>
  <si>
    <t>RC0063</t>
  </si>
  <si>
    <t>RC0063 PIPELINE - OVER RUNS, UNAUTHORISED</t>
  </si>
  <si>
    <t>RC0092</t>
  </si>
  <si>
    <t>RC0092 PIPELINE - PARKING CHARGE - INTERRUPTIBLE</t>
  </si>
  <si>
    <t>RC0093</t>
  </si>
  <si>
    <t>RC0093 PIPELINE - LOAN CHARGE - INTERRUPTIBLE</t>
  </si>
  <si>
    <t>RC0095</t>
  </si>
  <si>
    <t>RC0095 PIPELINE - REDIRECTION - INTERRUPTIBLE</t>
  </si>
  <si>
    <t>RC0100</t>
  </si>
  <si>
    <t>RC0100 CUSTOMER CONTRIBUTIONS</t>
  </si>
  <si>
    <t>C-0007717 MSP Aemo Charges</t>
  </si>
  <si>
    <t>RC0111</t>
  </si>
  <si>
    <t>RC0111 PROPERTY ENQUIRY INCOME</t>
  </si>
  <si>
    <t>C-0003033 Property Search Fee</t>
  </si>
  <si>
    <t>EC Revenue accrual Journal</t>
  </si>
  <si>
    <t>C-0001593 MSP Santos Direct 1593 GTA</t>
  </si>
  <si>
    <t>C-0053385 MAS Strategic Gas Market Trading Pty Ltd</t>
  </si>
  <si>
    <t>C-0055465 MAS QENOS</t>
  </si>
  <si>
    <t>C-0063425 MAS - Pelican Point Power Limited</t>
  </si>
  <si>
    <t>C-0114218 CGP MAS Mount Isa Mines GTA</t>
  </si>
  <si>
    <t>C-0114344 MAS OneSteel Manufacturing</t>
  </si>
  <si>
    <t>C-0114720 ESSO MAS GTA</t>
  </si>
  <si>
    <t>C-0176287 MAS Brickworks</t>
  </si>
  <si>
    <t>C-0192287 MAS Incitec Pivot GTA</t>
  </si>
  <si>
    <t>C-0217287 MAS Agora Retail Pty Limited GTA</t>
  </si>
  <si>
    <t>C-0290313 MSP Bluescope MAS GTA</t>
  </si>
  <si>
    <t>C-0333300 MAS Beach Energy Limited GTA</t>
  </si>
  <si>
    <t>C-0377289 MAS Adelaide Brighton Cement Limited  GTA</t>
  </si>
  <si>
    <t>C-0395316 MSP Paper Australia OPAL GTA MAS</t>
  </si>
  <si>
    <t>C-3000729 MSP QENOS 55465 GTA</t>
  </si>
  <si>
    <t>C-3002189 MAS OneSteel Manufacturing (Administrators Appointed)</t>
  </si>
  <si>
    <t>C-0033021 COVAU MAS 33021</t>
  </si>
  <si>
    <t>C-0053645 MAS - Energy Australia Pty Ltd - Qld</t>
  </si>
  <si>
    <t>C-0054325 MAS AGL Wholesale Gas Limited</t>
  </si>
  <si>
    <t>C-0066705 MAS - Shell Energy Australia - QLD</t>
  </si>
  <si>
    <t>C-0084565 AEMO CT&amp;A</t>
  </si>
  <si>
    <t>C-0090205 Alinta Energy Retail Sales 85465 GTA</t>
  </si>
  <si>
    <t>C-0093465 Gas Transportation Agreement (Senex - Multi-Asset Service)</t>
  </si>
  <si>
    <t>C-0098185 MSP Eastern Energy</t>
  </si>
  <si>
    <t>C-0109990 Origin GTA 2023</t>
  </si>
  <si>
    <t>C-0201287 Group Energy MAS</t>
  </si>
  <si>
    <t>C-0299287 MSP M2 Energy MAS GTA</t>
  </si>
  <si>
    <t>C-0427315 MSP Perpetual Energy GTA</t>
  </si>
  <si>
    <t>RC0020</t>
  </si>
  <si>
    <t>RC0020 PIPELINE - FIRM CAPACITY SHORT TERM</t>
  </si>
  <si>
    <t>C-0067065 Macquarie Multi-Asset Service</t>
  </si>
  <si>
    <t>C-3001173 SGMT - MAS GTA</t>
  </si>
  <si>
    <t>RC0027</t>
  </si>
  <si>
    <t>RC0027 PIPELINE - PARKING CHARGE - FIRM</t>
  </si>
  <si>
    <t>C-0034200 RBP Arrow Energy Trading Pty Ltd</t>
  </si>
  <si>
    <t>C-0059685 Delta GTA</t>
  </si>
  <si>
    <t>C-0093785 Multi-Asset Service - PetroChina</t>
  </si>
  <si>
    <t>RC0028</t>
  </si>
  <si>
    <t>RC0028 PIPELINE - LOAN CHARGE - FIRM</t>
  </si>
  <si>
    <t>RC0030</t>
  </si>
  <si>
    <t>RC0030 PIPELINE - FIRM COMPRESSION LONG TERM</t>
  </si>
  <si>
    <t>RC0058</t>
  </si>
  <si>
    <t>RC0058 CAPACITY TRADING &amp; AUCTION - AUCTION CAPACITY CHARGE</t>
  </si>
  <si>
    <t>RC0060</t>
  </si>
  <si>
    <t>RC0060 CAPACITY TRADING &amp; AUCTION - AUCTION PROCEEDS</t>
  </si>
  <si>
    <t>RC0065</t>
  </si>
  <si>
    <t>RC0065 PIPELINE - MINIMUM BILL BALANCE</t>
  </si>
  <si>
    <t>RC0076</t>
  </si>
  <si>
    <t>RC0076 PIPELINE - THROUGHPUT</t>
  </si>
  <si>
    <t>RC0077</t>
  </si>
  <si>
    <t>RC0077 PIPELINE - FIRM CAPACITY DAY AHEAD/WITHIN DAY</t>
  </si>
  <si>
    <t>C-0204304 MAS Orica Australia GTA</t>
  </si>
  <si>
    <t>Column1</t>
  </si>
  <si>
    <t>Spend/Revenue Category</t>
  </si>
  <si>
    <t>RC0094 PIPELINE - PRESSURE SERVICES - INTERRUPTIBLE</t>
  </si>
  <si>
    <t>FY20</t>
  </si>
  <si>
    <t>FY22</t>
  </si>
  <si>
    <t>FY23</t>
  </si>
  <si>
    <t>EAST AUSTRALIAN PIPELINE PTY LIMITED</t>
  </si>
  <si>
    <t>33 064 629 009</t>
  </si>
  <si>
    <t>Moomba Sydney Pipeline</t>
  </si>
  <si>
    <t>Part 10 Classification</t>
  </si>
  <si>
    <t>ColumnCC</t>
  </si>
  <si>
    <t>Acquisition adj</t>
  </si>
  <si>
    <t>Intercompany Transfer in</t>
  </si>
  <si>
    <t>Depreciation Expense - Disposal</t>
  </si>
  <si>
    <t>Asset classification</t>
  </si>
  <si>
    <t>Capitalised maintenance</t>
  </si>
  <si>
    <t>C304</t>
  </si>
  <si>
    <t>Refer to [Summary - Interco Transfer] tab</t>
  </si>
  <si>
    <t>Intercompany transfer in captured only in TB but not in FAR</t>
  </si>
  <si>
    <t>Closing Balance</t>
  </si>
  <si>
    <t>Check to TB</t>
  </si>
  <si>
    <t>Intercompany Transfer In</t>
  </si>
  <si>
    <t>Note 1</t>
  </si>
  <si>
    <t xml:space="preserve">This intercompany transfer in of $90,575,669 reflects the transfers manually added in for FY24. Hence, should not be tested as part of FY25 additions. Refer to Appendix A MSP FY24 provided last year to reconcile the amount. </t>
  </si>
  <si>
    <t xml:space="preserve">Indefinite </t>
  </si>
  <si>
    <t>New South Wales</t>
  </si>
  <si>
    <t>FY07</t>
  </si>
  <si>
    <t>FY08</t>
  </si>
  <si>
    <t>FY09</t>
  </si>
  <si>
    <t>FY11</t>
  </si>
  <si>
    <t>FY13</t>
  </si>
  <si>
    <t>FY15</t>
  </si>
  <si>
    <t>FY17</t>
  </si>
  <si>
    <t>FY18</t>
  </si>
  <si>
    <t>FY19</t>
  </si>
  <si>
    <t>Moomba Marsden Pipeline CP Installation, Pigging, Corrosion Mitigation and Easement Site Evaluation</t>
  </si>
  <si>
    <t>Milne Compressor Station installation as part of the East Coast Expansion and other Stay in Business caoital expenditure</t>
  </si>
  <si>
    <t>Milne and Roundhill Compressor Stations installation as part of the East Coast Expansion, Stress Corrosion Control and other Stay in Business capital expenditure</t>
  </si>
  <si>
    <t>Per leased asset life</t>
  </si>
  <si>
    <t>Buyout Contract - Pipeline Maintenance Agreement with Agility and Stay in Business Capital Expenditure</t>
  </si>
  <si>
    <t>Young Looping and Stay in Business Capital Expenditure</t>
  </si>
  <si>
    <t>Capacity Expansion project and Stay in Business Capital Expenditure</t>
  </si>
  <si>
    <t>Victorian Northern Interconnect Expansion project and Stay in Business Capital Expenditure</t>
  </si>
  <si>
    <t>Young Wagga Compressor overhaul, Young Interchange Upgrade, SCC &amp; CP Programs and Pigging</t>
  </si>
  <si>
    <t>Section 12</t>
  </si>
  <si>
    <t xml:space="preserve">Section 13 </t>
  </si>
  <si>
    <t>Section 15</t>
  </si>
  <si>
    <t>Section 17</t>
  </si>
  <si>
    <t>Section 19</t>
  </si>
  <si>
    <t>Part10 book value exceeds the Recoverable value</t>
  </si>
  <si>
    <t>Section 21</t>
  </si>
  <si>
    <t>Section 22</t>
  </si>
  <si>
    <t>Section 24</t>
  </si>
  <si>
    <t>Section 25</t>
  </si>
  <si>
    <t>Culcairn Compressor Station</t>
  </si>
  <si>
    <t>Level 10, 121 Castlereagh Street</t>
  </si>
  <si>
    <t>565 TJ Southern-haul</t>
  </si>
  <si>
    <t>Section 11</t>
  </si>
  <si>
    <t>Section 16</t>
  </si>
  <si>
    <t>Section 23</t>
  </si>
  <si>
    <t>See section 24 of the Basis of Preparation document.</t>
  </si>
  <si>
    <t>Per Weighted Average Statutory Accounting Useful life</t>
  </si>
  <si>
    <t>Section 21 &amp; Section 22</t>
  </si>
  <si>
    <t>Section 18</t>
  </si>
  <si>
    <t>Auction Service</t>
  </si>
  <si>
    <t>Redirection Service</t>
  </si>
  <si>
    <t>Moomba Syndey Pipeline (MSP) - 30 June 2025</t>
  </si>
  <si>
    <t>Property, Plant and Equipment</t>
  </si>
  <si>
    <t>APA INFRA CONSOLIDATION HIERARCHY</t>
  </si>
  <si>
    <t>2025 - P12 JUN</t>
  </si>
  <si>
    <t>Nameplate capacity</t>
  </si>
  <si>
    <t>C096 APA REEDY CREEK WALLUMBILLA PTY LIMITED</t>
  </si>
  <si>
    <t>COMMON</t>
  </si>
  <si>
    <t>Centrifugal Compressor Installation at Young</t>
  </si>
  <si>
    <t>Young Looping</t>
  </si>
  <si>
    <t>Capacity Expansion Project</t>
  </si>
  <si>
    <t>Victorian Northern Interconnect Expansion project</t>
  </si>
  <si>
    <t>Victorian Northern Interconnect Expansion Project</t>
  </si>
  <si>
    <t>Milne Compressor Station Installation as part of the East Coast Expansion</t>
  </si>
  <si>
    <t>Milne and Roundhill Compressor Stations Installation as part of the East Coast Expansion</t>
  </si>
  <si>
    <t>Roundhill Compressor Stations Installation as part of the East Coast Expansion</t>
  </si>
  <si>
    <t>1/6/2000 to 30/6/2025</t>
  </si>
  <si>
    <t>1/1/2019 to 30/6/2025</t>
  </si>
  <si>
    <t>1/10/2001 to 30/6/2025</t>
  </si>
  <si>
    <t>1/7/2010 to 30/6/2025</t>
  </si>
  <si>
    <t>1/3/2003 to 30/6/2025</t>
  </si>
  <si>
    <t>1/7/2019 to 30/6/2025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</si>
</sst>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70" formatCode="d/mm/yyyy;@"/>
    <numFmt numFmtId="171" formatCode="_(* #,##0.0_);_(* \(#,##0.0\);_(* &quot;-&quot;_);_(@_)"/>
    <numFmt numFmtId="172" formatCode="_(* #,##0.00_);_(* \(#,##0.00\);_(* &quot;-&quot;_);_(@_)"/>
    <numFmt numFmtId="173" formatCode="_(* #,##0.000_);_(* \(#,##0.000\);_(* &quot;-&quot;_);_(@_)"/>
    <numFmt numFmtId="174" formatCode="_(* #,##0.0000_);_(* \(#,##0.0000\);_(* &quot;-&quot;_);_(@_)"/>
    <numFmt numFmtId="175" formatCode="_(* #,##0_);_(* \(#,##0\);_(* &quot;&quot;_);_(@_)"/>
    <numFmt numFmtId="176" formatCode="d/m/yy"/>
    <numFmt numFmtId="177" formatCode="#,##0.00;\(#,##0.00\)"/>
  </numFmts>
  <fonts count="88" x14ac:knownFonts="1">
    <font>
      <sz val="10"/>
      <name val="Arial"/>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b/>
      <sz val="10"/>
      <color indexed="51"/>
      <name val="Arial"/>
      <family val="2"/>
    </font>
    <font>
      <sz val="10"/>
      <name val="Arial"/>
      <family val="2"/>
    </font>
    <font>
      <sz val="8"/>
      <name val="Arial"/>
      <family val="2"/>
    </font>
    <font>
      <sz val="10"/>
      <color indexed="9"/>
      <name val="Arial"/>
      <family val="2"/>
    </font>
    <font>
      <sz val="18"/>
      <name val="Arial"/>
      <family val="2"/>
    </font>
    <font>
      <sz val="18"/>
      <color indexed="62"/>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0"/>
      <name val="Cambria"/>
      <family val="2"/>
    </font>
    <font>
      <sz val="10"/>
      <name val="Arial"/>
      <family val="2"/>
    </font>
    <font>
      <sz val="11"/>
      <name val="Arial"/>
      <family val="2"/>
    </font>
    <font>
      <b/>
      <i/>
      <sz val="10"/>
      <color indexed="9"/>
      <name val="Arial"/>
      <family val="2"/>
    </font>
    <font>
      <b/>
      <sz val="12"/>
      <color indexed="9"/>
      <name val="Arial"/>
      <family val="2"/>
    </font>
    <font>
      <sz val="9"/>
      <color indexed="81"/>
      <name val="Tahoma"/>
      <family val="2"/>
    </font>
    <font>
      <sz val="10"/>
      <name val="Arial"/>
      <family val="2"/>
    </font>
    <font>
      <b/>
      <sz val="10"/>
      <color indexed="10"/>
      <name val="Arial"/>
      <family val="2"/>
    </font>
    <font>
      <sz val="20"/>
      <name val="Arial"/>
      <family val="2"/>
    </font>
    <font>
      <sz val="20"/>
      <color indexed="18"/>
      <name val="Arial"/>
      <family val="2"/>
    </font>
    <font>
      <sz val="12"/>
      <name val="Arial"/>
      <family val="2"/>
    </font>
    <font>
      <sz val="12"/>
      <color indexed="9"/>
      <name val="Arial"/>
      <family val="2"/>
    </font>
    <font>
      <sz val="8"/>
      <name val="Malgun Gothic"/>
      <family val="2"/>
    </font>
    <font>
      <i/>
      <sz val="9"/>
      <color indexed="81"/>
      <name val="Tahoma"/>
      <family val="2"/>
    </font>
    <font>
      <sz val="10"/>
      <color indexed="81"/>
      <name val="Tahoma"/>
      <family val="2"/>
    </font>
    <font>
      <b/>
      <sz val="10"/>
      <name val="Arial"/>
      <family val="2"/>
    </font>
    <font>
      <sz val="10"/>
      <name val="Arial"/>
      <family val="2"/>
    </font>
    <font>
      <b/>
      <sz val="10"/>
      <name val="Arial"/>
      <family val="2"/>
    </font>
    <font>
      <sz val="10"/>
      <name val="Arial"/>
      <family val="2"/>
    </font>
    <font>
      <b/>
      <sz val="9"/>
      <name val="Calibri"/>
      <family val="2"/>
    </font>
    <font>
      <sz val="9"/>
      <name val="Calibri"/>
      <family val="2"/>
    </font>
    <font>
      <b/>
      <sz val="9"/>
      <color indexed="81"/>
      <name val="Tahoma"/>
      <family val="2"/>
    </font>
    <font>
      <sz val="11"/>
      <color theme="1"/>
      <name val="Calibri"/>
      <family val="2"/>
      <scheme val="minor"/>
    </font>
    <font>
      <sz val="10"/>
      <color theme="1"/>
      <name val="Arial"/>
      <family val="2"/>
    </font>
    <font>
      <b/>
      <sz val="16"/>
      <color theme="0"/>
      <name val="Arial"/>
      <family val="2"/>
    </font>
    <font>
      <sz val="10"/>
      <name val="Cambria"/>
      <family val="2"/>
      <scheme val="major"/>
    </font>
    <font>
      <sz val="11"/>
      <color theme="1"/>
      <name val="Calibri"/>
      <family val="2"/>
    </font>
    <font>
      <sz val="10"/>
      <color theme="0"/>
      <name val="Arial"/>
      <family val="2"/>
    </font>
    <font>
      <b/>
      <i/>
      <sz val="10"/>
      <color theme="0"/>
      <name val="Arial"/>
      <family val="2"/>
    </font>
    <font>
      <b/>
      <sz val="10"/>
      <color theme="0"/>
      <name val="Arial"/>
      <family val="2"/>
    </font>
    <font>
      <sz val="10"/>
      <color rgb="FFFFFFFF"/>
      <name val="Arial"/>
      <family val="2"/>
    </font>
    <font>
      <b/>
      <sz val="20"/>
      <color theme="0"/>
      <name val="Arial"/>
      <family val="2"/>
    </font>
    <font>
      <sz val="20"/>
      <color theme="0"/>
      <name val="Arial"/>
      <family val="2"/>
    </font>
    <font>
      <sz val="20"/>
      <color rgb="FF17415D"/>
      <name val="Arial"/>
      <family val="2"/>
    </font>
    <font>
      <sz val="8"/>
      <color rgb="FF000000"/>
      <name val="Malgun Gothic"/>
      <family val="2"/>
    </font>
    <font>
      <sz val="11"/>
      <color rgb="FF1D1D1D"/>
      <name val="Arial"/>
      <family val="2"/>
    </font>
    <font>
      <b/>
      <sz val="10"/>
      <color theme="9"/>
      <name val="Arial"/>
      <family val="2"/>
    </font>
    <font>
      <sz val="10"/>
      <color rgb="FFFF0000"/>
      <name val="Arial"/>
      <family val="2"/>
    </font>
    <font>
      <i/>
      <sz val="12"/>
      <color theme="0"/>
      <name val="Arial"/>
      <family val="2"/>
    </font>
    <font>
      <b/>
      <sz val="12"/>
      <color theme="0"/>
      <name val="Arial"/>
      <family val="2"/>
    </font>
    <font>
      <b/>
      <sz val="12"/>
      <color rgb="FFFFFFFF"/>
      <name val="Arial"/>
      <family val="2"/>
    </font>
    <font>
      <sz val="28"/>
      <color rgb="FFFF0000"/>
      <name val="Arial"/>
      <family val="2"/>
    </font>
    <font>
      <sz val="10"/>
      <color rgb="FF000000"/>
      <name val="Arial"/>
      <family val="2"/>
    </font>
    <font>
      <b/>
      <sz val="10"/>
      <color rgb="FFFFFFFF"/>
      <name val="Arial"/>
      <family val="2"/>
    </font>
    <font>
      <i/>
      <sz val="10"/>
      <color rgb="FFDE2E21"/>
      <name val="Arial"/>
      <family val="2"/>
    </font>
    <font>
      <b/>
      <sz val="10"/>
      <color rgb="FFFF0000"/>
      <name val="Arial"/>
      <family val="2"/>
    </font>
    <font>
      <b/>
      <sz val="10"/>
      <color rgb="FFDE2E21"/>
      <name val="Arial"/>
      <family val="2"/>
    </font>
    <font>
      <i/>
      <sz val="9"/>
      <color rgb="FF000000"/>
      <name val="Calibri"/>
      <family val="2"/>
    </font>
    <font>
      <b/>
      <sz val="9"/>
      <color rgb="FFFFFFFF"/>
      <name val="Calibri"/>
      <family val="2"/>
    </font>
    <font>
      <sz val="9"/>
      <color rgb="FF000000"/>
      <name val="Calibri"/>
      <family val="2"/>
    </font>
    <font>
      <sz val="12"/>
      <color rgb="FFFFFFFF"/>
      <name val="Arial"/>
      <family val="2"/>
    </font>
    <font>
      <b/>
      <sz val="20"/>
      <color rgb="FF17415D"/>
      <name val="Arial"/>
      <family val="2"/>
    </font>
  </fonts>
  <fills count="52">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8"/>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theme="0" tint="-0.499984740745262"/>
        <bgColor indexed="64"/>
      </patternFill>
    </fill>
    <fill>
      <patternFill patternType="solid">
        <fgColor theme="1"/>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2B7AAF"/>
        <bgColor indexed="64"/>
      </patternFill>
    </fill>
    <fill>
      <patternFill patternType="solid">
        <fgColor rgb="FFFFECC9"/>
        <bgColor indexed="64"/>
      </patternFill>
    </fill>
    <fill>
      <patternFill patternType="solid">
        <fgColor rgb="FF17415D"/>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rgb="FFFFF9E6"/>
      </patternFill>
    </fill>
    <fill>
      <patternFill patternType="solid">
        <fgColor rgb="FF66FFFF"/>
        <bgColor indexed="64"/>
      </patternFill>
    </fill>
    <fill>
      <patternFill patternType="solid">
        <fgColor rgb="FFD9D9D9"/>
      </patternFill>
    </fill>
    <fill>
      <patternFill patternType="solid">
        <fgColor rgb="FF666666"/>
      </patternFill>
    </fill>
    <fill>
      <patternFill patternType="solid">
        <fgColor rgb="FFF3F3F3"/>
      </patternFill>
    </fill>
    <fill>
      <patternFill patternType="solid">
        <fgColor rgb="FFFFFF00"/>
        <bgColor indexed="64"/>
      </patternFill>
    </fill>
    <fill>
      <patternFill patternType="solid">
        <fgColor rgb="FF3166AB"/>
      </patternFill>
    </fill>
    <fill>
      <patternFill patternType="solid">
        <fgColor rgb="FF0C7A5B"/>
      </patternFill>
    </fill>
    <fill>
      <patternFill patternType="solid">
        <fgColor theme="9" tint="0.59999389629810485"/>
        <bgColor indexed="64"/>
      </patternFill>
    </fill>
  </fills>
  <borders count="5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style="thin">
        <color theme="4"/>
      </left>
      <right/>
      <top/>
      <bottom/>
      <diagonal/>
    </border>
    <border>
      <left/>
      <right style="thin">
        <color theme="4"/>
      </right>
      <top/>
      <bottom/>
      <diagonal/>
    </border>
    <border>
      <left/>
      <right/>
      <top style="thin">
        <color rgb="FF000000"/>
      </top>
      <bottom/>
      <diagonal/>
    </border>
    <border>
      <left/>
      <right/>
      <top style="thin">
        <color rgb="FF000000"/>
      </top>
      <bottom style="double">
        <color rgb="FF000000"/>
      </bottom>
      <diagonal/>
    </border>
    <border>
      <left/>
      <right/>
      <top/>
      <bottom style="medium">
        <color rgb="FF666666"/>
      </bottom>
      <diagonal/>
    </border>
    <border>
      <left style="medium">
        <color rgb="FF666666"/>
      </left>
      <right style="medium">
        <color rgb="FF666666"/>
      </right>
      <top/>
      <bottom style="medium">
        <color rgb="FF666666"/>
      </bottom>
      <diagonal/>
    </border>
    <border>
      <left/>
      <right/>
      <top/>
      <bottom style="thin">
        <color rgb="FFDFE2E6"/>
      </bottom>
      <diagonal/>
    </border>
    <border>
      <left style="mediumDashed">
        <color rgb="FF0875E1"/>
      </left>
      <right/>
      <top style="mediumDashed">
        <color rgb="FF0875E1"/>
      </top>
      <bottom/>
      <diagonal/>
    </border>
    <border>
      <left/>
      <right/>
      <top style="mediumDashed">
        <color rgb="FF0875E1"/>
      </top>
      <bottom/>
      <diagonal/>
    </border>
    <border>
      <left/>
      <right style="mediumDashed">
        <color rgb="FF0875E1"/>
      </right>
      <top style="mediumDashed">
        <color rgb="FF0875E1"/>
      </top>
      <bottom/>
      <diagonal/>
    </border>
    <border>
      <left style="mediumDashed">
        <color rgb="FF0875E1"/>
      </left>
      <right/>
      <top/>
      <bottom/>
      <diagonal/>
    </border>
    <border>
      <left/>
      <right style="mediumDashed">
        <color rgb="FF0875E1"/>
      </right>
      <top/>
      <bottom/>
      <diagonal/>
    </border>
    <border>
      <left style="mediumDashed">
        <color rgb="FF0875E1"/>
      </left>
      <right/>
      <top/>
      <bottom style="mediumDashed">
        <color rgb="FF0875E1"/>
      </bottom>
      <diagonal/>
    </border>
    <border>
      <left/>
      <right/>
      <top/>
      <bottom style="mediumDashed">
        <color rgb="FF0875E1"/>
      </bottom>
      <diagonal/>
    </border>
    <border>
      <left/>
      <right style="mediumDashed">
        <color rgb="FF0875E1"/>
      </right>
      <top/>
      <bottom style="mediumDashed">
        <color rgb="FF0875E1"/>
      </bottom>
      <diagonal/>
    </border>
  </borders>
  <cellStyleXfs count="275">
    <xf numFmtId="0" fontId="0" fillId="0" borderId="0"/>
    <xf numFmtId="0" fontId="8" fillId="0" borderId="0"/>
    <xf numFmtId="0" fontId="8" fillId="0" borderId="0" applyNumberFormat="0" applyFill="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164" fontId="8" fillId="13" borderId="0" applyNumberFormat="0" applyFont="0" applyBorder="0" applyAlignment="0">
      <alignment horizontal="right"/>
    </xf>
    <xf numFmtId="41" fontId="8" fillId="13" borderId="0" applyNumberFormat="0" applyFont="0" applyBorder="0" applyAlignment="0">
      <alignment horizontal="right"/>
    </xf>
    <xf numFmtId="41" fontId="37"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37"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0" fontId="17" fillId="8" borderId="1" applyNumberFormat="0" applyAlignment="0" applyProtection="0"/>
    <xf numFmtId="0" fontId="17" fillId="9" borderId="1" applyNumberFormat="0" applyAlignment="0" applyProtection="0"/>
    <xf numFmtId="0" fontId="18" fillId="26" borderId="2" applyNumberFormat="0" applyAlignment="0" applyProtection="0"/>
    <xf numFmtId="0" fontId="18" fillId="27" borderId="2" applyNumberFormat="0" applyAlignment="0" applyProtection="0"/>
    <xf numFmtId="43" fontId="3" fillId="0" borderId="0" applyFont="0" applyFill="0" applyBorder="0" applyAlignment="0" applyProtection="0"/>
    <xf numFmtId="43" fontId="42" fillId="0" borderId="0" applyFont="0" applyFill="0" applyBorder="0" applyAlignment="0" applyProtection="0"/>
    <xf numFmtId="43" fontId="8" fillId="0" borderId="0" applyFont="0" applyFill="0" applyBorder="0" applyAlignment="0" applyProtection="0"/>
    <xf numFmtId="43" fontId="42" fillId="0" borderId="0" applyFont="0" applyFill="0" applyBorder="0" applyAlignment="0" applyProtection="0"/>
    <xf numFmtId="43" fontId="8" fillId="0" borderId="0" applyFont="0" applyFill="0" applyBorder="0" applyAlignment="0" applyProtection="0"/>
    <xf numFmtId="43" fontId="52"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8" fillId="0" borderId="0" applyFont="0" applyFill="0" applyBorder="0" applyAlignment="0" applyProtection="0"/>
    <xf numFmtId="43" fontId="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42" fillId="0" borderId="0" applyFont="0" applyFill="0" applyBorder="0" applyAlignment="0" applyProtection="0"/>
    <xf numFmtId="43" fontId="8" fillId="0" borderId="0" applyFont="0" applyFill="0" applyBorder="0" applyAlignment="0" applyProtection="0"/>
    <xf numFmtId="44" fontId="42"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60" fillId="32" borderId="0">
      <alignment vertical="center"/>
    </xf>
    <xf numFmtId="49" fontId="60" fillId="33" borderId="0">
      <alignment vertical="center"/>
    </xf>
    <xf numFmtId="0" fontId="19" fillId="0" borderId="0" applyNumberForma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13" fillId="0" borderId="0" applyNumberFormat="0" applyFill="0" applyBorder="0" applyAlignment="0" applyProtection="0">
      <alignment vertical="top"/>
      <protection locked="0"/>
    </xf>
    <xf numFmtId="0" fontId="24" fillId="4" borderId="1" applyNumberFormat="0" applyAlignment="0" applyProtection="0"/>
    <xf numFmtId="0" fontId="24" fillId="5" borderId="1" applyNumberFormat="0" applyAlignment="0" applyProtection="0"/>
    <xf numFmtId="164" fontId="3" fillId="31" borderId="0" applyFont="0" applyBorder="0" applyAlignment="0">
      <alignment horizontal="right"/>
      <protection locked="0"/>
    </xf>
    <xf numFmtId="41" fontId="8" fillId="31" borderId="0" applyFont="0" applyBorder="0" applyAlignment="0">
      <alignment horizontal="right"/>
      <protection locked="0"/>
    </xf>
    <xf numFmtId="41" fontId="37"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37"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42" fillId="31" borderId="0" applyFont="0" applyBorder="0" applyAlignment="0">
      <alignment horizontal="right"/>
      <protection locked="0"/>
    </xf>
    <xf numFmtId="41" fontId="8" fillId="31" borderId="0" applyFont="0" applyBorder="0" applyAlignment="0">
      <alignment horizontal="right"/>
      <protection locked="0"/>
    </xf>
    <xf numFmtId="165" fontId="8" fillId="30" borderId="0" applyFont="0" applyBorder="0">
      <alignment horizontal="right"/>
      <protection locked="0"/>
    </xf>
    <xf numFmtId="165" fontId="37" fillId="30" borderId="0" applyFont="0" applyBorder="0">
      <alignment horizontal="right"/>
      <protection locked="0"/>
    </xf>
    <xf numFmtId="165" fontId="8" fillId="30" borderId="0" applyFont="0" applyBorder="0">
      <alignment horizontal="right"/>
      <protection locked="0"/>
    </xf>
    <xf numFmtId="164" fontId="8" fillId="7" borderId="0" applyFont="0" applyBorder="0">
      <alignment horizontal="right"/>
      <protection locked="0"/>
    </xf>
    <xf numFmtId="41" fontId="8" fillId="7" borderId="0" applyFont="0" applyBorder="0">
      <alignment horizontal="right"/>
      <protection locked="0"/>
    </xf>
    <xf numFmtId="41" fontId="37"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37"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0" fontId="25" fillId="0" borderId="6" applyNumberFormat="0" applyFill="0" applyAlignment="0" applyProtection="0"/>
    <xf numFmtId="0" fontId="26" fillId="10" borderId="0" applyNumberFormat="0" applyBorder="0" applyAlignment="0" applyProtection="0"/>
    <xf numFmtId="0" fontId="26" fillId="11" borderId="0" applyNumberFormat="0" applyBorder="0" applyAlignment="0" applyProtection="0"/>
    <xf numFmtId="0" fontId="8" fillId="0" borderId="0"/>
    <xf numFmtId="0" fontId="61" fillId="0" borderId="0"/>
    <xf numFmtId="0" fontId="36" fillId="0" borderId="0"/>
    <xf numFmtId="0" fontId="62" fillId="0" borderId="0"/>
    <xf numFmtId="0" fontId="58" fillId="0" borderId="0"/>
    <xf numFmtId="0" fontId="8" fillId="0" borderId="0"/>
    <xf numFmtId="0" fontId="37" fillId="0" borderId="0"/>
    <xf numFmtId="0" fontId="8" fillId="0" borderId="0"/>
    <xf numFmtId="0" fontId="8" fillId="0" borderId="0"/>
    <xf numFmtId="0" fontId="8" fillId="0" borderId="0"/>
    <xf numFmtId="0" fontId="8" fillId="0" borderId="0" applyNumberFormat="0" applyFill="0" applyBorder="0" applyAlignment="0" applyProtection="0"/>
    <xf numFmtId="0" fontId="58" fillId="0" borderId="0"/>
    <xf numFmtId="0" fontId="62" fillId="0" borderId="0"/>
    <xf numFmtId="0" fontId="58" fillId="0" borderId="0"/>
    <xf numFmtId="0" fontId="3" fillId="9" borderId="0"/>
    <xf numFmtId="0" fontId="3" fillId="9" borderId="0"/>
    <xf numFmtId="0" fontId="3" fillId="9" borderId="0"/>
    <xf numFmtId="0" fontId="3" fillId="0" borderId="0"/>
    <xf numFmtId="0" fontId="3" fillId="9" borderId="0"/>
    <xf numFmtId="0" fontId="8" fillId="9" borderId="0"/>
    <xf numFmtId="0" fontId="3" fillId="9" borderId="0"/>
    <xf numFmtId="0" fontId="3" fillId="9" borderId="0"/>
    <xf numFmtId="0" fontId="37" fillId="9" borderId="0"/>
    <xf numFmtId="0" fontId="3" fillId="9" borderId="0"/>
    <xf numFmtId="0" fontId="42" fillId="9" borderId="0"/>
    <xf numFmtId="0" fontId="8" fillId="6" borderId="7" applyNumberFormat="0" applyFont="0" applyAlignment="0" applyProtection="0"/>
    <xf numFmtId="0" fontId="37" fillId="7" borderId="7" applyNumberFormat="0" applyFont="0" applyAlignment="0" applyProtection="0"/>
    <xf numFmtId="0" fontId="8" fillId="7" borderId="7" applyNumberFormat="0" applyFont="0" applyAlignment="0" applyProtection="0"/>
    <xf numFmtId="0" fontId="27" fillId="8" borderId="8" applyNumberFormat="0" applyAlignment="0" applyProtection="0"/>
    <xf numFmtId="0" fontId="27" fillId="9" borderId="8" applyNumberFormat="0" applyAlignment="0" applyProtection="0"/>
    <xf numFmtId="9" fontId="3" fillId="0" borderId="0" applyFont="0" applyFill="0" applyBorder="0" applyAlignment="0" applyProtection="0"/>
    <xf numFmtId="9" fontId="52" fillId="0" borderId="0" applyFont="0" applyFill="0" applyBorder="0" applyAlignment="0" applyProtection="0"/>
    <xf numFmtId="9" fontId="4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3" fillId="0" borderId="0"/>
    <xf numFmtId="0" fontId="8" fillId="0" borderId="0"/>
    <xf numFmtId="0" fontId="37" fillId="0" borderId="0"/>
    <xf numFmtId="0" fontId="8" fillId="0" borderId="0"/>
    <xf numFmtId="0" fontId="37" fillId="0" borderId="0"/>
    <xf numFmtId="0" fontId="8" fillId="0" borderId="0"/>
    <xf numFmtId="0" fontId="42" fillId="0" borderId="0"/>
    <xf numFmtId="0" fontId="8" fillId="0" borderId="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2" fillId="0" borderId="0"/>
    <xf numFmtId="0" fontId="1" fillId="0" borderId="0"/>
    <xf numFmtId="43" fontId="1" fillId="0" borderId="0" applyFont="0" applyFill="0" applyBorder="0" applyAlignment="0" applyProtection="0"/>
    <xf numFmtId="0" fontId="56" fillId="0" borderId="0"/>
    <xf numFmtId="0" fontId="3" fillId="0" borderId="0"/>
  </cellStyleXfs>
  <cellXfs count="515">
    <xf numFmtId="0" fontId="0" fillId="0" borderId="0" xfId="0"/>
    <xf numFmtId="0" fontId="11" fillId="9" borderId="0" xfId="235" applyFont="1"/>
    <xf numFmtId="0" fontId="12" fillId="9" borderId="0" xfId="235" applyFont="1" applyAlignment="1">
      <alignment vertical="center"/>
    </xf>
    <xf numFmtId="0" fontId="11" fillId="9" borderId="0" xfId="235" applyFont="1" applyAlignment="1">
      <alignment vertical="center"/>
    </xf>
    <xf numFmtId="0" fontId="3" fillId="9" borderId="0" xfId="239"/>
    <xf numFmtId="0" fontId="0" fillId="0" borderId="0" xfId="0" applyAlignment="1">
      <alignment horizontal="center"/>
    </xf>
    <xf numFmtId="0" fontId="0" fillId="34" borderId="0" xfId="0" applyFill="1"/>
    <xf numFmtId="0" fontId="0" fillId="34" borderId="0" xfId="0" applyFill="1" applyAlignment="1">
      <alignment horizontal="center"/>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8" fillId="0" borderId="0" xfId="0" applyFont="1" applyAlignment="1">
      <alignment horizontal="center" vertical="center"/>
    </xf>
    <xf numFmtId="0" fontId="8" fillId="0" borderId="0" xfId="0" applyFont="1" applyAlignment="1">
      <alignment vertical="center"/>
    </xf>
    <xf numFmtId="0" fontId="8" fillId="0" borderId="0" xfId="0" applyFont="1" applyAlignment="1">
      <alignment vertical="center" wrapText="1"/>
    </xf>
    <xf numFmtId="0" fontId="8" fillId="0" borderId="0" xfId="0" applyFont="1"/>
    <xf numFmtId="14" fontId="8" fillId="0" borderId="0" xfId="0" applyNumberFormat="1" applyFont="1" applyAlignment="1">
      <alignment vertical="center"/>
    </xf>
    <xf numFmtId="43" fontId="0" fillId="0" borderId="0" xfId="0" applyNumberFormat="1"/>
    <xf numFmtId="164" fontId="35" fillId="13" borderId="10" xfId="79" applyNumberFormat="1" applyFont="1" applyFill="1" applyBorder="1" applyAlignment="1"/>
    <xf numFmtId="0" fontId="8" fillId="0" borderId="0" xfId="0" applyFont="1" applyAlignment="1">
      <alignment wrapText="1"/>
    </xf>
    <xf numFmtId="0" fontId="3" fillId="9" borderId="0" xfId="239" applyProtection="1">
      <protection locked="0"/>
    </xf>
    <xf numFmtId="164" fontId="8" fillId="13" borderId="10" xfId="79" applyNumberFormat="1" applyFont="1" applyFill="1" applyBorder="1" applyAlignment="1" applyProtection="1">
      <alignment horizontal="right"/>
    </xf>
    <xf numFmtId="164" fontId="5" fillId="13" borderId="10" xfId="79" applyNumberFormat="1" applyFont="1" applyFill="1" applyBorder="1" applyAlignment="1" applyProtection="1">
      <alignment horizontal="right"/>
    </xf>
    <xf numFmtId="10" fontId="5" fillId="13" borderId="10" xfId="242" applyNumberFormat="1" applyFont="1" applyFill="1" applyBorder="1" applyAlignment="1">
      <alignment horizontal="right"/>
    </xf>
    <xf numFmtId="168" fontId="8" fillId="35" borderId="10" xfId="242" applyNumberFormat="1" applyFont="1" applyFill="1" applyBorder="1"/>
    <xf numFmtId="164" fontId="8" fillId="35" borderId="10" xfId="79" applyNumberFormat="1" applyFont="1" applyFill="1" applyBorder="1" applyAlignment="1" applyProtection="1">
      <alignment horizontal="right"/>
    </xf>
    <xf numFmtId="167" fontId="10" fillId="28" borderId="0" xfId="0" applyNumberFormat="1" applyFont="1" applyFill="1" applyAlignment="1">
      <alignment horizontal="left" vertical="center" wrapText="1"/>
    </xf>
    <xf numFmtId="170" fontId="5" fillId="13" borderId="10" xfId="244" applyNumberFormat="1" applyFont="1" applyFill="1" applyBorder="1" applyAlignment="1">
      <alignment horizontal="right"/>
    </xf>
    <xf numFmtId="166" fontId="5" fillId="13" borderId="10" xfId="244" applyNumberFormat="1" applyFont="1" applyFill="1" applyBorder="1" applyAlignment="1">
      <alignment horizontal="right"/>
    </xf>
    <xf numFmtId="43" fontId="5" fillId="13" borderId="10" xfId="79" applyFont="1" applyFill="1" applyBorder="1" applyAlignment="1" applyProtection="1">
      <alignment horizontal="right"/>
    </xf>
    <xf numFmtId="49" fontId="10" fillId="36" borderId="10" xfId="239" applyNumberFormat="1" applyFont="1" applyFill="1" applyBorder="1" applyAlignment="1">
      <alignment horizontal="left"/>
    </xf>
    <xf numFmtId="49" fontId="63" fillId="36" borderId="10" xfId="239" applyNumberFormat="1" applyFont="1" applyFill="1" applyBorder="1" applyAlignment="1">
      <alignment horizontal="left"/>
    </xf>
    <xf numFmtId="2" fontId="33" fillId="36" borderId="11" xfId="240" applyNumberFormat="1" applyFont="1" applyFill="1" applyBorder="1" applyAlignment="1">
      <alignment horizontal="left" vertical="center" wrapText="1"/>
    </xf>
    <xf numFmtId="167" fontId="10" fillId="36" borderId="10" xfId="239" quotePrefix="1" applyNumberFormat="1" applyFont="1" applyFill="1" applyBorder="1" applyAlignment="1">
      <alignment vertical="center" wrapText="1"/>
    </xf>
    <xf numFmtId="49" fontId="33" fillId="36" borderId="10" xfId="239" applyNumberFormat="1" applyFont="1" applyFill="1" applyBorder="1" applyAlignment="1">
      <alignment horizontal="center" vertical="center" wrapText="1"/>
    </xf>
    <xf numFmtId="167" fontId="39" fillId="36" borderId="10" xfId="239" quotePrefix="1" applyNumberFormat="1" applyFont="1" applyFill="1" applyBorder="1" applyAlignment="1">
      <alignment horizontal="left" vertical="center" wrapText="1"/>
    </xf>
    <xf numFmtId="167" fontId="63" fillId="36" borderId="10" xfId="239" quotePrefix="1" applyNumberFormat="1" applyFont="1" applyFill="1" applyBorder="1" applyAlignment="1">
      <alignment horizontal="left" vertical="center" wrapText="1" indent="1"/>
    </xf>
    <xf numFmtId="167" fontId="64" fillId="36" borderId="10" xfId="239" quotePrefix="1" applyNumberFormat="1" applyFont="1" applyFill="1" applyBorder="1" applyAlignment="1">
      <alignment horizontal="left" vertical="center" wrapText="1"/>
    </xf>
    <xf numFmtId="49" fontId="63" fillId="36" borderId="10" xfId="239" applyNumberFormat="1" applyFont="1" applyFill="1" applyBorder="1" applyAlignment="1">
      <alignment horizontal="left" indent="1"/>
    </xf>
    <xf numFmtId="49" fontId="63" fillId="36" borderId="10" xfId="243" applyNumberFormat="1" applyFont="1" applyFill="1" applyBorder="1" applyAlignment="1">
      <alignment horizontal="left" vertical="center" wrapText="1" indent="1"/>
    </xf>
    <xf numFmtId="167" fontId="33" fillId="36" borderId="10" xfId="239" quotePrefix="1" applyNumberFormat="1" applyFont="1" applyFill="1" applyBorder="1" applyAlignment="1">
      <alignment horizontal="center" vertical="center" wrapText="1"/>
    </xf>
    <xf numFmtId="2" fontId="33" fillId="36" borderId="10" xfId="239" applyNumberFormat="1" applyFont="1" applyFill="1" applyBorder="1" applyAlignment="1">
      <alignment horizontal="center" vertical="center" wrapText="1"/>
    </xf>
    <xf numFmtId="2" fontId="10" fillId="36" borderId="10" xfId="79" applyNumberFormat="1" applyFont="1" applyFill="1" applyBorder="1" applyAlignment="1" applyProtection="1">
      <alignment horizontal="center"/>
    </xf>
    <xf numFmtId="49" fontId="10" fillId="36" borderId="10" xfId="239" applyNumberFormat="1" applyFont="1" applyFill="1" applyBorder="1"/>
    <xf numFmtId="49" fontId="33" fillId="36" borderId="10" xfId="239" applyNumberFormat="1" applyFont="1" applyFill="1" applyBorder="1" applyAlignment="1">
      <alignment horizontal="left"/>
    </xf>
    <xf numFmtId="49" fontId="10" fillId="36" borderId="10" xfId="239" applyNumberFormat="1" applyFont="1" applyFill="1" applyBorder="1" applyAlignment="1">
      <alignment horizontal="left" wrapText="1"/>
    </xf>
    <xf numFmtId="49" fontId="33" fillId="36" borderId="12" xfId="239" applyNumberFormat="1" applyFont="1" applyFill="1" applyBorder="1" applyAlignment="1">
      <alignment horizontal="center" vertical="center" wrapText="1"/>
    </xf>
    <xf numFmtId="49" fontId="33" fillId="36" borderId="13" xfId="239" applyNumberFormat="1" applyFont="1" applyFill="1" applyBorder="1" applyAlignment="1">
      <alignment horizontal="center" vertical="center" wrapText="1"/>
    </xf>
    <xf numFmtId="49" fontId="33" fillId="36" borderId="10" xfId="242" applyNumberFormat="1" applyFont="1" applyFill="1" applyBorder="1" applyAlignment="1">
      <alignment horizontal="center" vertical="center" wrapText="1"/>
    </xf>
    <xf numFmtId="164" fontId="33" fillId="36" borderId="10" xfId="242" applyNumberFormat="1" applyFont="1" applyFill="1" applyBorder="1" applyAlignment="1">
      <alignment horizontal="right" vertical="center" wrapText="1"/>
    </xf>
    <xf numFmtId="49" fontId="33" fillId="36" borderId="10" xfId="242" applyNumberFormat="1" applyFont="1" applyFill="1" applyBorder="1" applyAlignment="1">
      <alignment horizontal="center"/>
    </xf>
    <xf numFmtId="166" fontId="10" fillId="36" borderId="14" xfId="79" applyNumberFormat="1" applyFont="1" applyFill="1" applyBorder="1" applyAlignment="1" applyProtection="1">
      <alignment horizontal="right" vertical="center"/>
    </xf>
    <xf numFmtId="49" fontId="33" fillId="36" borderId="10" xfId="242" applyNumberFormat="1" applyFont="1" applyFill="1" applyBorder="1" applyAlignment="1">
      <alignment horizontal="right" vertical="center" wrapText="1"/>
    </xf>
    <xf numFmtId="49" fontId="33" fillId="36" borderId="14" xfId="242" applyNumberFormat="1" applyFont="1" applyFill="1" applyBorder="1" applyAlignment="1">
      <alignment horizontal="center"/>
    </xf>
    <xf numFmtId="49" fontId="10" fillId="36" borderId="10" xfId="239" applyNumberFormat="1" applyFont="1" applyFill="1" applyBorder="1" applyAlignment="1">
      <alignment wrapText="1"/>
    </xf>
    <xf numFmtId="167" fontId="33" fillId="36" borderId="10" xfId="240" quotePrefix="1" applyNumberFormat="1" applyFont="1" applyFill="1" applyBorder="1" applyAlignment="1">
      <alignment horizontal="center" vertical="center" wrapText="1"/>
    </xf>
    <xf numFmtId="2" fontId="33" fillId="36" borderId="11" xfId="240" applyNumberFormat="1" applyFont="1" applyFill="1" applyBorder="1" applyAlignment="1">
      <alignment horizontal="center" vertical="center" wrapText="1"/>
    </xf>
    <xf numFmtId="2" fontId="65" fillId="36" borderId="11" xfId="240" applyNumberFormat="1" applyFont="1" applyFill="1" applyBorder="1" applyAlignment="1">
      <alignment horizontal="left" vertical="center" wrapText="1"/>
    </xf>
    <xf numFmtId="41" fontId="10" fillId="36" borderId="15" xfId="240" applyNumberFormat="1" applyFont="1" applyFill="1" applyBorder="1" applyAlignment="1">
      <alignment horizontal="left" indent="1"/>
    </xf>
    <xf numFmtId="41" fontId="7" fillId="36" borderId="15" xfId="240" applyNumberFormat="1" applyFont="1" applyFill="1" applyBorder="1"/>
    <xf numFmtId="164" fontId="33" fillId="36" borderId="10" xfId="242" applyNumberFormat="1" applyFont="1" applyFill="1" applyBorder="1" applyAlignment="1">
      <alignment horizontal="center" vertical="center" wrapText="1"/>
    </xf>
    <xf numFmtId="167" fontId="33" fillId="36" borderId="10" xfId="244" applyNumberFormat="1" applyFont="1" applyFill="1" applyBorder="1" applyAlignment="1">
      <alignment horizontal="center" vertical="center" wrapText="1"/>
    </xf>
    <xf numFmtId="49" fontId="33" fillId="36" borderId="10" xfId="244" applyNumberFormat="1" applyFont="1" applyFill="1" applyBorder="1" applyAlignment="1">
      <alignment horizontal="center" vertical="center" wrapText="1"/>
    </xf>
    <xf numFmtId="49" fontId="65" fillId="36" borderId="10" xfId="244" applyNumberFormat="1" applyFont="1" applyFill="1" applyBorder="1" applyAlignment="1">
      <alignment horizontal="center" vertical="center" wrapText="1"/>
    </xf>
    <xf numFmtId="166" fontId="10" fillId="36" borderId="14" xfId="79" applyNumberFormat="1" applyFont="1" applyFill="1" applyBorder="1" applyAlignment="1" applyProtection="1">
      <alignment horizontal="center" vertical="center"/>
    </xf>
    <xf numFmtId="166" fontId="63" fillId="36" borderId="14" xfId="79" applyNumberFormat="1" applyFont="1" applyFill="1" applyBorder="1" applyAlignment="1" applyProtection="1">
      <alignment horizontal="center" vertical="center"/>
    </xf>
    <xf numFmtId="2" fontId="63" fillId="36" borderId="14" xfId="79" applyNumberFormat="1" applyFont="1" applyFill="1" applyBorder="1" applyAlignment="1" applyProtection="1">
      <alignment horizontal="center" vertical="center"/>
    </xf>
    <xf numFmtId="1" fontId="10" fillId="36" borderId="14" xfId="79" applyNumberFormat="1" applyFont="1" applyFill="1" applyBorder="1" applyAlignment="1" applyProtection="1">
      <alignment horizontal="center" vertical="center"/>
    </xf>
    <xf numFmtId="49" fontId="33" fillId="36" borderId="10" xfId="244" applyNumberFormat="1" applyFont="1" applyFill="1" applyBorder="1" applyAlignment="1">
      <alignment horizontal="left" vertical="center" wrapText="1"/>
    </xf>
    <xf numFmtId="167" fontId="10" fillId="36" borderId="10" xfId="0" applyNumberFormat="1" applyFont="1" applyFill="1" applyBorder="1" applyAlignment="1">
      <alignment horizontal="left" vertical="center" wrapText="1"/>
    </xf>
    <xf numFmtId="49" fontId="10" fillId="36" borderId="10" xfId="244" applyNumberFormat="1" applyFont="1" applyFill="1" applyBorder="1" applyAlignment="1">
      <alignment horizontal="left" vertical="center" wrapText="1"/>
    </xf>
    <xf numFmtId="49" fontId="63" fillId="36" borderId="10" xfId="244" applyNumberFormat="1" applyFont="1" applyFill="1" applyBorder="1" applyAlignment="1">
      <alignment horizontal="left" vertical="center" wrapText="1"/>
    </xf>
    <xf numFmtId="166" fontId="66" fillId="36" borderId="10" xfId="244" applyNumberFormat="1" applyFont="1" applyFill="1" applyBorder="1" applyAlignment="1">
      <alignment horizontal="left"/>
    </xf>
    <xf numFmtId="0" fontId="8" fillId="37" borderId="16" xfId="239" applyFont="1" applyFill="1" applyBorder="1" applyAlignment="1" applyProtection="1">
      <alignment horizontal="center"/>
      <protection locked="0"/>
    </xf>
    <xf numFmtId="166" fontId="8" fillId="37" borderId="16" xfId="239" applyNumberFormat="1" applyFont="1" applyFill="1" applyBorder="1" applyAlignment="1" applyProtection="1">
      <alignment horizontal="center"/>
      <protection locked="0"/>
    </xf>
    <xf numFmtId="166" fontId="8" fillId="37" borderId="10" xfId="239" applyNumberFormat="1" applyFont="1" applyFill="1" applyBorder="1" applyAlignment="1" applyProtection="1">
      <alignment horizontal="center"/>
      <protection locked="0"/>
    </xf>
    <xf numFmtId="166" fontId="8" fillId="37" borderId="10" xfId="239" applyNumberFormat="1" applyFont="1" applyFill="1" applyBorder="1" applyAlignment="1" applyProtection="1">
      <alignment horizontal="left" indent="1"/>
      <protection locked="0"/>
    </xf>
    <xf numFmtId="164" fontId="8" fillId="37" borderId="10" xfId="79" applyNumberFormat="1" applyFont="1" applyFill="1" applyBorder="1" applyAlignment="1" applyProtection="1">
      <alignment horizontal="right"/>
      <protection locked="0"/>
    </xf>
    <xf numFmtId="166" fontId="8" fillId="37" borderId="10" xfId="239" applyNumberFormat="1" applyFont="1" applyFill="1" applyBorder="1" applyAlignment="1" applyProtection="1">
      <alignment horizontal="right"/>
      <protection locked="0"/>
    </xf>
    <xf numFmtId="164" fontId="8" fillId="37" borderId="16" xfId="239" applyNumberFormat="1" applyFont="1" applyFill="1" applyBorder="1" applyAlignment="1" applyProtection="1">
      <alignment horizontal="right"/>
      <protection locked="0"/>
    </xf>
    <xf numFmtId="166" fontId="8" fillId="37" borderId="16" xfId="239" applyNumberFormat="1" applyFont="1" applyFill="1" applyBorder="1" applyAlignment="1" applyProtection="1">
      <alignment horizontal="right"/>
      <protection locked="0"/>
    </xf>
    <xf numFmtId="0" fontId="8" fillId="37" borderId="10" xfId="242" applyFont="1" applyFill="1" applyBorder="1" applyProtection="1">
      <protection locked="0"/>
    </xf>
    <xf numFmtId="164" fontId="8" fillId="37" borderId="10" xfId="242" applyNumberFormat="1" applyFont="1" applyFill="1" applyBorder="1" applyAlignment="1" applyProtection="1">
      <alignment horizontal="right"/>
      <protection locked="0"/>
    </xf>
    <xf numFmtId="10" fontId="8" fillId="37" borderId="10" xfId="242" applyNumberFormat="1" applyFont="1" applyFill="1" applyBorder="1" applyAlignment="1" applyProtection="1">
      <alignment horizontal="right"/>
      <protection locked="0"/>
    </xf>
    <xf numFmtId="168" fontId="8" fillId="37" borderId="10" xfId="242" applyNumberFormat="1" applyFont="1" applyFill="1" applyBorder="1" applyProtection="1">
      <protection locked="0"/>
    </xf>
    <xf numFmtId="14" fontId="8" fillId="37" borderId="10" xfId="242" applyNumberFormat="1" applyFont="1" applyFill="1" applyBorder="1" applyAlignment="1" applyProtection="1">
      <alignment horizontal="center"/>
      <protection locked="0"/>
    </xf>
    <xf numFmtId="170" fontId="8" fillId="37" borderId="16" xfId="239" applyNumberFormat="1" applyFont="1" applyFill="1" applyBorder="1" applyAlignment="1" applyProtection="1">
      <alignment horizontal="right"/>
      <protection locked="0"/>
    </xf>
    <xf numFmtId="166" fontId="8" fillId="37" borderId="10" xfId="244" applyNumberFormat="1" applyFont="1" applyFill="1" applyBorder="1" applyAlignment="1" applyProtection="1">
      <alignment horizontal="right"/>
      <protection locked="0"/>
    </xf>
    <xf numFmtId="170" fontId="8" fillId="37" borderId="10" xfId="244" applyNumberFormat="1" applyFont="1" applyFill="1" applyBorder="1" applyAlignment="1" applyProtection="1">
      <alignment horizontal="right"/>
      <protection locked="0"/>
    </xf>
    <xf numFmtId="1" fontId="8" fillId="37" borderId="10" xfId="244" applyNumberFormat="1" applyFont="1" applyFill="1" applyBorder="1" applyAlignment="1" applyProtection="1">
      <alignment horizontal="right"/>
      <protection locked="0"/>
    </xf>
    <xf numFmtId="164" fontId="8" fillId="37" borderId="10" xfId="244" applyNumberFormat="1" applyFont="1" applyFill="1" applyBorder="1" applyAlignment="1" applyProtection="1">
      <alignment horizontal="right"/>
      <protection locked="0"/>
    </xf>
    <xf numFmtId="14" fontId="8" fillId="37" borderId="10" xfId="242" applyNumberFormat="1" applyFont="1" applyFill="1" applyBorder="1" applyProtection="1">
      <protection locked="0"/>
    </xf>
    <xf numFmtId="164" fontId="8" fillId="37" borderId="10" xfId="242" applyNumberFormat="1" applyFont="1" applyFill="1" applyBorder="1" applyProtection="1">
      <protection locked="0"/>
    </xf>
    <xf numFmtId="167" fontId="40" fillId="38" borderId="0" xfId="0" applyNumberFormat="1" applyFont="1" applyFill="1" applyAlignment="1">
      <alignment horizontal="left" vertical="center" wrapText="1"/>
    </xf>
    <xf numFmtId="10" fontId="35" fillId="13" borderId="10" xfId="251" applyNumberFormat="1" applyFont="1" applyFill="1" applyBorder="1" applyAlignment="1">
      <alignment horizontal="right"/>
    </xf>
    <xf numFmtId="41" fontId="10" fillId="38" borderId="10" xfId="240" applyNumberFormat="1" applyFont="1" applyFill="1" applyBorder="1"/>
    <xf numFmtId="41" fontId="65" fillId="38" borderId="10" xfId="240" applyNumberFormat="1" applyFont="1" applyFill="1" applyBorder="1" applyAlignment="1">
      <alignment horizontal="left"/>
    </xf>
    <xf numFmtId="41" fontId="33" fillId="38" borderId="10" xfId="240" applyNumberFormat="1" applyFont="1" applyFill="1" applyBorder="1"/>
    <xf numFmtId="49" fontId="10" fillId="38" borderId="10" xfId="239" applyNumberFormat="1" applyFont="1" applyFill="1" applyBorder="1"/>
    <xf numFmtId="167" fontId="10" fillId="38" borderId="0" xfId="0" applyNumberFormat="1" applyFont="1" applyFill="1" applyAlignment="1">
      <alignment horizontal="left" vertical="center" wrapText="1"/>
    </xf>
    <xf numFmtId="49" fontId="33" fillId="36" borderId="10" xfId="242" applyNumberFormat="1" applyFont="1" applyFill="1" applyBorder="1" applyAlignment="1">
      <alignment horizontal="center" vertical="center"/>
    </xf>
    <xf numFmtId="164" fontId="8" fillId="39" borderId="10" xfId="79" applyNumberFormat="1" applyFont="1" applyFill="1" applyBorder="1" applyAlignment="1" applyProtection="1">
      <alignment horizontal="right"/>
    </xf>
    <xf numFmtId="0" fontId="60" fillId="32" borderId="0" xfId="157">
      <alignment vertical="center"/>
    </xf>
    <xf numFmtId="0" fontId="44" fillId="0" borderId="0" xfId="0" applyFont="1" applyAlignment="1">
      <alignment horizontal="right" indent="2"/>
    </xf>
    <xf numFmtId="0" fontId="44" fillId="0" borderId="0" xfId="0" applyFont="1"/>
    <xf numFmtId="0" fontId="44" fillId="0" borderId="17" xfId="0" applyFont="1" applyBorder="1"/>
    <xf numFmtId="0" fontId="44" fillId="0" borderId="18" xfId="0" applyFont="1" applyBorder="1"/>
    <xf numFmtId="49" fontId="67" fillId="38" borderId="0" xfId="158" applyFont="1" applyFill="1">
      <alignment vertical="center"/>
    </xf>
    <xf numFmtId="14" fontId="67" fillId="38" borderId="0" xfId="239" applyNumberFormat="1" applyFont="1" applyFill="1" applyAlignment="1">
      <alignment horizontal="left"/>
    </xf>
    <xf numFmtId="14" fontId="67" fillId="38" borderId="0" xfId="239" applyNumberFormat="1" applyFont="1" applyFill="1" applyAlignment="1">
      <alignment horizontal="right"/>
    </xf>
    <xf numFmtId="14" fontId="60" fillId="38" borderId="0" xfId="239" applyNumberFormat="1" applyFont="1" applyFill="1" applyAlignment="1">
      <alignment horizontal="right"/>
    </xf>
    <xf numFmtId="0" fontId="0" fillId="9" borderId="0" xfId="239" applyFont="1"/>
    <xf numFmtId="167" fontId="10" fillId="36" borderId="10" xfId="0" applyNumberFormat="1" applyFont="1" applyFill="1" applyBorder="1" applyAlignment="1">
      <alignment horizontal="center" vertical="center" wrapText="1"/>
    </xf>
    <xf numFmtId="167" fontId="33" fillId="36" borderId="10" xfId="0" applyNumberFormat="1" applyFont="1" applyFill="1" applyBorder="1" applyAlignment="1">
      <alignment horizontal="center" vertical="center" wrapText="1"/>
    </xf>
    <xf numFmtId="167" fontId="66" fillId="36" borderId="10" xfId="0" applyNumberFormat="1" applyFont="1" applyFill="1" applyBorder="1" applyAlignment="1">
      <alignment horizontal="center" vertical="center" wrapText="1"/>
    </xf>
    <xf numFmtId="0" fontId="8" fillId="37" borderId="10" xfId="239" applyFont="1" applyFill="1" applyBorder="1" applyAlignment="1" applyProtection="1">
      <alignment horizontal="center"/>
      <protection locked="0"/>
    </xf>
    <xf numFmtId="0" fontId="0" fillId="40" borderId="0" xfId="0" applyFill="1"/>
    <xf numFmtId="0" fontId="6" fillId="40" borderId="0" xfId="0" applyFont="1" applyFill="1"/>
    <xf numFmtId="49" fontId="33" fillId="36" borderId="10" xfId="239" applyNumberFormat="1" applyFont="1" applyFill="1" applyBorder="1" applyAlignment="1">
      <alignment horizontal="left" vertical="center" wrapText="1"/>
    </xf>
    <xf numFmtId="2" fontId="10" fillId="36" borderId="0" xfId="79" applyNumberFormat="1" applyFont="1" applyFill="1" applyBorder="1" applyAlignment="1" applyProtection="1">
      <alignment horizontal="center"/>
    </xf>
    <xf numFmtId="49" fontId="10" fillId="36" borderId="10" xfId="240" applyNumberFormat="1" applyFont="1" applyFill="1" applyBorder="1" applyAlignment="1">
      <alignment horizontal="center" vertical="center"/>
    </xf>
    <xf numFmtId="171" fontId="8" fillId="13" borderId="10" xfId="81" applyNumberFormat="1" applyFont="1" applyFill="1" applyBorder="1" applyAlignment="1" applyProtection="1">
      <alignment horizontal="right"/>
    </xf>
    <xf numFmtId="2" fontId="10" fillId="36" borderId="10" xfId="81" applyNumberFormat="1" applyFont="1" applyFill="1" applyBorder="1" applyAlignment="1" applyProtection="1">
      <alignment horizontal="center"/>
    </xf>
    <xf numFmtId="49" fontId="63" fillId="36" borderId="10" xfId="240" applyNumberFormat="1" applyFont="1" applyFill="1" applyBorder="1"/>
    <xf numFmtId="164" fontId="8" fillId="13" borderId="10" xfId="81" applyNumberFormat="1" applyFont="1" applyFill="1" applyBorder="1" applyAlignment="1" applyProtection="1">
      <alignment horizontal="right"/>
    </xf>
    <xf numFmtId="164" fontId="5" fillId="13" borderId="10" xfId="81" applyNumberFormat="1" applyFont="1" applyFill="1" applyBorder="1" applyAlignment="1" applyProtection="1">
      <alignment horizontal="right"/>
    </xf>
    <xf numFmtId="164" fontId="5" fillId="39" borderId="10" xfId="81" applyNumberFormat="1" applyFont="1" applyFill="1" applyBorder="1" applyAlignment="1" applyProtection="1">
      <alignment horizontal="right"/>
    </xf>
    <xf numFmtId="49" fontId="10" fillId="36" borderId="10" xfId="239" applyNumberFormat="1" applyFont="1" applyFill="1" applyBorder="1" applyAlignment="1">
      <alignment horizontal="left" vertical="center" wrapText="1"/>
    </xf>
    <xf numFmtId="49" fontId="10" fillId="38" borderId="10" xfId="239" applyNumberFormat="1" applyFont="1" applyFill="1" applyBorder="1" applyAlignment="1">
      <alignment horizontal="left" vertical="center" wrapText="1"/>
    </xf>
    <xf numFmtId="10" fontId="5" fillId="13" borderId="10" xfId="81" applyNumberFormat="1" applyFont="1" applyFill="1" applyBorder="1" applyAlignment="1" applyProtection="1">
      <alignment horizontal="right"/>
    </xf>
    <xf numFmtId="0" fontId="10" fillId="36" borderId="10" xfId="239" applyFont="1" applyFill="1" applyBorder="1" applyAlignment="1">
      <alignment horizontal="left"/>
    </xf>
    <xf numFmtId="49" fontId="33" fillId="38" borderId="10" xfId="239" applyNumberFormat="1" applyFont="1" applyFill="1" applyBorder="1" applyAlignment="1">
      <alignment horizontal="left"/>
    </xf>
    <xf numFmtId="164" fontId="35" fillId="13" borderId="10" xfId="79" applyNumberFormat="1" applyFont="1" applyFill="1" applyBorder="1" applyAlignment="1">
      <alignment horizontal="right"/>
    </xf>
    <xf numFmtId="0" fontId="8" fillId="37" borderId="16" xfId="239" applyFont="1" applyFill="1" applyBorder="1" applyAlignment="1" applyProtection="1">
      <alignment horizontal="right"/>
      <protection locked="0"/>
    </xf>
    <xf numFmtId="2" fontId="8" fillId="37" borderId="16" xfId="239" applyNumberFormat="1" applyFont="1" applyFill="1" applyBorder="1" applyAlignment="1" applyProtection="1">
      <alignment horizontal="right"/>
      <protection locked="0"/>
    </xf>
    <xf numFmtId="167" fontId="10" fillId="36" borderId="10" xfId="239" quotePrefix="1" applyNumberFormat="1" applyFont="1" applyFill="1" applyBorder="1" applyAlignment="1">
      <alignment horizontal="left" vertical="center" wrapText="1"/>
    </xf>
    <xf numFmtId="0" fontId="8" fillId="37" borderId="10" xfId="242" applyFont="1" applyFill="1" applyBorder="1" applyAlignment="1" applyProtection="1">
      <alignment horizontal="left" vertical="center"/>
      <protection locked="0"/>
    </xf>
    <xf numFmtId="164" fontId="8" fillId="40" borderId="10" xfId="242" applyNumberFormat="1" applyFont="1" applyFill="1" applyBorder="1" applyAlignment="1">
      <alignment horizontal="right"/>
    </xf>
    <xf numFmtId="10" fontId="8" fillId="40" borderId="10" xfId="242" applyNumberFormat="1" applyFont="1" applyFill="1" applyBorder="1" applyAlignment="1">
      <alignment horizontal="right"/>
    </xf>
    <xf numFmtId="10" fontId="8" fillId="13" borderId="10" xfId="79" applyNumberFormat="1" applyFont="1" applyFill="1" applyBorder="1" applyAlignment="1" applyProtection="1">
      <alignment horizontal="right"/>
    </xf>
    <xf numFmtId="164" fontId="35" fillId="13" borderId="10" xfId="79" applyNumberFormat="1" applyFont="1" applyFill="1" applyBorder="1" applyAlignment="1" applyProtection="1">
      <alignment horizontal="right"/>
    </xf>
    <xf numFmtId="164" fontId="8" fillId="36" borderId="10" xfId="79" applyNumberFormat="1" applyFont="1" applyFill="1" applyBorder="1" applyAlignment="1" applyProtection="1">
      <alignment horizontal="right"/>
    </xf>
    <xf numFmtId="164" fontId="8" fillId="37" borderId="10" xfId="79" applyNumberFormat="1" applyFont="1" applyFill="1" applyBorder="1" applyAlignment="1" applyProtection="1">
      <alignment horizontal="right" indent="1"/>
      <protection locked="0"/>
    </xf>
    <xf numFmtId="164" fontId="34" fillId="13" borderId="10" xfId="79" applyNumberFormat="1" applyFont="1" applyFill="1" applyBorder="1" applyAlignment="1" applyProtection="1">
      <alignment horizontal="right"/>
    </xf>
    <xf numFmtId="168" fontId="8" fillId="37" borderId="10" xfId="242" applyNumberFormat="1" applyFont="1" applyFill="1" applyBorder="1" applyAlignment="1" applyProtection="1">
      <alignment horizontal="center" vertical="center"/>
      <protection locked="0"/>
    </xf>
    <xf numFmtId="168" fontId="8" fillId="37" borderId="10" xfId="242" applyNumberFormat="1" applyFont="1" applyFill="1" applyBorder="1" applyAlignment="1" applyProtection="1">
      <alignment horizontal="center" vertical="center" wrapText="1"/>
      <protection locked="0"/>
    </xf>
    <xf numFmtId="49" fontId="60" fillId="38" borderId="0" xfId="158" applyFill="1">
      <alignment vertical="center"/>
    </xf>
    <xf numFmtId="167" fontId="33" fillId="36" borderId="10" xfId="239" quotePrefix="1" applyNumberFormat="1" applyFont="1" applyFill="1" applyBorder="1" applyAlignment="1">
      <alignment horizontal="left" vertical="center" wrapText="1"/>
    </xf>
    <xf numFmtId="49" fontId="33" fillId="38" borderId="10" xfId="239" applyNumberFormat="1" applyFont="1" applyFill="1" applyBorder="1"/>
    <xf numFmtId="174" fontId="35" fillId="13" borderId="10" xfId="81" applyNumberFormat="1" applyFont="1" applyFill="1" applyBorder="1" applyAlignment="1">
      <alignment horizontal="right"/>
    </xf>
    <xf numFmtId="174" fontId="35" fillId="13" borderId="10" xfId="81" applyNumberFormat="1" applyFont="1" applyFill="1" applyBorder="1" applyAlignment="1">
      <alignment horizontal="center" vertical="center"/>
    </xf>
    <xf numFmtId="1" fontId="8" fillId="37" borderId="16" xfId="239" applyNumberFormat="1" applyFont="1" applyFill="1" applyBorder="1" applyAlignment="1" applyProtection="1">
      <alignment horizontal="right"/>
      <protection locked="0"/>
    </xf>
    <xf numFmtId="14" fontId="8" fillId="37" borderId="16" xfId="239" applyNumberFormat="1" applyFont="1" applyFill="1" applyBorder="1" applyAlignment="1" applyProtection="1">
      <alignment horizontal="right"/>
      <protection locked="0"/>
    </xf>
    <xf numFmtId="164" fontId="5" fillId="39" borderId="10" xfId="79" applyNumberFormat="1" applyFont="1" applyFill="1" applyBorder="1" applyAlignment="1" applyProtection="1">
      <alignment horizontal="right"/>
    </xf>
    <xf numFmtId="0" fontId="45" fillId="0" borderId="19" xfId="0" applyFont="1" applyBorder="1"/>
    <xf numFmtId="0" fontId="45" fillId="0" borderId="20" xfId="0" applyFont="1" applyBorder="1"/>
    <xf numFmtId="0" fontId="45" fillId="0" borderId="21" xfId="0" applyFont="1" applyBorder="1"/>
    <xf numFmtId="0" fontId="45" fillId="0" borderId="17" xfId="0" applyFont="1" applyBorder="1"/>
    <xf numFmtId="0" fontId="45" fillId="0" borderId="18" xfId="0" applyFont="1" applyBorder="1"/>
    <xf numFmtId="0" fontId="45" fillId="0" borderId="0" xfId="0" applyFont="1"/>
    <xf numFmtId="0" fontId="45" fillId="0" borderId="22" xfId="0" applyFont="1" applyBorder="1"/>
    <xf numFmtId="0" fontId="45" fillId="0" borderId="23" xfId="0" applyFont="1" applyBorder="1" applyAlignment="1">
      <alignment horizontal="right" indent="2"/>
    </xf>
    <xf numFmtId="0" fontId="45" fillId="0" borderId="23" xfId="0" applyFont="1" applyBorder="1"/>
    <xf numFmtId="0" fontId="45" fillId="0" borderId="24" xfId="0" applyFont="1" applyBorder="1"/>
    <xf numFmtId="0" fontId="67" fillId="38" borderId="0" xfId="0" applyFont="1" applyFill="1" applyAlignment="1">
      <alignment horizontal="right" indent="2"/>
    </xf>
    <xf numFmtId="0" fontId="68" fillId="38" borderId="0" xfId="166" quotePrefix="1" applyFont="1" applyFill="1" applyBorder="1" applyAlignment="1" applyProtection="1"/>
    <xf numFmtId="0" fontId="68" fillId="38" borderId="0" xfId="0" quotePrefix="1" applyFont="1" applyFill="1" applyAlignment="1">
      <alignment horizontal="left"/>
    </xf>
    <xf numFmtId="0" fontId="69" fillId="40" borderId="0" xfId="166" quotePrefix="1" applyFont="1" applyFill="1" applyBorder="1" applyAlignment="1" applyProtection="1"/>
    <xf numFmtId="0" fontId="69" fillId="40" borderId="0" xfId="0" quotePrefix="1" applyFont="1" applyFill="1" applyAlignment="1">
      <alignment horizontal="left"/>
    </xf>
    <xf numFmtId="0" fontId="46" fillId="37" borderId="12" xfId="240" applyFont="1" applyFill="1" applyBorder="1" applyAlignment="1" applyProtection="1">
      <alignment horizontal="right" vertical="center"/>
      <protection locked="0"/>
    </xf>
    <xf numFmtId="0" fontId="48" fillId="41" borderId="0" xfId="0" applyFont="1" applyFill="1"/>
    <xf numFmtId="0" fontId="70" fillId="41" borderId="0" xfId="0" applyFont="1" applyFill="1"/>
    <xf numFmtId="0" fontId="8" fillId="37" borderId="10" xfId="244" applyFont="1" applyFill="1" applyBorder="1" applyAlignment="1" applyProtection="1">
      <alignment horizontal="right"/>
      <protection locked="0"/>
    </xf>
    <xf numFmtId="2" fontId="10" fillId="36" borderId="10" xfId="240" applyNumberFormat="1" applyFont="1" applyFill="1" applyBorder="1" applyAlignment="1">
      <alignment horizontal="center" vertical="center" wrapText="1"/>
    </xf>
    <xf numFmtId="41" fontId="10" fillId="36" borderId="10" xfId="240" applyNumberFormat="1" applyFont="1" applyFill="1" applyBorder="1" applyAlignment="1">
      <alignment horizontal="left" indent="1"/>
    </xf>
    <xf numFmtId="49" fontId="65" fillId="36" borderId="10" xfId="240" applyNumberFormat="1" applyFont="1" applyFill="1" applyBorder="1" applyAlignment="1">
      <alignment horizontal="left" vertical="center" wrapText="1"/>
    </xf>
    <xf numFmtId="10" fontId="8" fillId="0" borderId="0" xfId="226" applyNumberFormat="1"/>
    <xf numFmtId="166" fontId="35" fillId="39" borderId="10" xfId="81" applyNumberFormat="1" applyFont="1" applyFill="1" applyBorder="1" applyAlignment="1" applyProtection="1">
      <alignment horizontal="right"/>
    </xf>
    <xf numFmtId="49" fontId="65" fillId="36" borderId="10" xfId="240" applyNumberFormat="1" applyFont="1" applyFill="1" applyBorder="1"/>
    <xf numFmtId="172" fontId="35" fillId="13" borderId="10" xfId="81" applyNumberFormat="1" applyFont="1" applyFill="1" applyBorder="1" applyAlignment="1" applyProtection="1">
      <alignment horizontal="right"/>
    </xf>
    <xf numFmtId="164" fontId="35" fillId="13" borderId="10" xfId="81" applyNumberFormat="1" applyFont="1" applyFill="1" applyBorder="1" applyAlignment="1" applyProtection="1"/>
    <xf numFmtId="171" fontId="35" fillId="13" borderId="10" xfId="81" applyNumberFormat="1" applyFont="1" applyFill="1" applyBorder="1" applyAlignment="1" applyProtection="1"/>
    <xf numFmtId="0" fontId="8" fillId="0" borderId="0" xfId="226" applyAlignment="1">
      <alignment horizontal="left" vertical="center" wrapText="1"/>
    </xf>
    <xf numFmtId="49" fontId="10" fillId="36" borderId="10" xfId="240" applyNumberFormat="1" applyFont="1" applyFill="1" applyBorder="1" applyAlignment="1">
      <alignment horizontal="left" vertical="center" wrapText="1"/>
    </xf>
    <xf numFmtId="49" fontId="33" fillId="36" borderId="10" xfId="240" applyNumberFormat="1" applyFont="1" applyFill="1" applyBorder="1" applyAlignment="1">
      <alignment horizontal="left" vertical="center" wrapText="1"/>
    </xf>
    <xf numFmtId="173" fontId="35" fillId="13" borderId="25" xfId="81" applyNumberFormat="1" applyFont="1" applyFill="1" applyBorder="1" applyAlignment="1" applyProtection="1">
      <alignment horizontal="right"/>
    </xf>
    <xf numFmtId="173" fontId="35" fillId="13" borderId="26" xfId="81" applyNumberFormat="1" applyFont="1" applyFill="1" applyBorder="1" applyAlignment="1" applyProtection="1">
      <alignment horizontal="right"/>
    </xf>
    <xf numFmtId="173" fontId="35" fillId="13" borderId="27" xfId="81" applyNumberFormat="1" applyFont="1" applyFill="1" applyBorder="1" applyAlignment="1" applyProtection="1">
      <alignment horizontal="right"/>
    </xf>
    <xf numFmtId="173" fontId="35" fillId="13" borderId="10" xfId="81" applyNumberFormat="1" applyFont="1" applyFill="1" applyBorder="1" applyAlignment="1" applyProtection="1">
      <alignment horizontal="right"/>
    </xf>
    <xf numFmtId="173" fontId="35" fillId="13" borderId="28" xfId="81" applyNumberFormat="1" applyFont="1" applyFill="1" applyBorder="1" applyAlignment="1" applyProtection="1">
      <alignment horizontal="right"/>
    </xf>
    <xf numFmtId="173" fontId="35" fillId="13" borderId="29" xfId="81" applyNumberFormat="1" applyFont="1" applyFill="1" applyBorder="1" applyAlignment="1" applyProtection="1">
      <alignment horizontal="right"/>
    </xf>
    <xf numFmtId="49" fontId="10" fillId="36" borderId="29" xfId="240" applyNumberFormat="1" applyFont="1" applyFill="1" applyBorder="1" applyAlignment="1">
      <alignment horizontal="center" vertical="center" wrapText="1"/>
    </xf>
    <xf numFmtId="0" fontId="8" fillId="0" borderId="0" xfId="226" applyAlignment="1">
      <alignment horizontal="center" vertical="center"/>
    </xf>
    <xf numFmtId="49" fontId="33" fillId="36" borderId="15" xfId="240" applyNumberFormat="1" applyFont="1" applyFill="1" applyBorder="1" applyAlignment="1">
      <alignment horizontal="center" vertical="center"/>
    </xf>
    <xf numFmtId="0" fontId="6" fillId="40" borderId="0" xfId="240" applyFont="1" applyFill="1"/>
    <xf numFmtId="174" fontId="35" fillId="13" borderId="10" xfId="81" applyNumberFormat="1" applyFont="1" applyFill="1" applyBorder="1" applyAlignment="1" applyProtection="1">
      <alignment horizontal="right"/>
    </xf>
    <xf numFmtId="49" fontId="63" fillId="36" borderId="10" xfId="240" applyNumberFormat="1" applyFont="1" applyFill="1" applyBorder="1" applyAlignment="1">
      <alignment horizontal="center" vertical="center"/>
    </xf>
    <xf numFmtId="49" fontId="63" fillId="38" borderId="10" xfId="240" applyNumberFormat="1" applyFont="1" applyFill="1" applyBorder="1"/>
    <xf numFmtId="49" fontId="10" fillId="36" borderId="0" xfId="240" applyNumberFormat="1" applyFont="1" applyFill="1" applyAlignment="1">
      <alignment horizontal="left"/>
    </xf>
    <xf numFmtId="49" fontId="10" fillId="36" borderId="10" xfId="240" applyNumberFormat="1" applyFont="1" applyFill="1" applyBorder="1" applyAlignment="1">
      <alignment horizontal="left"/>
    </xf>
    <xf numFmtId="0" fontId="6" fillId="9" borderId="0" xfId="240" applyFont="1"/>
    <xf numFmtId="0" fontId="8" fillId="0" borderId="0" xfId="226"/>
    <xf numFmtId="0" fontId="8" fillId="9" borderId="0" xfId="240"/>
    <xf numFmtId="14" fontId="63" fillId="36" borderId="10" xfId="239" applyNumberFormat="1" applyFont="1" applyFill="1" applyBorder="1" applyAlignment="1">
      <alignment horizontal="right"/>
    </xf>
    <xf numFmtId="14" fontId="65" fillId="36" borderId="10" xfId="239" applyNumberFormat="1" applyFont="1" applyFill="1" applyBorder="1" applyAlignment="1">
      <alignment horizontal="right"/>
    </xf>
    <xf numFmtId="49" fontId="63" fillId="36" borderId="10" xfId="243" applyNumberFormat="1" applyFont="1" applyFill="1" applyBorder="1" applyAlignment="1">
      <alignment horizontal="left" vertical="center" wrapText="1"/>
    </xf>
    <xf numFmtId="0" fontId="71" fillId="0" borderId="0" xfId="0" applyFont="1"/>
    <xf numFmtId="0" fontId="0" fillId="0" borderId="0" xfId="0" applyAlignment="1">
      <alignment horizontal="left" vertical="center"/>
    </xf>
    <xf numFmtId="0" fontId="6" fillId="0" borderId="0" xfId="0" applyFont="1"/>
    <xf numFmtId="9" fontId="35" fillId="37" borderId="10" xfId="254" applyFont="1" applyFill="1" applyBorder="1" applyAlignment="1" applyProtection="1">
      <alignment horizontal="right"/>
      <protection locked="0"/>
    </xf>
    <xf numFmtId="10" fontId="35" fillId="37" borderId="10" xfId="254" applyNumberFormat="1" applyFont="1" applyFill="1" applyBorder="1" applyAlignment="1" applyProtection="1">
      <alignment horizontal="right"/>
      <protection locked="0"/>
    </xf>
    <xf numFmtId="49" fontId="33" fillId="36" borderId="0" xfId="240" applyNumberFormat="1" applyFont="1" applyFill="1" applyAlignment="1">
      <alignment horizontal="left" vertical="center" wrapText="1"/>
    </xf>
    <xf numFmtId="2" fontId="35" fillId="13" borderId="10" xfId="81" applyNumberFormat="1" applyFont="1" applyFill="1" applyBorder="1" applyAlignment="1" applyProtection="1">
      <alignment horizontal="right"/>
    </xf>
    <xf numFmtId="49" fontId="10" fillId="36" borderId="0" xfId="240" applyNumberFormat="1" applyFont="1" applyFill="1" applyAlignment="1">
      <alignment horizontal="left" vertical="center" wrapText="1"/>
    </xf>
    <xf numFmtId="10" fontId="8" fillId="39" borderId="10" xfId="81" applyNumberFormat="1" applyFont="1" applyFill="1" applyBorder="1" applyAlignment="1" applyProtection="1">
      <alignment horizontal="right"/>
    </xf>
    <xf numFmtId="0" fontId="32" fillId="9" borderId="0" xfId="238" applyFont="1" applyFill="1"/>
    <xf numFmtId="0" fontId="3" fillId="9" borderId="0" xfId="242"/>
    <xf numFmtId="0" fontId="4" fillId="9" borderId="0" xfId="242" applyFont="1"/>
    <xf numFmtId="166" fontId="6" fillId="9" borderId="0" xfId="242" applyNumberFormat="1" applyFont="1" applyAlignment="1">
      <alignment horizontal="left"/>
    </xf>
    <xf numFmtId="49" fontId="8" fillId="9" borderId="0" xfId="242" applyNumberFormat="1" applyFont="1"/>
    <xf numFmtId="164" fontId="8" fillId="39" borderId="10" xfId="242" applyNumberFormat="1" applyFont="1" applyFill="1" applyBorder="1" applyAlignment="1">
      <alignment horizontal="right"/>
    </xf>
    <xf numFmtId="166" fontId="6" fillId="0" borderId="0" xfId="242" applyNumberFormat="1" applyFont="1" applyFill="1" applyAlignment="1">
      <alignment horizontal="left"/>
    </xf>
    <xf numFmtId="164" fontId="8" fillId="9" borderId="0" xfId="242" applyNumberFormat="1" applyFont="1"/>
    <xf numFmtId="49" fontId="33" fillId="36" borderId="10" xfId="245" applyNumberFormat="1" applyFont="1" applyFill="1" applyBorder="1" applyAlignment="1">
      <alignment horizontal="left" vertical="center" wrapText="1"/>
    </xf>
    <xf numFmtId="0" fontId="72" fillId="0" borderId="0" xfId="0" applyFont="1" applyAlignment="1">
      <alignment vertical="center"/>
    </xf>
    <xf numFmtId="0" fontId="6" fillId="9" borderId="0" xfId="239" applyFont="1"/>
    <xf numFmtId="166" fontId="5" fillId="9" borderId="0" xfId="239" applyNumberFormat="1" applyFont="1" applyAlignment="1">
      <alignment horizontal="left"/>
    </xf>
    <xf numFmtId="164" fontId="8" fillId="9" borderId="0" xfId="239" applyNumberFormat="1" applyFont="1" applyAlignment="1">
      <alignment horizontal="center"/>
    </xf>
    <xf numFmtId="14" fontId="8" fillId="39" borderId="16" xfId="239" applyNumberFormat="1" applyFont="1" applyFill="1" applyBorder="1" applyAlignment="1">
      <alignment horizontal="center"/>
    </xf>
    <xf numFmtId="0" fontId="73" fillId="0" borderId="0" xfId="0" applyFont="1"/>
    <xf numFmtId="49" fontId="10" fillId="36" borderId="28" xfId="240" applyNumberFormat="1" applyFont="1" applyFill="1" applyBorder="1" applyAlignment="1">
      <alignment horizontal="center" vertical="center" wrapText="1"/>
    </xf>
    <xf numFmtId="2" fontId="33" fillId="36" borderId="10" xfId="240" applyNumberFormat="1" applyFont="1" applyFill="1" applyBorder="1" applyAlignment="1">
      <alignment horizontal="center" vertical="center" wrapText="1"/>
    </xf>
    <xf numFmtId="49" fontId="33" fillId="36" borderId="30" xfId="244" applyNumberFormat="1" applyFont="1" applyFill="1" applyBorder="1" applyAlignment="1">
      <alignment horizontal="center" vertical="center" wrapText="1"/>
    </xf>
    <xf numFmtId="49" fontId="33" fillId="36" borderId="0" xfId="244" applyNumberFormat="1" applyFont="1" applyFill="1" applyAlignment="1">
      <alignment horizontal="center" vertical="center" wrapText="1"/>
    </xf>
    <xf numFmtId="0" fontId="3" fillId="9" borderId="0" xfId="237"/>
    <xf numFmtId="0" fontId="60" fillId="38" borderId="0" xfId="237" applyFont="1" applyFill="1" applyAlignment="1">
      <alignment vertical="center"/>
    </xf>
    <xf numFmtId="0" fontId="3" fillId="9" borderId="0" xfId="237" applyAlignment="1">
      <alignment horizontal="left" vertical="center"/>
    </xf>
    <xf numFmtId="0" fontId="74" fillId="36" borderId="0" xfId="237" applyFont="1" applyFill="1" applyAlignment="1">
      <alignment vertical="center"/>
    </xf>
    <xf numFmtId="0" fontId="75" fillId="36" borderId="0" xfId="237" applyFont="1" applyFill="1" applyAlignment="1">
      <alignment vertical="center"/>
    </xf>
    <xf numFmtId="0" fontId="65" fillId="36" borderId="0" xfId="237" applyFont="1" applyFill="1" applyAlignment="1">
      <alignment vertical="center"/>
    </xf>
    <xf numFmtId="0" fontId="5" fillId="9" borderId="0" xfId="237" applyFont="1"/>
    <xf numFmtId="0" fontId="46" fillId="9" borderId="0" xfId="237" applyFont="1" applyAlignment="1">
      <alignment horizontal="left" vertical="center"/>
    </xf>
    <xf numFmtId="0" fontId="76" fillId="36" borderId="17" xfId="237" applyFont="1" applyFill="1" applyBorder="1" applyAlignment="1">
      <alignment vertical="center"/>
    </xf>
    <xf numFmtId="0" fontId="76" fillId="36" borderId="0" xfId="237" applyFont="1" applyFill="1" applyAlignment="1">
      <alignment vertical="center"/>
    </xf>
    <xf numFmtId="0" fontId="76" fillId="38" borderId="0" xfId="237" applyFont="1" applyFill="1" applyAlignment="1">
      <alignment vertical="center"/>
    </xf>
    <xf numFmtId="0" fontId="76" fillId="38" borderId="18" xfId="237" applyFont="1" applyFill="1" applyBorder="1" applyAlignment="1">
      <alignment vertical="center"/>
    </xf>
    <xf numFmtId="2" fontId="6" fillId="9" borderId="0" xfId="237" applyNumberFormat="1" applyFont="1" applyAlignment="1">
      <alignment horizontal="left" vertical="center"/>
    </xf>
    <xf numFmtId="0" fontId="6" fillId="9" borderId="0" xfId="237" applyFont="1" applyAlignment="1">
      <alignment horizontal="left" vertical="center"/>
    </xf>
    <xf numFmtId="0" fontId="46" fillId="9" borderId="0" xfId="237" applyFont="1" applyAlignment="1">
      <alignment horizontal="right" vertical="center"/>
    </xf>
    <xf numFmtId="0" fontId="46" fillId="9" borderId="0" xfId="237" applyFont="1"/>
    <xf numFmtId="0" fontId="47" fillId="36" borderId="0" xfId="240" applyFont="1" applyFill="1"/>
    <xf numFmtId="0" fontId="47" fillId="36" borderId="0" xfId="240" applyFont="1" applyFill="1" applyAlignment="1">
      <alignment horizontal="right" indent="1"/>
    </xf>
    <xf numFmtId="0" fontId="46" fillId="36" borderId="0" xfId="240" applyFont="1" applyFill="1"/>
    <xf numFmtId="0" fontId="76" fillId="36" borderId="17" xfId="240" applyFont="1" applyFill="1" applyBorder="1" applyAlignment="1">
      <alignment horizontal="left" indent="1"/>
    </xf>
    <xf numFmtId="0" fontId="77" fillId="9" borderId="0" xfId="237" applyFont="1"/>
    <xf numFmtId="0" fontId="4" fillId="9" borderId="0" xfId="239" applyFont="1"/>
    <xf numFmtId="164" fontId="8" fillId="9" borderId="0" xfId="239" applyNumberFormat="1" applyFont="1"/>
    <xf numFmtId="39" fontId="8" fillId="9" borderId="0" xfId="239" applyNumberFormat="1" applyFont="1"/>
    <xf numFmtId="0" fontId="8" fillId="9" borderId="0" xfId="239" applyFont="1"/>
    <xf numFmtId="0" fontId="38" fillId="35" borderId="10" xfId="239" applyFont="1" applyFill="1" applyBorder="1"/>
    <xf numFmtId="0" fontId="8" fillId="42" borderId="0" xfId="239" applyFont="1" applyFill="1"/>
    <xf numFmtId="0" fontId="6" fillId="0" borderId="0" xfId="241" applyFont="1" applyFill="1" applyAlignment="1">
      <alignment vertical="center"/>
    </xf>
    <xf numFmtId="166" fontId="5" fillId="9" borderId="0" xfId="240" applyNumberFormat="1" applyFont="1" applyAlignment="1">
      <alignment horizontal="left"/>
    </xf>
    <xf numFmtId="49" fontId="8" fillId="9" borderId="0" xfId="240" applyNumberFormat="1"/>
    <xf numFmtId="2" fontId="8" fillId="9" borderId="0" xfId="240" applyNumberFormat="1"/>
    <xf numFmtId="49" fontId="33" fillId="36" borderId="10" xfId="240" applyNumberFormat="1" applyFont="1" applyFill="1" applyBorder="1" applyAlignment="1">
      <alignment horizontal="center" vertical="center" wrapText="1"/>
    </xf>
    <xf numFmtId="166" fontId="10" fillId="36" borderId="10" xfId="240" applyNumberFormat="1" applyFont="1" applyFill="1" applyBorder="1" applyAlignment="1">
      <alignment horizontal="left"/>
    </xf>
    <xf numFmtId="0" fontId="10" fillId="36" borderId="10" xfId="240" applyFont="1" applyFill="1" applyBorder="1"/>
    <xf numFmtId="0" fontId="8" fillId="37" borderId="10" xfId="81" applyNumberFormat="1" applyFont="1" applyFill="1" applyBorder="1" applyAlignment="1" applyProtection="1">
      <alignment horizontal="right"/>
    </xf>
    <xf numFmtId="0" fontId="33" fillId="36" borderId="10" xfId="240" applyFont="1" applyFill="1" applyBorder="1"/>
    <xf numFmtId="49" fontId="33" fillId="38" borderId="10" xfId="240" applyNumberFormat="1" applyFont="1" applyFill="1" applyBorder="1"/>
    <xf numFmtId="49" fontId="8" fillId="9" borderId="0" xfId="239" applyNumberFormat="1" applyFont="1"/>
    <xf numFmtId="0" fontId="65" fillId="36" borderId="10" xfId="240" applyFont="1" applyFill="1" applyBorder="1"/>
    <xf numFmtId="164" fontId="8" fillId="39" borderId="10" xfId="81" applyNumberFormat="1" applyFont="1" applyFill="1" applyBorder="1" applyAlignment="1" applyProtection="1">
      <alignment horizontal="right"/>
    </xf>
    <xf numFmtId="0" fontId="0" fillId="9" borderId="0" xfId="240" applyFont="1"/>
    <xf numFmtId="0" fontId="38" fillId="35" borderId="10" xfId="240" applyFont="1" applyFill="1" applyBorder="1"/>
    <xf numFmtId="0" fontId="3" fillId="9" borderId="0" xfId="242" applyAlignment="1">
      <alignment horizontal="center" vertical="center"/>
    </xf>
    <xf numFmtId="0" fontId="73" fillId="9" borderId="0" xfId="239" applyFont="1"/>
    <xf numFmtId="0" fontId="8" fillId="42" borderId="0" xfId="241" applyFont="1" applyFill="1" applyAlignment="1">
      <alignment vertical="center"/>
    </xf>
    <xf numFmtId="0" fontId="3" fillId="9" borderId="0" xfId="239" applyAlignment="1">
      <alignment horizontal="left" indent="1"/>
    </xf>
    <xf numFmtId="0" fontId="8" fillId="9" borderId="0" xfId="239" applyFont="1" applyAlignment="1">
      <alignment horizontal="left" indent="1"/>
    </xf>
    <xf numFmtId="43" fontId="3" fillId="9" borderId="0" xfId="239" applyNumberFormat="1"/>
    <xf numFmtId="49" fontId="10" fillId="36" borderId="14" xfId="242" applyNumberFormat="1" applyFont="1" applyFill="1" applyBorder="1" applyAlignment="1">
      <alignment horizontal="center"/>
    </xf>
    <xf numFmtId="2" fontId="10" fillId="36" borderId="10" xfId="79" applyNumberFormat="1" applyFont="1" applyFill="1" applyBorder="1" applyAlignment="1" applyProtection="1">
      <alignment horizontal="center" wrapText="1"/>
    </xf>
    <xf numFmtId="0" fontId="0" fillId="9" borderId="0" xfId="242" applyFont="1"/>
    <xf numFmtId="166" fontId="8" fillId="13" borderId="10" xfId="244" applyNumberFormat="1" applyFont="1" applyFill="1" applyBorder="1" applyAlignment="1">
      <alignment horizontal="right"/>
    </xf>
    <xf numFmtId="0" fontId="78" fillId="37" borderId="10" xfId="0" applyFont="1" applyFill="1" applyBorder="1" applyAlignment="1" applyProtection="1">
      <alignment horizontal="right"/>
      <protection locked="0"/>
    </xf>
    <xf numFmtId="0" fontId="5" fillId="9" borderId="0" xfId="242" applyFont="1" applyAlignment="1">
      <alignment horizontal="right"/>
    </xf>
    <xf numFmtId="0" fontId="3" fillId="9" borderId="0" xfId="242" applyAlignment="1">
      <alignment horizontal="right"/>
    </xf>
    <xf numFmtId="0" fontId="8" fillId="9" borderId="0" xfId="242" applyFont="1"/>
    <xf numFmtId="0" fontId="33" fillId="38" borderId="15" xfId="242" applyFont="1" applyFill="1" applyBorder="1" applyAlignment="1">
      <alignment horizontal="left"/>
    </xf>
    <xf numFmtId="10" fontId="8" fillId="37" borderId="10" xfId="79" applyNumberFormat="1" applyFont="1" applyFill="1" applyBorder="1" applyAlignment="1" applyProtection="1">
      <alignment horizontal="right"/>
      <protection locked="0"/>
    </xf>
    <xf numFmtId="49" fontId="65" fillId="36" borderId="10" xfId="240" applyNumberFormat="1" applyFont="1" applyFill="1" applyBorder="1" applyAlignment="1">
      <alignment vertical="center" wrapText="1"/>
    </xf>
    <xf numFmtId="49" fontId="33" fillId="36" borderId="31" xfId="240" applyNumberFormat="1" applyFont="1" applyFill="1" applyBorder="1" applyAlignment="1">
      <alignment horizontal="left" vertical="center" wrapText="1"/>
    </xf>
    <xf numFmtId="0" fontId="8" fillId="0" borderId="0" xfId="226" applyAlignment="1">
      <alignment vertical="center" wrapText="1"/>
    </xf>
    <xf numFmtId="168" fontId="8" fillId="37" borderId="10" xfId="242" applyNumberFormat="1" applyFont="1" applyFill="1" applyBorder="1" applyAlignment="1" applyProtection="1">
      <alignment horizontal="left" wrapText="1"/>
      <protection locked="0"/>
    </xf>
    <xf numFmtId="0" fontId="8" fillId="37" borderId="10" xfId="242" applyFont="1" applyFill="1" applyBorder="1" applyAlignment="1" applyProtection="1">
      <alignment horizontal="left" wrapText="1"/>
      <protection locked="0"/>
    </xf>
    <xf numFmtId="49" fontId="8" fillId="37" borderId="10" xfId="79" applyNumberFormat="1" applyFont="1" applyFill="1" applyBorder="1" applyAlignment="1" applyProtection="1">
      <alignment horizontal="right"/>
      <protection locked="0"/>
    </xf>
    <xf numFmtId="49" fontId="8" fillId="36" borderId="10" xfId="240" applyNumberFormat="1" applyFill="1" applyBorder="1" applyAlignment="1">
      <alignment horizontal="left"/>
    </xf>
    <xf numFmtId="49" fontId="8" fillId="37" borderId="10" xfId="242" applyNumberFormat="1" applyFont="1" applyFill="1" applyBorder="1" applyProtection="1">
      <protection locked="0"/>
    </xf>
    <xf numFmtId="49" fontId="33" fillId="13" borderId="15" xfId="242" applyNumberFormat="1" applyFont="1" applyFill="1" applyBorder="1" applyAlignment="1">
      <alignment horizontal="right"/>
    </xf>
    <xf numFmtId="49" fontId="66" fillId="36" borderId="10" xfId="240" applyNumberFormat="1" applyFont="1" applyFill="1" applyBorder="1" applyAlignment="1">
      <alignment horizontal="left"/>
    </xf>
    <xf numFmtId="49" fontId="33" fillId="36" borderId="10" xfId="240" quotePrefix="1" applyNumberFormat="1" applyFont="1" applyFill="1" applyBorder="1" applyAlignment="1">
      <alignment horizontal="center" vertical="center" wrapText="1"/>
    </xf>
    <xf numFmtId="49" fontId="66" fillId="36" borderId="10" xfId="244" applyNumberFormat="1" applyFont="1" applyFill="1" applyBorder="1" applyAlignment="1">
      <alignment horizontal="left"/>
    </xf>
    <xf numFmtId="49" fontId="8" fillId="37" borderId="10" xfId="244" applyNumberFormat="1" applyFont="1" applyFill="1" applyBorder="1" applyAlignment="1" applyProtection="1">
      <alignment horizontal="right"/>
      <protection locked="0"/>
    </xf>
    <xf numFmtId="49" fontId="8" fillId="13" borderId="10" xfId="244" applyNumberFormat="1" applyFont="1" applyFill="1" applyBorder="1" applyAlignment="1">
      <alignment horizontal="right"/>
    </xf>
    <xf numFmtId="49" fontId="63" fillId="36" borderId="10" xfId="244" applyNumberFormat="1" applyFont="1" applyFill="1" applyBorder="1" applyAlignment="1">
      <alignment horizontal="left"/>
    </xf>
    <xf numFmtId="49" fontId="8" fillId="37" borderId="10" xfId="244" applyNumberFormat="1" applyFont="1" applyFill="1" applyBorder="1" applyAlignment="1" applyProtection="1">
      <alignment vertical="top"/>
      <protection locked="0"/>
    </xf>
    <xf numFmtId="49" fontId="8" fillId="37" borderId="10" xfId="239" applyNumberFormat="1" applyFont="1" applyFill="1" applyBorder="1" applyAlignment="1" applyProtection="1">
      <alignment horizontal="center"/>
      <protection locked="0"/>
    </xf>
    <xf numFmtId="41" fontId="10" fillId="36" borderId="15" xfId="240" applyNumberFormat="1" applyFont="1" applyFill="1" applyBorder="1" applyAlignment="1" applyProtection="1">
      <alignment horizontal="left" indent="1"/>
      <protection locked="0"/>
    </xf>
    <xf numFmtId="164" fontId="8" fillId="37" borderId="10" xfId="79" applyNumberFormat="1" applyFont="1" applyFill="1" applyBorder="1" applyAlignment="1" applyProtection="1">
      <protection locked="0"/>
    </xf>
    <xf numFmtId="175" fontId="5" fillId="13" borderId="10" xfId="81" applyNumberFormat="1" applyFont="1" applyFill="1" applyBorder="1" applyAlignment="1" applyProtection="1">
      <alignment horizontal="right"/>
    </xf>
    <xf numFmtId="0" fontId="65" fillId="36" borderId="42" xfId="0" applyFont="1" applyFill="1" applyBorder="1"/>
    <xf numFmtId="0" fontId="65" fillId="36" borderId="0" xfId="0" applyFont="1" applyFill="1" applyAlignment="1">
      <alignment horizontal="center"/>
    </xf>
    <xf numFmtId="0" fontId="65" fillId="36" borderId="0" xfId="0" applyFont="1" applyFill="1"/>
    <xf numFmtId="0" fontId="65" fillId="36" borderId="43" xfId="0" applyFont="1" applyFill="1" applyBorder="1"/>
    <xf numFmtId="14" fontId="0" fillId="0" borderId="0" xfId="0" applyNumberFormat="1"/>
    <xf numFmtId="0" fontId="5" fillId="0" borderId="0" xfId="0" applyFont="1"/>
    <xf numFmtId="0" fontId="13" fillId="0" borderId="0" xfId="166" applyAlignment="1" applyProtection="1"/>
    <xf numFmtId="0" fontId="80" fillId="0" borderId="0" xfId="0" applyFont="1" applyAlignment="1">
      <alignment vertical="center"/>
    </xf>
    <xf numFmtId="3" fontId="80" fillId="0" borderId="0" xfId="0" applyNumberFormat="1" applyFont="1" applyAlignment="1">
      <alignment vertical="center"/>
    </xf>
    <xf numFmtId="0" fontId="5" fillId="0" borderId="0" xfId="0" applyFont="1" applyAlignment="1">
      <alignment vertical="center"/>
    </xf>
    <xf numFmtId="0" fontId="51" fillId="0" borderId="0" xfId="0" applyFont="1"/>
    <xf numFmtId="0" fontId="52" fillId="0" borderId="0" xfId="0" applyFont="1" applyAlignment="1">
      <alignment horizontal="left"/>
    </xf>
    <xf numFmtId="0" fontId="52" fillId="0" borderId="0" xfId="0" applyFont="1"/>
    <xf numFmtId="0" fontId="81" fillId="0" borderId="0" xfId="0" applyFont="1"/>
    <xf numFmtId="176" fontId="81" fillId="0" borderId="0" xfId="0" applyNumberFormat="1" applyFont="1"/>
    <xf numFmtId="0" fontId="5" fillId="44" borderId="0" xfId="0" applyFont="1" applyFill="1"/>
    <xf numFmtId="3" fontId="0" fillId="0" borderId="0" xfId="0" applyNumberFormat="1"/>
    <xf numFmtId="0" fontId="0" fillId="42" borderId="0" xfId="0" applyFill="1"/>
    <xf numFmtId="14" fontId="8" fillId="37" borderId="10" xfId="242" quotePrefix="1" applyNumberFormat="1" applyFont="1" applyFill="1" applyBorder="1" applyProtection="1">
      <protection locked="0"/>
    </xf>
    <xf numFmtId="170" fontId="8" fillId="37" borderId="10" xfId="244" quotePrefix="1" applyNumberFormat="1" applyFont="1" applyFill="1" applyBorder="1" applyAlignment="1" applyProtection="1">
      <alignment horizontal="right"/>
      <protection locked="0"/>
    </xf>
    <xf numFmtId="14" fontId="8" fillId="37" borderId="10" xfId="242" quotePrefix="1" applyNumberFormat="1" applyFont="1" applyFill="1" applyBorder="1" applyAlignment="1" applyProtection="1">
      <alignment horizontal="center"/>
      <protection locked="0"/>
    </xf>
    <xf numFmtId="0" fontId="53" fillId="0" borderId="0" xfId="0" applyFont="1"/>
    <xf numFmtId="0" fontId="54" fillId="0" borderId="0" xfId="0" applyFont="1"/>
    <xf numFmtId="0" fontId="54" fillId="43" borderId="0" xfId="0" applyFont="1" applyFill="1"/>
    <xf numFmtId="176" fontId="54" fillId="0" borderId="0" xfId="0" applyNumberFormat="1" applyFont="1" applyAlignment="1">
      <alignment horizontal="left"/>
    </xf>
    <xf numFmtId="0" fontId="55" fillId="0" borderId="0" xfId="0" applyFont="1" applyAlignment="1">
      <alignment horizontal="center" vertical="top" wrapText="1"/>
    </xf>
    <xf numFmtId="177" fontId="0" fillId="0" borderId="0" xfId="0" applyNumberFormat="1" applyAlignment="1">
      <alignment horizontal="right" vertical="top"/>
    </xf>
    <xf numFmtId="0" fontId="54" fillId="0" borderId="0" xfId="0" applyFont="1" applyAlignment="1">
      <alignment horizontal="left"/>
    </xf>
    <xf numFmtId="0" fontId="84" fillId="49" borderId="49" xfId="0" applyFont="1" applyFill="1" applyBorder="1" applyAlignment="1">
      <alignment wrapText="1"/>
    </xf>
    <xf numFmtId="0" fontId="84" fillId="49" borderId="50" xfId="0" applyFont="1" applyFill="1" applyBorder="1" applyAlignment="1">
      <alignment wrapText="1"/>
    </xf>
    <xf numFmtId="0" fontId="84" fillId="50" borderId="50" xfId="0" applyFont="1" applyFill="1" applyBorder="1" applyAlignment="1">
      <alignment wrapText="1"/>
    </xf>
    <xf numFmtId="0" fontId="84" fillId="49" borderId="51" xfId="0" applyFont="1" applyFill="1" applyBorder="1" applyAlignment="1">
      <alignment wrapText="1"/>
    </xf>
    <xf numFmtId="0" fontId="0" fillId="0" borderId="52" xfId="0" applyBorder="1"/>
    <xf numFmtId="177" fontId="0" fillId="0" borderId="53" xfId="0" applyNumberFormat="1" applyBorder="1"/>
    <xf numFmtId="0" fontId="0" fillId="0" borderId="54" xfId="0" applyBorder="1"/>
    <xf numFmtId="0" fontId="0" fillId="0" borderId="55" xfId="0" applyBorder="1"/>
    <xf numFmtId="177" fontId="0" fillId="0" borderId="56" xfId="0" applyNumberFormat="1" applyBorder="1"/>
    <xf numFmtId="0" fontId="55" fillId="0" borderId="49" xfId="0" applyFont="1" applyBorder="1" applyAlignment="1">
      <alignment horizontal="center" vertical="top" wrapText="1"/>
    </xf>
    <xf numFmtId="0" fontId="55" fillId="0" borderId="50" xfId="0" applyFont="1" applyBorder="1" applyAlignment="1">
      <alignment horizontal="center" vertical="top" wrapText="1"/>
    </xf>
    <xf numFmtId="0" fontId="55" fillId="0" borderId="51" xfId="0" applyFont="1" applyBorder="1" applyAlignment="1">
      <alignment horizontal="center" vertical="top" wrapText="1"/>
    </xf>
    <xf numFmtId="0" fontId="55" fillId="0" borderId="52" xfId="0" applyFont="1" applyBorder="1" applyAlignment="1">
      <alignment horizontal="center" vertical="top" wrapText="1"/>
    </xf>
    <xf numFmtId="0" fontId="55" fillId="0" borderId="53" xfId="0" applyFont="1" applyBorder="1" applyAlignment="1">
      <alignment horizontal="center" vertical="top" wrapText="1"/>
    </xf>
    <xf numFmtId="0" fontId="0" fillId="0" borderId="52" xfId="0" applyBorder="1" applyAlignment="1">
      <alignment vertical="top" wrapText="1"/>
    </xf>
    <xf numFmtId="0" fontId="0" fillId="0" borderId="0" xfId="0" applyAlignment="1">
      <alignment vertical="top" wrapText="1"/>
    </xf>
    <xf numFmtId="177" fontId="0" fillId="0" borderId="53" xfId="0" applyNumberFormat="1" applyBorder="1" applyAlignment="1">
      <alignment horizontal="right" vertical="top"/>
    </xf>
    <xf numFmtId="0" fontId="0" fillId="0" borderId="54" xfId="0" applyBorder="1" applyAlignment="1">
      <alignment vertical="top" wrapText="1"/>
    </xf>
    <xf numFmtId="177" fontId="0" fillId="0" borderId="55" xfId="0" applyNumberFormat="1" applyBorder="1" applyAlignment="1">
      <alignment horizontal="right" vertical="top"/>
    </xf>
    <xf numFmtId="177" fontId="0" fillId="0" borderId="56" xfId="0" applyNumberFormat="1" applyBorder="1" applyAlignment="1">
      <alignment horizontal="right" vertical="top"/>
    </xf>
    <xf numFmtId="177" fontId="0" fillId="0" borderId="0" xfId="0" applyNumberFormat="1"/>
    <xf numFmtId="0" fontId="82" fillId="0" borderId="0" xfId="0" applyFont="1" applyAlignment="1">
      <alignment vertical="center"/>
    </xf>
    <xf numFmtId="0" fontId="83" fillId="45" borderId="46" xfId="0" applyFont="1" applyFill="1" applyBorder="1" applyAlignment="1">
      <alignment vertical="center"/>
    </xf>
    <xf numFmtId="0" fontId="84" fillId="46" borderId="47" xfId="0" applyFont="1" applyFill="1" applyBorder="1" applyAlignment="1">
      <alignment vertical="center"/>
    </xf>
    <xf numFmtId="0" fontId="85" fillId="47" borderId="48" xfId="0" applyFont="1" applyFill="1" applyBorder="1" applyAlignment="1">
      <alignment vertical="center"/>
    </xf>
    <xf numFmtId="3" fontId="85" fillId="47" borderId="48" xfId="0" applyNumberFormat="1" applyFont="1" applyFill="1" applyBorder="1" applyAlignment="1">
      <alignment vertical="center"/>
    </xf>
    <xf numFmtId="0" fontId="85" fillId="0" borderId="0" xfId="0" applyFont="1" applyAlignment="1">
      <alignment vertical="center"/>
    </xf>
    <xf numFmtId="3" fontId="85" fillId="0" borderId="0" xfId="0" applyNumberFormat="1" applyFont="1" applyAlignment="1">
      <alignment vertical="center"/>
    </xf>
    <xf numFmtId="3" fontId="8" fillId="0" borderId="44" xfId="0" applyNumberFormat="1" applyFont="1" applyBorder="1" applyAlignment="1">
      <alignment vertical="center"/>
    </xf>
    <xf numFmtId="3" fontId="8" fillId="0" borderId="0" xfId="0" applyNumberFormat="1" applyFont="1" applyAlignment="1">
      <alignment vertical="center"/>
    </xf>
    <xf numFmtId="3" fontId="5" fillId="0" borderId="45" xfId="0" applyNumberFormat="1" applyFont="1" applyBorder="1" applyAlignment="1">
      <alignment vertical="center"/>
    </xf>
    <xf numFmtId="3" fontId="80" fillId="43" borderId="0" xfId="0" applyNumberFormat="1" applyFont="1" applyFill="1" applyAlignment="1">
      <alignment vertical="center"/>
    </xf>
    <xf numFmtId="164" fontId="0" fillId="0" borderId="0" xfId="0" applyNumberFormat="1"/>
    <xf numFmtId="0" fontId="0" fillId="48" borderId="0" xfId="0" applyFill="1"/>
    <xf numFmtId="3" fontId="5" fillId="0" borderId="0" xfId="0" applyNumberFormat="1" applyFont="1" applyAlignment="1">
      <alignment vertical="center"/>
    </xf>
    <xf numFmtId="3" fontId="85" fillId="47" borderId="48" xfId="0" applyNumberFormat="1" applyFont="1" applyFill="1" applyBorder="1"/>
    <xf numFmtId="3" fontId="85" fillId="51" borderId="48" xfId="0" applyNumberFormat="1" applyFont="1" applyFill="1" applyBorder="1"/>
    <xf numFmtId="0" fontId="8" fillId="51" borderId="0" xfId="0" applyFont="1" applyFill="1" applyAlignment="1">
      <alignment vertical="center"/>
    </xf>
    <xf numFmtId="0" fontId="85" fillId="51" borderId="48" xfId="0" applyFont="1" applyFill="1" applyBorder="1" applyAlignment="1">
      <alignment vertical="center"/>
    </xf>
    <xf numFmtId="3" fontId="8" fillId="51" borderId="44" xfId="0" applyNumberFormat="1" applyFont="1" applyFill="1" applyBorder="1" applyAlignment="1">
      <alignment vertical="center"/>
    </xf>
    <xf numFmtId="0" fontId="0" fillId="51" borderId="0" xfId="0" applyFill="1" applyAlignment="1">
      <alignment vertical="center"/>
    </xf>
    <xf numFmtId="3" fontId="8" fillId="51" borderId="0" xfId="0" applyNumberFormat="1" applyFont="1" applyFill="1" applyAlignment="1">
      <alignment vertical="center"/>
    </xf>
    <xf numFmtId="0" fontId="8" fillId="42" borderId="0" xfId="0" applyFont="1" applyFill="1"/>
    <xf numFmtId="168" fontId="3" fillId="37" borderId="10" xfId="242" applyNumberFormat="1" applyFill="1" applyBorder="1" applyAlignment="1" applyProtection="1">
      <alignment horizontal="center" vertical="center" wrapText="1"/>
      <protection locked="0"/>
    </xf>
    <xf numFmtId="0" fontId="3" fillId="37" borderId="10" xfId="81" applyNumberFormat="1" applyFont="1" applyFill="1" applyBorder="1" applyAlignment="1" applyProtection="1">
      <alignment horizontal="center"/>
    </xf>
    <xf numFmtId="0" fontId="3" fillId="37" borderId="10" xfId="81" applyNumberFormat="1" applyFont="1" applyFill="1" applyBorder="1" applyAlignment="1" applyProtection="1">
      <alignment horizontal="right"/>
    </xf>
    <xf numFmtId="49" fontId="3" fillId="37" borderId="10" xfId="239" quotePrefix="1" applyNumberFormat="1" applyFill="1" applyBorder="1" applyAlignment="1" applyProtection="1">
      <alignment horizontal="center" vertical="center" wrapText="1"/>
      <protection locked="0"/>
    </xf>
    <xf numFmtId="49" fontId="3" fillId="37" borderId="10" xfId="79" applyNumberFormat="1" applyFont="1" applyFill="1" applyBorder="1" applyAlignment="1" applyProtection="1">
      <alignment horizontal="center"/>
      <protection locked="0"/>
    </xf>
    <xf numFmtId="49" fontId="8" fillId="37" borderId="10" xfId="81" applyNumberFormat="1" applyFont="1" applyFill="1" applyBorder="1" applyAlignment="1" applyProtection="1">
      <alignment horizontal="center"/>
      <protection locked="0"/>
    </xf>
    <xf numFmtId="49" fontId="8" fillId="36" borderId="10" xfId="240" applyNumberFormat="1" applyFill="1" applyBorder="1" applyAlignment="1">
      <alignment horizontal="center"/>
    </xf>
    <xf numFmtId="49" fontId="10" fillId="36" borderId="10" xfId="240" applyNumberFormat="1" applyFont="1" applyFill="1" applyBorder="1" applyAlignment="1">
      <alignment horizontal="center"/>
    </xf>
    <xf numFmtId="49" fontId="8" fillId="37" borderId="10" xfId="242" applyNumberFormat="1" applyFont="1" applyFill="1" applyBorder="1" applyAlignment="1" applyProtection="1">
      <alignment horizontal="center"/>
      <protection locked="0"/>
    </xf>
    <xf numFmtId="49" fontId="8" fillId="37" borderId="10" xfId="79" applyNumberFormat="1" applyFont="1" applyFill="1" applyBorder="1" applyAlignment="1" applyProtection="1">
      <alignment horizontal="center"/>
      <protection locked="0"/>
    </xf>
    <xf numFmtId="166" fontId="3" fillId="37" borderId="16" xfId="239" applyNumberFormat="1" applyFill="1" applyBorder="1" applyProtection="1">
      <protection locked="0"/>
    </xf>
    <xf numFmtId="170" fontId="8" fillId="37" borderId="16" xfId="239" applyNumberFormat="1" applyFont="1" applyFill="1" applyBorder="1" applyAlignment="1" applyProtection="1">
      <alignment horizontal="center"/>
      <protection locked="0"/>
    </xf>
    <xf numFmtId="166" fontId="8" fillId="37" borderId="10" xfId="244" applyNumberFormat="1" applyFont="1" applyFill="1" applyBorder="1" applyAlignment="1" applyProtection="1">
      <alignment horizontal="center"/>
      <protection locked="0"/>
    </xf>
    <xf numFmtId="49" fontId="3" fillId="37" borderId="10" xfId="244" applyNumberFormat="1" applyFill="1" applyBorder="1" applyAlignment="1" applyProtection="1">
      <alignment horizontal="center"/>
      <protection locked="0"/>
    </xf>
    <xf numFmtId="0" fontId="3" fillId="37" borderId="10" xfId="242" applyFill="1" applyBorder="1" applyProtection="1">
      <protection locked="0"/>
    </xf>
    <xf numFmtId="49" fontId="3" fillId="37" borderId="10" xfId="242" applyNumberFormat="1" applyFill="1" applyBorder="1" applyAlignment="1" applyProtection="1">
      <alignment horizontal="center"/>
      <protection locked="0"/>
    </xf>
    <xf numFmtId="49" fontId="3" fillId="37" borderId="10" xfId="244" applyNumberFormat="1" applyFill="1" applyBorder="1" applyAlignment="1" applyProtection="1">
      <alignment horizontal="center" vertical="top"/>
      <protection locked="0"/>
    </xf>
    <xf numFmtId="0" fontId="3" fillId="37" borderId="10" xfId="242" applyFill="1" applyBorder="1" applyAlignment="1" applyProtection="1">
      <alignment horizontal="left" wrapText="1"/>
      <protection locked="0"/>
    </xf>
    <xf numFmtId="0" fontId="8" fillId="37" borderId="10" xfId="244" applyFont="1" applyFill="1" applyBorder="1" applyAlignment="1" applyProtection="1">
      <alignment horizontal="center"/>
      <protection locked="0"/>
    </xf>
    <xf numFmtId="0" fontId="47" fillId="36" borderId="0" xfId="240" applyFont="1" applyFill="1" applyAlignment="1">
      <alignment horizontal="right" indent="1"/>
    </xf>
    <xf numFmtId="0" fontId="47" fillId="36" borderId="31" xfId="240" applyFont="1" applyFill="1" applyBorder="1" applyAlignment="1">
      <alignment horizontal="right" indent="1"/>
    </xf>
    <xf numFmtId="0" fontId="86" fillId="36" borderId="19" xfId="240" applyFont="1" applyFill="1" applyBorder="1" applyAlignment="1">
      <alignment horizontal="center"/>
    </xf>
    <xf numFmtId="0" fontId="86" fillId="36" borderId="20" xfId="240" applyFont="1" applyFill="1" applyBorder="1" applyAlignment="1">
      <alignment horizontal="center"/>
    </xf>
    <xf numFmtId="0" fontId="86" fillId="36" borderId="21" xfId="240" applyFont="1" applyFill="1" applyBorder="1" applyAlignment="1">
      <alignment horizontal="center"/>
    </xf>
    <xf numFmtId="14" fontId="6" fillId="37" borderId="32" xfId="237" applyNumberFormat="1" applyFont="1" applyFill="1" applyBorder="1" applyAlignment="1" applyProtection="1">
      <alignment horizontal="right" vertical="center"/>
      <protection locked="0"/>
    </xf>
    <xf numFmtId="14" fontId="46" fillId="37" borderId="32" xfId="236" applyNumberFormat="1" applyFont="1" applyFill="1" applyBorder="1" applyAlignment="1" applyProtection="1">
      <alignment horizontal="right" vertical="center"/>
      <protection locked="0"/>
    </xf>
    <xf numFmtId="14" fontId="46" fillId="37" borderId="16" xfId="236" applyNumberFormat="1" applyFont="1" applyFill="1" applyBorder="1" applyAlignment="1" applyProtection="1">
      <alignment horizontal="right" vertical="center"/>
      <protection locked="0"/>
    </xf>
    <xf numFmtId="49" fontId="6" fillId="37" borderId="32" xfId="237" applyNumberFormat="1" applyFont="1" applyFill="1" applyBorder="1" applyAlignment="1" applyProtection="1">
      <alignment horizontal="right" vertical="center"/>
      <protection locked="0"/>
    </xf>
    <xf numFmtId="49" fontId="46" fillId="37" borderId="32" xfId="236" applyNumberFormat="1" applyFont="1" applyFill="1" applyBorder="1" applyAlignment="1" applyProtection="1">
      <alignment horizontal="right" vertical="center"/>
      <protection locked="0"/>
    </xf>
    <xf numFmtId="49" fontId="46" fillId="37" borderId="16" xfId="236" applyNumberFormat="1" applyFont="1" applyFill="1" applyBorder="1" applyAlignment="1" applyProtection="1">
      <alignment horizontal="right" vertical="center"/>
      <protection locked="0"/>
    </xf>
    <xf numFmtId="0" fontId="76" fillId="36" borderId="30" xfId="237" applyFont="1" applyFill="1" applyBorder="1" applyAlignment="1">
      <alignment horizontal="left" vertical="center" wrapText="1"/>
    </xf>
    <xf numFmtId="0" fontId="76" fillId="36" borderId="0" xfId="237" applyFont="1" applyFill="1" applyAlignment="1">
      <alignment horizontal="left" vertical="center" wrapText="1"/>
    </xf>
    <xf numFmtId="0" fontId="76" fillId="36" borderId="15" xfId="237" applyFont="1" applyFill="1" applyBorder="1" applyAlignment="1">
      <alignment horizontal="left" vertical="center"/>
    </xf>
    <xf numFmtId="0" fontId="76" fillId="36" borderId="32" xfId="237" applyFont="1" applyFill="1" applyBorder="1" applyAlignment="1">
      <alignment horizontal="left" vertical="center"/>
    </xf>
    <xf numFmtId="0" fontId="76" fillId="36" borderId="0" xfId="237" applyFont="1" applyFill="1" applyAlignment="1">
      <alignment horizontal="left" vertical="center"/>
    </xf>
    <xf numFmtId="0" fontId="46" fillId="37" borderId="15" xfId="240" applyFont="1" applyFill="1" applyBorder="1" applyAlignment="1" applyProtection="1">
      <alignment horizontal="right" vertical="center"/>
      <protection locked="0"/>
    </xf>
    <xf numFmtId="0" fontId="46" fillId="37" borderId="32" xfId="240" applyFont="1" applyFill="1" applyBorder="1" applyAlignment="1" applyProtection="1">
      <alignment horizontal="right" vertical="center"/>
      <protection locked="0"/>
    </xf>
    <xf numFmtId="0" fontId="46" fillId="37" borderId="16" xfId="240" applyFont="1" applyFill="1" applyBorder="1" applyAlignment="1" applyProtection="1">
      <alignment horizontal="right" vertical="center"/>
      <protection locked="0"/>
    </xf>
    <xf numFmtId="0" fontId="86" fillId="36" borderId="22" xfId="240" applyFont="1" applyFill="1" applyBorder="1" applyAlignment="1">
      <alignment horizontal="center"/>
    </xf>
    <xf numFmtId="0" fontId="86" fillId="36" borderId="23" xfId="240" applyFont="1" applyFill="1" applyBorder="1" applyAlignment="1">
      <alignment horizontal="center"/>
    </xf>
    <xf numFmtId="0" fontId="86" fillId="36" borderId="24" xfId="240" applyFont="1" applyFill="1" applyBorder="1" applyAlignment="1">
      <alignment horizontal="center"/>
    </xf>
    <xf numFmtId="0" fontId="76" fillId="36" borderId="17" xfId="240" applyFont="1" applyFill="1" applyBorder="1" applyAlignment="1">
      <alignment horizontal="left" vertical="top"/>
    </xf>
    <xf numFmtId="0" fontId="76" fillId="36" borderId="22" xfId="240" applyFont="1" applyFill="1" applyBorder="1" applyAlignment="1">
      <alignment horizontal="left" vertical="top"/>
    </xf>
    <xf numFmtId="0" fontId="86" fillId="36" borderId="23" xfId="240" applyFont="1" applyFill="1" applyBorder="1" applyAlignment="1">
      <alignment horizontal="center" vertical="center"/>
    </xf>
    <xf numFmtId="0" fontId="86" fillId="36" borderId="24" xfId="240" applyFont="1" applyFill="1" applyBorder="1" applyAlignment="1">
      <alignment horizontal="center" vertical="center"/>
    </xf>
    <xf numFmtId="0" fontId="47" fillId="36" borderId="18" xfId="240" applyFont="1" applyFill="1" applyBorder="1" applyAlignment="1">
      <alignment horizontal="center"/>
    </xf>
    <xf numFmtId="0" fontId="47" fillId="36" borderId="0" xfId="240" applyFont="1" applyFill="1" applyAlignment="1">
      <alignment horizontal="center"/>
    </xf>
    <xf numFmtId="0" fontId="46" fillId="37" borderId="10" xfId="240" applyFont="1" applyFill="1" applyBorder="1" applyAlignment="1" applyProtection="1">
      <alignment horizontal="right" vertical="center"/>
      <protection locked="0"/>
    </xf>
    <xf numFmtId="0" fontId="46" fillId="36" borderId="30" xfId="240" applyFont="1" applyFill="1" applyBorder="1" applyAlignment="1">
      <alignment horizontal="center"/>
    </xf>
    <xf numFmtId="0" fontId="46" fillId="36" borderId="18" xfId="240" applyFont="1" applyFill="1" applyBorder="1" applyAlignment="1">
      <alignment horizontal="center"/>
    </xf>
    <xf numFmtId="0" fontId="46" fillId="9" borderId="32" xfId="240" applyFont="1" applyBorder="1" applyAlignment="1" applyProtection="1">
      <alignment horizontal="right" vertical="center"/>
      <protection locked="0"/>
    </xf>
    <xf numFmtId="0" fontId="46" fillId="9" borderId="16" xfId="240" applyFont="1" applyBorder="1" applyAlignment="1" applyProtection="1">
      <alignment horizontal="right" vertical="center"/>
      <protection locked="0"/>
    </xf>
    <xf numFmtId="0" fontId="46" fillId="37" borderId="15" xfId="240" quotePrefix="1" applyFont="1" applyFill="1" applyBorder="1" applyAlignment="1" applyProtection="1">
      <alignment horizontal="right" vertical="center"/>
      <protection locked="0"/>
    </xf>
    <xf numFmtId="0" fontId="76" fillId="36" borderId="16" xfId="237" applyFont="1" applyFill="1" applyBorder="1" applyAlignment="1">
      <alignment horizontal="left" vertical="center"/>
    </xf>
    <xf numFmtId="0" fontId="6" fillId="9" borderId="19" xfId="237" applyFont="1" applyBorder="1" applyAlignment="1">
      <alignment horizontal="left" vertical="center"/>
    </xf>
    <xf numFmtId="0" fontId="46" fillId="9" borderId="20" xfId="237" applyFont="1" applyBorder="1" applyAlignment="1">
      <alignment horizontal="left" vertical="center"/>
    </xf>
    <xf numFmtId="0" fontId="46" fillId="9" borderId="21" xfId="237" applyFont="1" applyBorder="1" applyAlignment="1">
      <alignment horizontal="left" vertical="center"/>
    </xf>
    <xf numFmtId="164" fontId="6" fillId="13" borderId="22" xfId="53" applyFont="1" applyBorder="1" applyAlignment="1">
      <alignment horizontal="left" vertical="center"/>
    </xf>
    <xf numFmtId="0" fontId="46" fillId="9" borderId="23" xfId="237" applyFont="1" applyBorder="1" applyAlignment="1">
      <alignment horizontal="left" vertical="center"/>
    </xf>
    <xf numFmtId="0" fontId="46" fillId="9" borderId="24" xfId="237" applyFont="1" applyBorder="1" applyAlignment="1">
      <alignment horizontal="left" vertical="center"/>
    </xf>
    <xf numFmtId="164" fontId="6" fillId="37" borderId="17" xfId="169" applyFont="1" applyFill="1" applyBorder="1" applyAlignment="1" applyProtection="1">
      <alignment horizontal="left" vertical="center"/>
    </xf>
    <xf numFmtId="0" fontId="46" fillId="37" borderId="0" xfId="237" applyFont="1" applyFill="1" applyAlignment="1">
      <alignment horizontal="left" vertical="center"/>
    </xf>
    <xf numFmtId="0" fontId="46" fillId="37" borderId="18" xfId="237" applyFont="1" applyFill="1" applyBorder="1" applyAlignment="1">
      <alignment horizontal="left" vertical="center"/>
    </xf>
    <xf numFmtId="0" fontId="46" fillId="0" borderId="0" xfId="237" applyFont="1" applyFill="1" applyAlignment="1">
      <alignment horizontal="left" vertical="center"/>
    </xf>
    <xf numFmtId="0" fontId="46" fillId="9" borderId="0" xfId="237" applyFont="1" applyAlignment="1">
      <alignment horizontal="left" vertical="center"/>
    </xf>
    <xf numFmtId="0" fontId="6" fillId="0" borderId="0" xfId="237" applyFont="1" applyFill="1" applyAlignment="1">
      <alignment horizontal="right" vertical="center"/>
    </xf>
    <xf numFmtId="0" fontId="46" fillId="0" borderId="0" xfId="236" applyFont="1" applyFill="1" applyAlignment="1">
      <alignment horizontal="right" vertical="center"/>
    </xf>
    <xf numFmtId="0" fontId="6" fillId="37" borderId="32" xfId="237" applyFont="1" applyFill="1" applyBorder="1" applyAlignment="1" applyProtection="1">
      <alignment horizontal="right" vertical="center" wrapText="1"/>
      <protection locked="0"/>
    </xf>
    <xf numFmtId="0" fontId="46" fillId="37" borderId="32" xfId="236" applyFont="1" applyFill="1" applyBorder="1" applyAlignment="1" applyProtection="1">
      <alignment horizontal="right" vertical="center" wrapText="1"/>
      <protection locked="0"/>
    </xf>
    <xf numFmtId="0" fontId="46" fillId="37" borderId="16" xfId="236" applyFont="1" applyFill="1" applyBorder="1" applyAlignment="1" applyProtection="1">
      <alignment horizontal="right" vertical="center" wrapText="1"/>
      <protection locked="0"/>
    </xf>
    <xf numFmtId="0" fontId="6" fillId="37" borderId="10" xfId="237" applyFont="1" applyFill="1" applyBorder="1" applyAlignment="1" applyProtection="1">
      <alignment horizontal="right" vertical="center" wrapText="1"/>
      <protection locked="0"/>
    </xf>
    <xf numFmtId="0" fontId="46" fillId="37" borderId="10" xfId="237" applyFont="1" applyFill="1" applyBorder="1" applyAlignment="1" applyProtection="1">
      <alignment horizontal="right" vertical="center" wrapText="1"/>
      <protection locked="0"/>
    </xf>
    <xf numFmtId="0" fontId="6" fillId="37" borderId="10" xfId="237" applyFont="1" applyFill="1" applyBorder="1" applyAlignment="1" applyProtection="1">
      <alignment horizontal="right" vertical="center"/>
      <protection locked="0"/>
    </xf>
    <xf numFmtId="0" fontId="46" fillId="37" borderId="10" xfId="237" applyFont="1" applyFill="1" applyBorder="1" applyAlignment="1" applyProtection="1">
      <alignment horizontal="right" vertical="center"/>
      <protection locked="0"/>
    </xf>
    <xf numFmtId="0" fontId="6" fillId="37" borderId="32" xfId="237" applyFont="1" applyFill="1" applyBorder="1" applyAlignment="1" applyProtection="1">
      <alignment horizontal="right" vertical="center"/>
      <protection locked="0"/>
    </xf>
    <xf numFmtId="0" fontId="46" fillId="37" borderId="32" xfId="236" applyFont="1" applyFill="1" applyBorder="1" applyAlignment="1" applyProtection="1">
      <alignment horizontal="right" vertical="center"/>
      <protection locked="0"/>
    </xf>
    <xf numFmtId="0" fontId="46" fillId="37" borderId="16" xfId="236" applyFont="1" applyFill="1" applyBorder="1" applyAlignment="1" applyProtection="1">
      <alignment horizontal="right" vertical="center"/>
      <protection locked="0"/>
    </xf>
    <xf numFmtId="0" fontId="87" fillId="40" borderId="0" xfId="0" applyFont="1" applyFill="1" applyAlignment="1">
      <alignment horizontal="center"/>
    </xf>
    <xf numFmtId="49" fontId="33" fillId="36" borderId="15" xfId="240" applyNumberFormat="1" applyFont="1" applyFill="1" applyBorder="1" applyAlignment="1">
      <alignment horizontal="center" vertical="center"/>
    </xf>
    <xf numFmtId="49" fontId="33" fillId="36" borderId="16" xfId="240" applyNumberFormat="1" applyFont="1" applyFill="1" applyBorder="1" applyAlignment="1">
      <alignment horizontal="center" vertical="center"/>
    </xf>
    <xf numFmtId="49" fontId="33" fillId="36" borderId="34" xfId="240" applyNumberFormat="1" applyFont="1" applyFill="1" applyBorder="1" applyAlignment="1">
      <alignment horizontal="center" vertical="center"/>
    </xf>
    <xf numFmtId="49" fontId="33" fillId="36" borderId="11" xfId="240" applyNumberFormat="1" applyFont="1" applyFill="1" applyBorder="1" applyAlignment="1">
      <alignment horizontal="center" vertical="center"/>
    </xf>
    <xf numFmtId="2" fontId="33" fillId="36" borderId="11" xfId="239" applyNumberFormat="1" applyFont="1" applyFill="1" applyBorder="1" applyAlignment="1">
      <alignment horizontal="center" vertical="center" wrapText="1"/>
    </xf>
    <xf numFmtId="2" fontId="33" fillId="36" borderId="13" xfId="239" applyNumberFormat="1" applyFont="1" applyFill="1" applyBorder="1" applyAlignment="1">
      <alignment horizontal="center" vertical="center" wrapText="1"/>
    </xf>
    <xf numFmtId="2" fontId="33" fillId="36" borderId="15" xfId="239" applyNumberFormat="1" applyFont="1" applyFill="1" applyBorder="1" applyAlignment="1">
      <alignment horizontal="center" vertical="center" wrapText="1"/>
    </xf>
    <xf numFmtId="2" fontId="33" fillId="36" borderId="32" xfId="239" applyNumberFormat="1" applyFont="1" applyFill="1" applyBorder="1" applyAlignment="1">
      <alignment horizontal="center" vertical="center" wrapText="1"/>
    </xf>
    <xf numFmtId="2" fontId="33" fillId="36" borderId="15" xfId="240" applyNumberFormat="1" applyFont="1" applyFill="1" applyBorder="1" applyAlignment="1">
      <alignment horizontal="center" vertical="center" wrapText="1"/>
    </xf>
    <xf numFmtId="2" fontId="33" fillId="36" borderId="32" xfId="240" applyNumberFormat="1" applyFont="1" applyFill="1" applyBorder="1" applyAlignment="1">
      <alignment horizontal="center" vertical="center" wrapText="1"/>
    </xf>
    <xf numFmtId="2" fontId="33" fillId="36" borderId="16" xfId="240" applyNumberFormat="1" applyFont="1" applyFill="1" applyBorder="1" applyAlignment="1">
      <alignment horizontal="center" vertical="center" wrapText="1"/>
    </xf>
    <xf numFmtId="167" fontId="33" fillId="36" borderId="15" xfId="239" quotePrefix="1" applyNumberFormat="1" applyFont="1" applyFill="1" applyBorder="1" applyAlignment="1">
      <alignment horizontal="left" vertical="center" wrapText="1"/>
    </xf>
    <xf numFmtId="167" fontId="33" fillId="36" borderId="16" xfId="239" quotePrefix="1" applyNumberFormat="1" applyFont="1" applyFill="1" applyBorder="1" applyAlignment="1">
      <alignment horizontal="left" vertical="center" wrapText="1"/>
    </xf>
    <xf numFmtId="0" fontId="6" fillId="40" borderId="0" xfId="0" applyFont="1" applyFill="1" applyAlignment="1">
      <alignment horizontal="left" vertical="top" wrapText="1"/>
    </xf>
    <xf numFmtId="49" fontId="10" fillId="36" borderId="15" xfId="239" applyNumberFormat="1" applyFont="1" applyFill="1" applyBorder="1" applyAlignment="1">
      <alignment horizontal="left" wrapText="1"/>
    </xf>
    <xf numFmtId="49" fontId="10" fillId="36" borderId="16" xfId="239" applyNumberFormat="1" applyFont="1" applyFill="1" applyBorder="1" applyAlignment="1">
      <alignment horizontal="left" wrapText="1"/>
    </xf>
    <xf numFmtId="0" fontId="6" fillId="0" borderId="0" xfId="241" applyFont="1" applyFill="1" applyAlignment="1">
      <alignment horizontal="left" vertical="center"/>
    </xf>
    <xf numFmtId="0" fontId="60" fillId="32" borderId="0" xfId="157" applyAlignment="1">
      <alignment horizontal="left" vertical="top" wrapText="1"/>
    </xf>
    <xf numFmtId="2" fontId="33" fillId="36" borderId="10" xfId="240" applyNumberFormat="1" applyFont="1" applyFill="1" applyBorder="1" applyAlignment="1">
      <alignment horizontal="center" vertical="center" wrapText="1"/>
    </xf>
    <xf numFmtId="0" fontId="6" fillId="40" borderId="0" xfId="0" applyFont="1" applyFill="1" applyAlignment="1">
      <alignment horizontal="left" vertical="center" wrapText="1"/>
    </xf>
    <xf numFmtId="0" fontId="33" fillId="38" borderId="32" xfId="242" applyFont="1" applyFill="1" applyBorder="1" applyAlignment="1">
      <alignment horizontal="left"/>
    </xf>
    <xf numFmtId="0" fontId="33" fillId="38" borderId="16" xfId="242" applyFont="1" applyFill="1" applyBorder="1" applyAlignment="1">
      <alignment horizontal="left"/>
    </xf>
    <xf numFmtId="49" fontId="33" fillId="36" borderId="30" xfId="244" applyNumberFormat="1" applyFont="1" applyFill="1" applyBorder="1" applyAlignment="1">
      <alignment horizontal="center" vertical="center" wrapText="1"/>
    </xf>
    <xf numFmtId="49" fontId="33" fillId="36" borderId="0" xfId="244" applyNumberFormat="1" applyFont="1" applyFill="1" applyAlignment="1">
      <alignment horizontal="center" vertical="center" wrapText="1"/>
    </xf>
    <xf numFmtId="49" fontId="33" fillId="36" borderId="15" xfId="244" applyNumberFormat="1" applyFont="1" applyFill="1" applyBorder="1" applyAlignment="1">
      <alignment horizontal="center" vertical="center" wrapText="1"/>
    </xf>
    <xf numFmtId="49" fontId="33" fillId="36" borderId="16" xfId="244" applyNumberFormat="1" applyFont="1" applyFill="1" applyBorder="1" applyAlignment="1">
      <alignment horizontal="center" vertical="center" wrapText="1"/>
    </xf>
    <xf numFmtId="49" fontId="63" fillId="38" borderId="34" xfId="239" applyNumberFormat="1" applyFont="1" applyFill="1" applyBorder="1" applyAlignment="1">
      <alignment horizontal="left"/>
    </xf>
    <xf numFmtId="49" fontId="63" fillId="38" borderId="33" xfId="239" applyNumberFormat="1" applyFont="1" applyFill="1" applyBorder="1" applyAlignment="1">
      <alignment horizontal="left"/>
    </xf>
    <xf numFmtId="168" fontId="63" fillId="38" borderId="15" xfId="242" applyNumberFormat="1" applyFont="1" applyFill="1" applyBorder="1" applyAlignment="1">
      <alignment horizontal="left"/>
    </xf>
    <xf numFmtId="168" fontId="63" fillId="38" borderId="32" xfId="242" applyNumberFormat="1" applyFont="1" applyFill="1" applyBorder="1" applyAlignment="1">
      <alignment horizontal="left"/>
    </xf>
    <xf numFmtId="168" fontId="63" fillId="38" borderId="16" xfId="242" applyNumberFormat="1" applyFont="1" applyFill="1" applyBorder="1" applyAlignment="1">
      <alignment horizontal="left"/>
    </xf>
    <xf numFmtId="49" fontId="79" fillId="36" borderId="35" xfId="240" applyNumberFormat="1" applyFont="1" applyFill="1" applyBorder="1" applyAlignment="1">
      <alignment horizontal="center" vertical="center" wrapText="1"/>
    </xf>
    <xf numFmtId="49" fontId="79" fillId="36" borderId="36" xfId="240" applyNumberFormat="1" applyFont="1" applyFill="1" applyBorder="1" applyAlignment="1">
      <alignment horizontal="center" vertical="center" wrapText="1"/>
    </xf>
    <xf numFmtId="49" fontId="33" fillId="36" borderId="19" xfId="240" applyNumberFormat="1" applyFont="1" applyFill="1" applyBorder="1" applyAlignment="1">
      <alignment horizontal="center" vertical="center" wrapText="1"/>
    </xf>
    <xf numFmtId="49" fontId="33" fillId="36" borderId="20" xfId="240" applyNumberFormat="1" applyFont="1" applyFill="1" applyBorder="1" applyAlignment="1">
      <alignment horizontal="center" vertical="center" wrapText="1"/>
    </xf>
    <xf numFmtId="49" fontId="33" fillId="36" borderId="21" xfId="240" applyNumberFormat="1" applyFont="1" applyFill="1" applyBorder="1" applyAlignment="1">
      <alignment horizontal="center" vertical="center" wrapText="1"/>
    </xf>
    <xf numFmtId="49" fontId="33" fillId="36" borderId="35" xfId="240" applyNumberFormat="1" applyFont="1" applyFill="1" applyBorder="1" applyAlignment="1">
      <alignment horizontal="center" vertical="center" wrapText="1"/>
    </xf>
    <xf numFmtId="49" fontId="33" fillId="36" borderId="41" xfId="240" applyNumberFormat="1" applyFont="1" applyFill="1" applyBorder="1" applyAlignment="1">
      <alignment horizontal="center" vertical="center" wrapText="1"/>
    </xf>
    <xf numFmtId="49" fontId="33" fillId="36" borderId="36" xfId="240" applyNumberFormat="1" applyFont="1" applyFill="1" applyBorder="1" applyAlignment="1">
      <alignment horizontal="center" vertical="center" wrapText="1"/>
    </xf>
    <xf numFmtId="49" fontId="10" fillId="36" borderId="37" xfId="240" applyNumberFormat="1" applyFont="1" applyFill="1" applyBorder="1" applyAlignment="1">
      <alignment horizontal="center" vertical="center" wrapText="1"/>
    </xf>
    <xf numFmtId="49" fontId="10" fillId="36" borderId="38" xfId="240" applyNumberFormat="1" applyFont="1" applyFill="1" applyBorder="1" applyAlignment="1">
      <alignment horizontal="center" vertical="center" wrapText="1"/>
    </xf>
    <xf numFmtId="49" fontId="10" fillId="36" borderId="14" xfId="240" applyNumberFormat="1" applyFont="1" applyFill="1" applyBorder="1" applyAlignment="1">
      <alignment horizontal="center" vertical="center" wrapText="1"/>
    </xf>
    <xf numFmtId="49" fontId="10" fillId="36" borderId="12" xfId="240" applyNumberFormat="1" applyFont="1" applyFill="1" applyBorder="1" applyAlignment="1">
      <alignment horizontal="center" vertical="center" wrapText="1"/>
    </xf>
    <xf numFmtId="49" fontId="10" fillId="36" borderId="39" xfId="240" applyNumberFormat="1" applyFont="1" applyFill="1" applyBorder="1" applyAlignment="1">
      <alignment horizontal="center" vertical="center" wrapText="1"/>
    </xf>
    <xf numFmtId="49" fontId="10" fillId="36" borderId="40" xfId="240" applyNumberFormat="1" applyFont="1" applyFill="1" applyBorder="1" applyAlignment="1">
      <alignment horizontal="center" vertical="center" wrapText="1"/>
    </xf>
    <xf numFmtId="49" fontId="33" fillId="36" borderId="14" xfId="240" applyNumberFormat="1" applyFont="1" applyFill="1" applyBorder="1" applyAlignment="1">
      <alignment horizontal="center" vertical="center" wrapText="1"/>
    </xf>
    <xf numFmtId="49" fontId="33" fillId="36" borderId="12" xfId="240" applyNumberFormat="1" applyFont="1" applyFill="1" applyBorder="1" applyAlignment="1">
      <alignment horizontal="center" vertical="center" wrapText="1"/>
    </xf>
    <xf numFmtId="2" fontId="33" fillId="36" borderId="14" xfId="240" applyNumberFormat="1" applyFont="1" applyFill="1" applyBorder="1" applyAlignment="1">
      <alignment horizontal="center" vertical="center" wrapText="1"/>
    </xf>
    <xf numFmtId="2" fontId="33" fillId="36" borderId="12" xfId="240" applyNumberFormat="1" applyFont="1" applyFill="1" applyBorder="1" applyAlignment="1">
      <alignment horizontal="center" vertical="center" wrapText="1"/>
    </xf>
    <xf numFmtId="49" fontId="65" fillId="36" borderId="14" xfId="240" applyNumberFormat="1" applyFont="1" applyFill="1" applyBorder="1" applyAlignment="1">
      <alignment horizontal="center" vertical="center"/>
    </xf>
    <xf numFmtId="49" fontId="65" fillId="36" borderId="12" xfId="240" applyNumberFormat="1" applyFont="1" applyFill="1" applyBorder="1" applyAlignment="1">
      <alignment horizontal="center" vertical="center"/>
    </xf>
    <xf numFmtId="49" fontId="33" fillId="36" borderId="34" xfId="240" applyNumberFormat="1" applyFont="1" applyFill="1" applyBorder="1" applyAlignment="1">
      <alignment horizontal="center" vertical="center" wrapText="1"/>
    </xf>
    <xf numFmtId="49" fontId="33" fillId="36" borderId="11" xfId="240" applyNumberFormat="1" applyFont="1" applyFill="1" applyBorder="1" applyAlignment="1">
      <alignment horizontal="center" vertical="center" wrapText="1"/>
    </xf>
    <xf numFmtId="174" fontId="35" fillId="13" borderId="10" xfId="81" applyNumberFormat="1" applyFont="1" applyFill="1" applyBorder="1" applyAlignment="1" applyProtection="1">
      <alignment horizontal="center" vertical="center" wrapText="1"/>
    </xf>
  </cellXfs>
  <cellStyles count="275">
    <cellStyle name="_APL (B001)_Jan11_Rec 2" xfId="1" xr:uid="{29DDC1A0-B490-4E59-801A-2A5EC8075527}"/>
    <cellStyle name="=C:\WINNT\SYSTEM32\COMMAND.COM 2" xfId="2" xr:uid="{F46A23FE-6DD2-4782-9F5C-EDDD32212C49}"/>
    <cellStyle name="20% - Accent1" xfId="3" builtinId="30" customBuiltin="1"/>
    <cellStyle name="20% - Accent1 2" xfId="4" xr:uid="{E60D4810-7DC0-44BB-B82D-38412BDD0223}"/>
    <cellStyle name="20% - Accent2" xfId="5" builtinId="34" customBuiltin="1"/>
    <cellStyle name="20% - Accent2 2" xfId="6" xr:uid="{F9AF6DBD-5C99-4BAC-88FE-AEEC393A9927}"/>
    <cellStyle name="20% - Accent3" xfId="7" builtinId="38" customBuiltin="1"/>
    <cellStyle name="20% - Accent3 2" xfId="8" xr:uid="{D9867D68-5910-4CBD-852B-34E32FB7F472}"/>
    <cellStyle name="20% - Accent4" xfId="9" builtinId="42" customBuiltin="1"/>
    <cellStyle name="20% - Accent4 2" xfId="10" xr:uid="{3118C36D-4FAC-4EC3-BDCA-110A1F2D3AA0}"/>
    <cellStyle name="20% - Accent5" xfId="11" builtinId="46" customBuiltin="1"/>
    <cellStyle name="20% - Accent5 2" xfId="12" xr:uid="{B950B914-A3AF-418A-8227-6251CEC3630F}"/>
    <cellStyle name="20% - Accent6" xfId="13" builtinId="50" customBuiltin="1"/>
    <cellStyle name="20% - Accent6 2" xfId="14" xr:uid="{B619CDA3-8FE2-4E9A-BC07-8B7D695B1636}"/>
    <cellStyle name="40% - Accent1" xfId="15" builtinId="31" customBuiltin="1"/>
    <cellStyle name="40% - Accent1 2" xfId="16" xr:uid="{30991185-780C-4421-935F-A991779488E6}"/>
    <cellStyle name="40% - Accent2" xfId="17" builtinId="35" customBuiltin="1"/>
    <cellStyle name="40% - Accent2 2" xfId="18" xr:uid="{3C94C451-B19D-4DFF-977A-44F10D2F9B63}"/>
    <cellStyle name="40% - Accent3" xfId="19" builtinId="39" customBuiltin="1"/>
    <cellStyle name="40% - Accent3 2" xfId="20" xr:uid="{751D1434-63A7-44CA-9854-FFEE9342DC79}"/>
    <cellStyle name="40% - Accent4" xfId="21" builtinId="43" customBuiltin="1"/>
    <cellStyle name="40% - Accent4 2" xfId="22" xr:uid="{F2AAA652-62D8-49C6-831E-5C73DB12E2E8}"/>
    <cellStyle name="40% - Accent5" xfId="23" builtinId="47" customBuiltin="1"/>
    <cellStyle name="40% - Accent5 2" xfId="24" xr:uid="{2D80F1EA-6A67-4D62-92CE-D0890926DDBF}"/>
    <cellStyle name="40% - Accent6" xfId="25" builtinId="51" customBuiltin="1"/>
    <cellStyle name="40% - Accent6 2" xfId="26" xr:uid="{764832C2-96A2-4241-8CFB-D336F9BB582A}"/>
    <cellStyle name="60% - Accent1" xfId="27" builtinId="32" customBuiltin="1"/>
    <cellStyle name="60% - Accent1 2" xfId="28" xr:uid="{8BEAEB7C-02D0-4CFE-A239-C42DF098AEC2}"/>
    <cellStyle name="60% - Accent2" xfId="29" builtinId="36" customBuiltin="1"/>
    <cellStyle name="60% - Accent2 2" xfId="30" xr:uid="{6D4BA37A-3187-4685-8456-D6C714706FD9}"/>
    <cellStyle name="60% - Accent3" xfId="31" builtinId="40" customBuiltin="1"/>
    <cellStyle name="60% - Accent3 2" xfId="32" xr:uid="{30AEE5E9-9CCD-47CF-A102-F38F8A85A1F1}"/>
    <cellStyle name="60% - Accent4" xfId="33" builtinId="44" customBuiltin="1"/>
    <cellStyle name="60% - Accent4 2" xfId="34" xr:uid="{E2EA2D7B-997C-4F8B-A3DB-D30E5CCDCC59}"/>
    <cellStyle name="60% - Accent5" xfId="35" builtinId="48" customBuiltin="1"/>
    <cellStyle name="60% - Accent5 2" xfId="36" xr:uid="{12F8FBF0-16E9-4B6B-8B8D-694469F48DE0}"/>
    <cellStyle name="60% - Accent6" xfId="37" builtinId="52" customBuiltin="1"/>
    <cellStyle name="60% - Accent6 2" xfId="38" xr:uid="{6A709134-EEFB-4B21-988B-5B36D4BD62A9}"/>
    <cellStyle name="Accent1" xfId="39" builtinId="29" customBuiltin="1"/>
    <cellStyle name="Accent1 2" xfId="40" xr:uid="{D0965E83-0C87-445D-981C-253D1C9121E7}"/>
    <cellStyle name="Accent2" xfId="41" builtinId="33" customBuiltin="1"/>
    <cellStyle name="Accent2 2" xfId="42" xr:uid="{64EAA98E-E17D-40B1-8B08-A859726431A1}"/>
    <cellStyle name="Accent3" xfId="43" builtinId="37" customBuiltin="1"/>
    <cellStyle name="Accent3 2" xfId="44" xr:uid="{0F1229CB-8A9A-48B3-891A-F408E7CE125C}"/>
    <cellStyle name="Accent4" xfId="45" builtinId="41" customBuiltin="1"/>
    <cellStyle name="Accent4 2" xfId="46" xr:uid="{239DDAFC-BAF3-4367-90BC-07E5B61F3EBE}"/>
    <cellStyle name="Accent5" xfId="47" builtinId="45" customBuiltin="1"/>
    <cellStyle name="Accent5 2" xfId="48" xr:uid="{39812EBC-3A69-4318-8860-E305FC82E04D}"/>
    <cellStyle name="Accent6" xfId="49" builtinId="49" customBuiltin="1"/>
    <cellStyle name="Accent6 2" xfId="50" xr:uid="{0626A2BB-7909-4B53-BAB7-92C0A195C1DA}"/>
    <cellStyle name="Bad" xfId="51" builtinId="27" customBuiltin="1"/>
    <cellStyle name="Bad 2" xfId="52" xr:uid="{A8F57283-339C-4C2C-9718-E1176758A108}"/>
    <cellStyle name="Blockout" xfId="53" xr:uid="{197296DB-5253-4A1F-A19F-EE9E3E87F3BB}"/>
    <cellStyle name="Blockout 2" xfId="54" xr:uid="{1389A9AE-8AA0-4FDE-A7D1-C5B074A25C5C}"/>
    <cellStyle name="Blockout 2 2" xfId="55" xr:uid="{A1A21C0B-81E7-41AF-A76D-942373BF3792}"/>
    <cellStyle name="Blockout 2 2 2" xfId="56" xr:uid="{B6F2A10D-2C07-44EA-ACC4-381DD50F658E}"/>
    <cellStyle name="Blockout 2 2 2 2" xfId="57" xr:uid="{0C5A4C64-7A7C-4BD1-895E-02ED5B5B17AD}"/>
    <cellStyle name="Blockout 2 2 3" xfId="58" xr:uid="{8ECC8711-DC6B-4A0D-B0B6-2470F9633ACA}"/>
    <cellStyle name="Blockout 2 2 3 2" xfId="59" xr:uid="{B48834BE-1883-44DB-A301-6AC5EEE8FC19}"/>
    <cellStyle name="Blockout 2 2 4" xfId="60" xr:uid="{8A684D9B-62FF-4E0B-B9D2-AC616BA2DF55}"/>
    <cellStyle name="Blockout 2 2 5" xfId="61" xr:uid="{979E2444-7B26-43D9-AE10-1B4113EA9937}"/>
    <cellStyle name="Blockout 2 3" xfId="62" xr:uid="{90B7A1F1-8BC1-4051-8268-0151A59F4141}"/>
    <cellStyle name="Blockout 2 3 2" xfId="63" xr:uid="{FABC1835-DE07-4F36-8171-2FEDD38B48B2}"/>
    <cellStyle name="Blockout 2 4" xfId="64" xr:uid="{99CDDEA9-AB60-4464-8861-121003E7DECF}"/>
    <cellStyle name="Blockout 2 4 2" xfId="65" xr:uid="{A1304D89-DAAB-40A4-87E7-0BE89F2506E2}"/>
    <cellStyle name="Blockout 2 5" xfId="66" xr:uid="{9ED95EAF-4A38-4224-96FD-93DA799C1B7C}"/>
    <cellStyle name="Blockout 2 6" xfId="67" xr:uid="{02ABAA51-F027-4027-AF3C-77B8DDB9CA64}"/>
    <cellStyle name="Blockout 3" xfId="68" xr:uid="{13F43031-B564-41E6-84AD-36588E2B7A90}"/>
    <cellStyle name="Blockout 3 2" xfId="69" xr:uid="{4ECA89B8-B0B1-4F58-B163-C358497581EF}"/>
    <cellStyle name="Blockout 3 2 2" xfId="70" xr:uid="{0CC258E5-520B-4CA9-AEE4-A6371BEDE230}"/>
    <cellStyle name="Blockout 3 3" xfId="71" xr:uid="{289D1B25-2F1D-4B80-A8AF-26877C976041}"/>
    <cellStyle name="Blockout 3 3 2" xfId="72" xr:uid="{813F623D-72EF-4061-AD85-E7726B769EB5}"/>
    <cellStyle name="Blockout 3 4" xfId="73" xr:uid="{850011B2-7571-4714-807F-BCDAAF0A5D4A}"/>
    <cellStyle name="Blockout 3 5" xfId="74" xr:uid="{BA0B628B-D262-4D28-B589-396415607FF3}"/>
    <cellStyle name="Calculation" xfId="75" builtinId="22" customBuiltin="1"/>
    <cellStyle name="Calculation 2" xfId="76" xr:uid="{1E283818-2554-4A0C-899B-982FB12761E8}"/>
    <cellStyle name="Check Cell" xfId="77" builtinId="23" customBuiltin="1"/>
    <cellStyle name="Check Cell 2" xfId="78" xr:uid="{BE60B010-4A30-4528-9FC1-A6D89A361F6F}"/>
    <cellStyle name="Comma" xfId="79" builtinId="3"/>
    <cellStyle name="Comma 10" xfId="80" xr:uid="{BEB33560-70B9-4B0F-9DB5-AD428014AE3D}"/>
    <cellStyle name="Comma 10 2" xfId="81" xr:uid="{C332DADA-3E95-460F-814D-0B0BCC8312FF}"/>
    <cellStyle name="Comma 11" xfId="82" xr:uid="{557394DD-1CA6-41F7-8AB7-076333986BAD}"/>
    <cellStyle name="Comma 12" xfId="83" xr:uid="{42ECDECD-F9A8-48EF-ADED-A35C24D964C9}"/>
    <cellStyle name="Comma 13" xfId="84" xr:uid="{ED7E5779-7033-4707-AB2C-4185AEC6DE54}"/>
    <cellStyle name="Comma 14" xfId="272" xr:uid="{DFA577F9-3E7A-4823-8A15-C62C64220E8C}"/>
    <cellStyle name="Comma 2" xfId="85" xr:uid="{320E4836-DF28-477C-8659-E3A8A0A0103A}"/>
    <cellStyle name="Comma 2 2" xfId="86" xr:uid="{702C0924-DD91-465F-932E-58D8884A90BE}"/>
    <cellStyle name="Comma 2 2 2" xfId="87" xr:uid="{545BE9D9-21DC-4DA6-933E-CA0A7F14ABE2}"/>
    <cellStyle name="Comma 2 2 2 2" xfId="88" xr:uid="{450FE608-EAEE-414A-9F47-2F4390CD85EC}"/>
    <cellStyle name="Comma 2 2 2 2 2" xfId="89" xr:uid="{9B152ED9-1CB3-48BD-AD71-B491478E83FB}"/>
    <cellStyle name="Comma 2 2 2 3" xfId="90" xr:uid="{765E1353-3B97-4141-87B2-F18E07D08D44}"/>
    <cellStyle name="Comma 2 2 3" xfId="91" xr:uid="{C8EE37E8-A199-4059-BBA2-FDB433AFFA99}"/>
    <cellStyle name="Comma 2 2 3 2" xfId="92" xr:uid="{1BAE7C87-509E-4C05-BEBB-E614FA875973}"/>
    <cellStyle name="Comma 2 2 4" xfId="93" xr:uid="{753221D7-A528-45AF-B33A-BB7832601BB5}"/>
    <cellStyle name="Comma 2 2 4 2" xfId="94" xr:uid="{62439724-AD13-48E2-B5C0-C859C585B023}"/>
    <cellStyle name="Comma 2 2 5" xfId="95" xr:uid="{D8B2FDFE-7A28-463C-A9EE-5D19D5A612AA}"/>
    <cellStyle name="Comma 2 2 6" xfId="96" xr:uid="{EC72458F-1DA9-48FC-BCC3-0A069E07F3FC}"/>
    <cellStyle name="Comma 2 3" xfId="97" xr:uid="{26C1E33A-77F9-4961-9838-6718E93A9463}"/>
    <cellStyle name="Comma 2 3 2" xfId="98" xr:uid="{0842F130-F636-4FCB-BC46-AC1A7F125F2F}"/>
    <cellStyle name="Comma 2 3 2 2" xfId="99" xr:uid="{C7057527-A5BA-4966-8BE7-317C2844A565}"/>
    <cellStyle name="Comma 2 3 3" xfId="100" xr:uid="{01023EF1-1662-4581-8462-B738A921CFF1}"/>
    <cellStyle name="Comma 2 4" xfId="101" xr:uid="{49DE27C7-8AE4-4D70-A4CB-696AFD704338}"/>
    <cellStyle name="Comma 2 4 2" xfId="102" xr:uid="{73BEE2A7-D212-4675-A494-A58C4A162666}"/>
    <cellStyle name="Comma 2 5" xfId="103" xr:uid="{FDDB3A68-7B57-42F9-9428-FD95034F02F4}"/>
    <cellStyle name="Comma 2 5 2" xfId="104" xr:uid="{80523150-2EC3-4E1A-963F-FE8474E60401}"/>
    <cellStyle name="Comma 2 5 3" xfId="105" xr:uid="{06D52C03-580B-4759-832A-FAA152E3FDEC}"/>
    <cellStyle name="Comma 2 6" xfId="106" xr:uid="{4A3ADFAA-F2F7-4FE1-8E2F-415F51537100}"/>
    <cellStyle name="Comma 2 7" xfId="107" xr:uid="{E5939C00-7CD6-4D6A-AC49-C1E661E6615F}"/>
    <cellStyle name="Comma 2 8" xfId="269" xr:uid="{44AD83AF-2B71-40BD-AE57-D626A1E4E411}"/>
    <cellStyle name="Comma 3" xfId="108" xr:uid="{0F0F9D59-8BF0-4C82-9069-84D768E0C7F7}"/>
    <cellStyle name="Comma 3 2" xfId="109" xr:uid="{9AE1D393-9F09-4327-AD10-4794940F95FA}"/>
    <cellStyle name="Comma 3 2 2" xfId="110" xr:uid="{F3B83E0E-1102-455C-81BA-B2DABA05B736}"/>
    <cellStyle name="Comma 3 2 2 2" xfId="111" xr:uid="{36FDFD16-116B-4D5E-98D3-717766D9309D}"/>
    <cellStyle name="Comma 3 2 3" xfId="112" xr:uid="{BB167938-DB76-45E9-B37C-655A38D8BFF3}"/>
    <cellStyle name="Comma 3 3" xfId="113" xr:uid="{21B04230-D7D5-4D63-90BC-3A5F25379470}"/>
    <cellStyle name="Comma 3 3 2" xfId="114" xr:uid="{60625DE5-52CA-4AE8-AB16-34992A10F6E2}"/>
    <cellStyle name="Comma 3 4" xfId="115" xr:uid="{C19ACC7B-FA4C-414A-951C-D7CBA907B98F}"/>
    <cellStyle name="Comma 3 4 2" xfId="116" xr:uid="{A8BB267E-EEA6-4F9C-917C-5DC511656CF3}"/>
    <cellStyle name="Comma 3 5" xfId="117" xr:uid="{AE145831-FBFA-44FD-9EBF-BEED4884A8FD}"/>
    <cellStyle name="Comma 3 6" xfId="118" xr:uid="{840BA3A0-ABF5-4610-902D-08D5C10FC581}"/>
    <cellStyle name="Comma 3 9" xfId="119" xr:uid="{F1772963-4C91-43F2-86F8-6E6411D720E7}"/>
    <cellStyle name="Comma 4" xfId="120" xr:uid="{FB682A90-0ABC-491F-B2E2-4860E09F36A8}"/>
    <cellStyle name="Comma 4 2" xfId="121" xr:uid="{DC42D361-BF6B-4E0F-AAA0-63134AEF2D24}"/>
    <cellStyle name="Comma 4 2 2" xfId="122" xr:uid="{60F05AA6-A518-4E27-8118-DCDA0C668D6A}"/>
    <cellStyle name="Comma 4 3" xfId="123" xr:uid="{B5138E0E-507A-43C6-971E-7C0B0E6F0E44}"/>
    <cellStyle name="Comma 4 3 2" xfId="124" xr:uid="{9906FEEE-B119-477B-BE76-D7B3FAD4C45E}"/>
    <cellStyle name="Comma 4 4" xfId="125" xr:uid="{C15A04A6-E16A-4FDA-896D-E0E5002239D1}"/>
    <cellStyle name="Comma 5" xfId="126" xr:uid="{5DE559D6-09DC-4530-A513-6B470CEA062D}"/>
    <cellStyle name="Comma 5 2" xfId="127" xr:uid="{59A4505A-BF4F-43B5-B691-29D0112693F6}"/>
    <cellStyle name="Comma 5 2 2" xfId="128" xr:uid="{A5822211-7898-4BF0-871A-00E2033078F3}"/>
    <cellStyle name="Comma 5 3" xfId="129" xr:uid="{63BF26D4-F551-44B6-AA47-263142A01ECD}"/>
    <cellStyle name="Comma 6" xfId="130" xr:uid="{D9FB4845-2E63-4B92-BA62-F200723EDC8A}"/>
    <cellStyle name="Comma 6 2" xfId="131" xr:uid="{54FE9E2E-9D90-43CB-B737-1481B1B4CD08}"/>
    <cellStyle name="Comma 6 2 2" xfId="132" xr:uid="{B0156B3A-A768-452A-B8F8-D3A249885EDD}"/>
    <cellStyle name="Comma 6 2 2 2" xfId="133" xr:uid="{AE7333F5-DE94-467A-8AB3-C07EAA7D6997}"/>
    <cellStyle name="Comma 6 2 2 2 2" xfId="134" xr:uid="{DE906C32-6082-45C5-963B-6C068372C8B9}"/>
    <cellStyle name="Comma 6 2 3" xfId="135" xr:uid="{1D0AAF7E-97F4-4D3D-AE3C-1279ACC06F40}"/>
    <cellStyle name="Comma 6 3" xfId="136" xr:uid="{5EE1D235-9E0F-4BD2-A7A1-827860C06860}"/>
    <cellStyle name="Comma 6 3 2" xfId="137" xr:uid="{7C668830-1CFD-4E11-8AA8-957544DB5E38}"/>
    <cellStyle name="Comma 6 4" xfId="138" xr:uid="{D06F3D38-8949-45F6-A828-265AC91A8800}"/>
    <cellStyle name="Comma 6 5" xfId="139" xr:uid="{67353625-0840-4201-888D-9BDB9C30153A}"/>
    <cellStyle name="Comma 7" xfId="140" xr:uid="{9DC50D77-8A35-4BBC-B8A9-4DB6F7EC698B}"/>
    <cellStyle name="Comma 7 2" xfId="141" xr:uid="{7BBA80B0-AB60-42AC-925F-08669E24A0C9}"/>
    <cellStyle name="Comma 7 2 2" xfId="142" xr:uid="{36291700-E102-4E02-ADD8-D2AE299377DC}"/>
    <cellStyle name="Comma 7 3" xfId="143" xr:uid="{96FA8600-CF00-406E-87DC-E175732701DE}"/>
    <cellStyle name="Comma 8" xfId="144" xr:uid="{840FC927-EC39-4C0F-97A8-792708A34615}"/>
    <cellStyle name="Comma 8 2" xfId="145" xr:uid="{84A9A440-DC45-447B-A31D-CB28232FCFF1}"/>
    <cellStyle name="Comma 8 2 2" xfId="146" xr:uid="{7D2638CB-246C-46DA-8A66-AA1891E1C186}"/>
    <cellStyle name="Comma 8 3" xfId="147" xr:uid="{8901330E-C1A0-4A28-B327-EC993730B40C}"/>
    <cellStyle name="Comma 9" xfId="148" xr:uid="{B7D9D0FC-1B57-4705-91BD-52DA0D605E5C}"/>
    <cellStyle name="Comma 9 2" xfId="149" xr:uid="{D72AF0D7-C1B3-45C3-8EF4-E3C2E1208B65}"/>
    <cellStyle name="Currency 2" xfId="150" xr:uid="{F03A306C-6360-46D3-A249-9EF7368F6E36}"/>
    <cellStyle name="Currency 2 2" xfId="151" xr:uid="{C59FB8EC-B09B-4F2E-BECA-89D62AB21CAA}"/>
    <cellStyle name="Currency 2 2 2" xfId="152" xr:uid="{22221936-AC3D-4BE4-819C-B9B2656AD15B}"/>
    <cellStyle name="Currency 2 3" xfId="153" xr:uid="{FF758D17-06E4-4B0C-BB2B-8771A01F9A31}"/>
    <cellStyle name="Currency 2 3 2" xfId="154" xr:uid="{2FE8816B-CC50-413B-998C-108BAAD62BAA}"/>
    <cellStyle name="Currency 2 4" xfId="155" xr:uid="{7E6A322C-3853-4302-B7BA-4DE80B88BEE3}"/>
    <cellStyle name="Currency 3" xfId="156" xr:uid="{CF885484-6D1A-41AA-A742-6D40B61B928D}"/>
    <cellStyle name="dms_H" xfId="157" xr:uid="{C8F0C572-F093-4091-9928-E1ED7756DED0}"/>
    <cellStyle name="dms_TopHeader" xfId="158" xr:uid="{2D1158B1-7905-4ED0-9380-6020FA3D67F2}"/>
    <cellStyle name="Explanatory Text" xfId="159" builtinId="53" customBuiltin="1"/>
    <cellStyle name="Good" xfId="160" builtinId="26" customBuiltin="1"/>
    <cellStyle name="Good 2" xfId="161" xr:uid="{BBB6DB6B-D7CE-4519-B9C8-338383A0D633}"/>
    <cellStyle name="Heading 1" xfId="162" builtinId="16" customBuiltin="1"/>
    <cellStyle name="Heading 2" xfId="163" builtinId="17" customBuiltin="1"/>
    <cellStyle name="Heading 3" xfId="164" builtinId="18" customBuiltin="1"/>
    <cellStyle name="Heading 4" xfId="165" builtinId="19" customBuiltin="1"/>
    <cellStyle name="Hyperlink" xfId="166" builtinId="8"/>
    <cellStyle name="Input" xfId="167" builtinId="20" customBuiltin="1"/>
    <cellStyle name="Input 2" xfId="168" xr:uid="{770A82A9-0E9F-40B6-91CA-D025E2DD48BA}"/>
    <cellStyle name="Input1" xfId="169" xr:uid="{7377D91C-9D91-47E5-A848-4C1A226F3529}"/>
    <cellStyle name="Input1 2" xfId="170" xr:uid="{417D932D-5707-4B2E-A45E-3460D79D25B4}"/>
    <cellStyle name="Input1 2 2" xfId="171" xr:uid="{C0C2D9EA-C445-43FF-8F8C-333AC5CF98A9}"/>
    <cellStyle name="Input1 2 2 2" xfId="172" xr:uid="{B841FAE4-7C26-4349-ABBF-AD75BE622347}"/>
    <cellStyle name="Input1 2 2 2 2" xfId="173" xr:uid="{AC8FB58D-3C01-4E69-BAB3-B871AB9C6FD6}"/>
    <cellStyle name="Input1 2 2 3" xfId="174" xr:uid="{EB9569D3-276B-41C5-BE74-7EF344A8F12B}"/>
    <cellStyle name="Input1 2 2 3 2" xfId="175" xr:uid="{E15D9D7D-1EF5-4901-8BFF-B7357578355D}"/>
    <cellStyle name="Input1 2 2 4" xfId="176" xr:uid="{8003B571-2219-4A49-8E10-68F8E79D21A8}"/>
    <cellStyle name="Input1 2 2 5" xfId="177" xr:uid="{697CBF24-4A69-4F89-9C64-086BA62F3EF7}"/>
    <cellStyle name="Input1 2 3" xfId="178" xr:uid="{4C6E315D-4A0B-4DD6-ACE2-151F6CF8C1E6}"/>
    <cellStyle name="Input1 2 3 2" xfId="179" xr:uid="{9FECEC1F-07E6-4D2E-B056-581305CF5A41}"/>
    <cellStyle name="Input1 2 4" xfId="180" xr:uid="{B9C52E40-1FFF-4936-9899-9CDDB26E4DA6}"/>
    <cellStyle name="Input1 2 4 2" xfId="181" xr:uid="{A26DA424-A32B-4110-BAF6-659D26D73CD9}"/>
    <cellStyle name="Input1 2 5" xfId="182" xr:uid="{576C42BC-E181-4BDA-828D-ED62F2A0FE60}"/>
    <cellStyle name="Input1 2 6" xfId="183" xr:uid="{A37CE41E-A1C2-4628-838A-72CD159F49D9}"/>
    <cellStyle name="Input1 3" xfId="184" xr:uid="{0163364B-D1D3-4394-9BAB-C09B2094C2C9}"/>
    <cellStyle name="Input1 3 2" xfId="185" xr:uid="{100EFC4D-36AA-463E-BAC5-19F34E8DC525}"/>
    <cellStyle name="Input1 3 2 2" xfId="186" xr:uid="{EFC27DD0-25C3-4CF2-AD3A-B76EF11BA8E9}"/>
    <cellStyle name="Input1 3 3" xfId="187" xr:uid="{2B600349-1854-407B-BA2D-BF57AB4322B4}"/>
    <cellStyle name="Input1 3 3 2" xfId="188" xr:uid="{541E67DE-F03E-4BA3-AF91-9002FF1DCD8B}"/>
    <cellStyle name="Input1 3 4" xfId="189" xr:uid="{FD8B1165-EA61-4F2A-A53F-F34C0599B2C3}"/>
    <cellStyle name="Input1 3 5" xfId="190" xr:uid="{C48DB3C2-B66F-48A6-99E0-EF857949D9A8}"/>
    <cellStyle name="Input1 4" xfId="191" xr:uid="{08DFCD0A-1487-44E8-8EF7-3EBFC027A3C4}"/>
    <cellStyle name="Input1 4 2" xfId="192" xr:uid="{8400F51E-DA7A-4BD2-A982-5645F50CDAF0}"/>
    <cellStyle name="Input2" xfId="193" xr:uid="{CA6F541D-C501-42F0-B3EE-B3628F3EBA72}"/>
    <cellStyle name="Input2 2" xfId="194" xr:uid="{B3A8E6E7-77E4-424C-8D47-1C1A4077F138}"/>
    <cellStyle name="Input2 2 2" xfId="195" xr:uid="{2A91BDFA-6FD2-4CDB-AB20-C3A530410F6D}"/>
    <cellStyle name="Input3" xfId="196" xr:uid="{DA71C0C8-685C-4D51-B432-C3A019B08B1D}"/>
    <cellStyle name="Input3 2" xfId="197" xr:uid="{8B8A6204-79BD-4531-A369-9739D2533E1F}"/>
    <cellStyle name="Input3 2 2" xfId="198" xr:uid="{7F2148C3-2776-4A68-B8F1-CD0FE15D08EF}"/>
    <cellStyle name="Input3 2 2 2" xfId="199" xr:uid="{08F4B239-0010-4EF5-A731-CBDECE3F0201}"/>
    <cellStyle name="Input3 2 2 2 2" xfId="200" xr:uid="{27E12190-9F33-495C-BFD4-0D15107FCA23}"/>
    <cellStyle name="Input3 2 2 3" xfId="201" xr:uid="{B1DE49F0-A996-4A99-9295-FCDEB473B474}"/>
    <cellStyle name="Input3 2 2 3 2" xfId="202" xr:uid="{E06D6092-8009-4EBB-A473-41BEB05F01A2}"/>
    <cellStyle name="Input3 2 2 4" xfId="203" xr:uid="{74431FD9-49D1-4CF1-9622-8CCD0C6AA4FE}"/>
    <cellStyle name="Input3 2 2 5" xfId="204" xr:uid="{AB76E4F3-89AF-49A9-82D5-52419665958B}"/>
    <cellStyle name="Input3 2 3" xfId="205" xr:uid="{B505B282-4A6D-4FDC-868D-93BBA96A9DAE}"/>
    <cellStyle name="Input3 2 3 2" xfId="206" xr:uid="{CC25C719-A55A-4FF0-93F8-C0CCD6CA559A}"/>
    <cellStyle name="Input3 2 4" xfId="207" xr:uid="{8FCEC4BD-D497-4ECE-A4E2-E9902B74561A}"/>
    <cellStyle name="Input3 2 4 2" xfId="208" xr:uid="{E6FC76D0-7740-4C63-86AF-D881CD4470DD}"/>
    <cellStyle name="Input3 2 5" xfId="209" xr:uid="{600C4F40-EF0B-45DC-9DC6-CC31A940F354}"/>
    <cellStyle name="Input3 2 6" xfId="210" xr:uid="{158B7825-B769-4CDD-9322-6B0823C3D6E8}"/>
    <cellStyle name="Input3 3" xfId="211" xr:uid="{2DC2E3BA-B65A-453C-B2C6-AF92F593693B}"/>
    <cellStyle name="Input3 3 2" xfId="212" xr:uid="{F85BBA49-5C6C-40C2-A0C9-DD8AD12AF7E2}"/>
    <cellStyle name="Input3 3 2 2" xfId="213" xr:uid="{54CCA858-9ABB-428A-A2A1-155EA989ED70}"/>
    <cellStyle name="Input3 3 3" xfId="214" xr:uid="{88FD855B-A48D-4179-B164-797EA25473A0}"/>
    <cellStyle name="Input3 3 3 2" xfId="215" xr:uid="{FD5F9CCD-5BF6-4904-819F-241970C5F68A}"/>
    <cellStyle name="Input3 3 4" xfId="216" xr:uid="{680374E1-5616-4CAB-BE13-5B7D695761F0}"/>
    <cellStyle name="Input3 3 5" xfId="217" xr:uid="{775373D6-7A20-45F5-80AD-631570EADBE8}"/>
    <cellStyle name="Linked Cell" xfId="218" builtinId="24" customBuiltin="1"/>
    <cellStyle name="Neutral" xfId="219" builtinId="28" customBuiltin="1"/>
    <cellStyle name="Neutral 2" xfId="220" xr:uid="{90D9896F-3E5C-4284-9087-7522248B3A8E}"/>
    <cellStyle name="Normal" xfId="0" builtinId="0"/>
    <cellStyle name="Normal 15" xfId="221" xr:uid="{B490D917-5A2B-4DC5-8AD7-2A9B2FE037A4}"/>
    <cellStyle name="Normal 2" xfId="222" xr:uid="{E7313C20-F0CE-4446-9FCD-1E46EA8DB665}"/>
    <cellStyle name="Normal 2 2" xfId="223" xr:uid="{CE5FACAE-84B9-4311-9983-1F3A3E755771}"/>
    <cellStyle name="Normal 2 2 2" xfId="224" xr:uid="{A678091A-CD08-4522-8AD7-3B567F38C9C6}"/>
    <cellStyle name="Normal 2 3" xfId="274" xr:uid="{1119CE2C-8F5E-4AA1-8F63-B4F4A4F3ACC5}"/>
    <cellStyle name="Normal 2 4 3" xfId="225" xr:uid="{2DEBE689-ED36-4947-B318-9A0A00C2B01B}"/>
    <cellStyle name="Normal 3" xfId="226" xr:uid="{BD6EB291-A3C8-4592-AFD8-02BC5C3A63A1}"/>
    <cellStyle name="Normal 3 2" xfId="227" xr:uid="{BBDBEAF2-A82E-43E0-81F4-DF19AF78B131}"/>
    <cellStyle name="Normal 3 2 2" xfId="228" xr:uid="{B4E30051-975D-4200-BB03-E571025F4E79}"/>
    <cellStyle name="Normal 3 3" xfId="229" xr:uid="{920C785A-684F-47C3-8814-D9F4658913E5}"/>
    <cellStyle name="Normal 3 3 2" xfId="230" xr:uid="{90FE2E20-A994-4FFF-A9C1-63BAF0315428}"/>
    <cellStyle name="Normal 3 4" xfId="267" xr:uid="{B86B0C8A-7397-464B-99E1-9CBF989F11B1}"/>
    <cellStyle name="Normal 4" xfId="231" xr:uid="{4DDC153E-91EC-4D7A-BD5D-0BBD53F4D374}"/>
    <cellStyle name="Normal 4 2" xfId="270" xr:uid="{A5C0E23C-59CC-44C6-BBF2-80BFB0E1B2E6}"/>
    <cellStyle name="Normal 4 4" xfId="232" xr:uid="{52C0C0DF-EA22-4095-93EB-85825E9A26FF}"/>
    <cellStyle name="Normal 5" xfId="233" xr:uid="{3F4724CC-0CB4-4394-A04C-6F77B8104BCF}"/>
    <cellStyle name="Normal 6" xfId="234" xr:uid="{C6084C20-7DED-4372-9D55-01AD95525663}"/>
    <cellStyle name="Normal 7" xfId="271" xr:uid="{324A6D81-B42C-45D1-9CEF-F827D99F6C49}"/>
    <cellStyle name="Normal 8" xfId="273" xr:uid="{37A302C2-4322-4475-83B2-B1CC5B28EFF2}"/>
    <cellStyle name="Normal_2010 06 02 - Urgent RIN for Vic DNSPs revised proposals" xfId="235" xr:uid="{C4EE9693-531F-4F84-88DE-8786E0E749AB}"/>
    <cellStyle name="Normal_2010 06 22 - AA - Scheme Templates for data collection" xfId="236" xr:uid="{3EF25084-230D-40D1-8377-DF7C9B37CF1C}"/>
    <cellStyle name="Normal_2010 06 22 - IE - Scheme Template for data collection" xfId="237" xr:uid="{369267E9-3A83-4E3F-A273-2C267EE32C78}"/>
    <cellStyle name="Normal_Book1" xfId="238" xr:uid="{E38B3498-B1C0-447D-B29A-D3878ABA236F}"/>
    <cellStyle name="Normal_D11 2371025  Financial information - 2012 Draft RIN - Ausgrid" xfId="239" xr:uid="{510A6861-F4BE-4404-8355-D4C347CF8D5A}"/>
    <cellStyle name="Normal_D11 2371025  Financial information - 2012 Draft RIN - Ausgrid 2" xfId="240" xr:uid="{BEB2D085-F585-43F3-B47E-196E07BE295B}"/>
    <cellStyle name="Normal_D12 1569  Opex, DMIS, EBSS - 2012 draft RIN - Ausgrid" xfId="241" xr:uid="{8EC7B3E1-1121-49CB-BA8B-EA516B5B394F}"/>
    <cellStyle name="Normal_D12 16703  Overheads, Avoided Cost, ACS, Demand and Revenue - 2012 draft RIN - Ausgrid" xfId="242" xr:uid="{7B2A308C-18FA-481D-B0E5-9B3C13B48BA8}"/>
    <cellStyle name="Normal_D12 16703  Overheads, Avoided Cost, ACS, Demand and Revenue - 2012 draft RIN - Ausgrid 2" xfId="243" xr:uid="{77B31C05-7334-4448-8F26-7259AA9FDCFE}"/>
    <cellStyle name="Normal_Sheet1" xfId="244" xr:uid="{A3278248-9EF6-4FA8-8460-CAC1E02F820E}"/>
    <cellStyle name="Normal_Sheet1 2" xfId="245" xr:uid="{5A7A7B21-F15B-4569-A743-4074845BCF61}"/>
    <cellStyle name="Note" xfId="246" builtinId="10" customBuiltin="1"/>
    <cellStyle name="Note 2" xfId="247" xr:uid="{2FC775A2-6211-44D4-9E6C-A058B0AEE4DC}"/>
    <cellStyle name="Note 2 2" xfId="248" xr:uid="{00EBAF79-99C5-41E8-A148-62175F0C4D68}"/>
    <cellStyle name="Output" xfId="249" builtinId="21" customBuiltin="1"/>
    <cellStyle name="Output 2" xfId="250" xr:uid="{FFB49440-953A-40B8-98AB-D847CEBB297D}"/>
    <cellStyle name="Per cent" xfId="251" builtinId="5"/>
    <cellStyle name="Per cent 2" xfId="252" xr:uid="{E878ED05-A0A7-4AB2-8F1B-DD7AEBB76DC6}"/>
    <cellStyle name="Percent 2" xfId="253" xr:uid="{9B5B02FA-93E7-4204-A57D-2CDF46F5A158}"/>
    <cellStyle name="Percent 2 2" xfId="254" xr:uid="{051343BE-9C69-4483-8E1B-88F6531E012E}"/>
    <cellStyle name="Percent 2 2 2" xfId="268" xr:uid="{A2892840-E2B9-4E29-97EB-17DBFF9CFFF5}"/>
    <cellStyle name="Percent 3" xfId="255" xr:uid="{10F575CF-43B0-40B5-BC4D-EDF6E58DBA8E}"/>
    <cellStyle name="Style 1" xfId="256" xr:uid="{7F1C4C9D-11E5-4761-8EEF-F5F306D26A94}"/>
    <cellStyle name="Style 1 2" xfId="257" xr:uid="{BB6876C3-857A-4968-8F03-079172716A60}"/>
    <cellStyle name="Style 1 2 2" xfId="258" xr:uid="{CBC7FBE6-9A9C-4A0C-8D27-95DA1242B525}"/>
    <cellStyle name="Style 1 2 2 2" xfId="259" xr:uid="{4AE130A0-2F22-4DCB-9A13-97CA0B01302E}"/>
    <cellStyle name="Style 1 3" xfId="260" xr:uid="{B8FD7466-E25F-4F88-98DD-477D195A4995}"/>
    <cellStyle name="Style 1 3 2" xfId="261" xr:uid="{18144FFF-DCA3-4678-AD15-F66D53DBC09B}"/>
    <cellStyle name="Style 1 4" xfId="262" xr:uid="{4DC5425E-1BD8-44C0-B523-3E5A54235E64}"/>
    <cellStyle name="Style 1 4 2" xfId="263" xr:uid="{A2511D1F-E4D9-4A44-B78B-32BF74DD537C}"/>
    <cellStyle name="Title" xfId="264" builtinId="15" customBuiltin="1"/>
    <cellStyle name="Total" xfId="265" builtinId="25" customBuiltin="1"/>
    <cellStyle name="Warning Text" xfId="266" builtinId="11" customBuiltin="1"/>
  </cellStyles>
  <dxfs count="97">
    <dxf>
      <font>
        <color auto="1"/>
      </font>
      <fill>
        <patternFill>
          <fgColor indexed="64"/>
          <bgColor rgb="FFFF0000"/>
        </patternFill>
      </fill>
    </dxf>
    <dxf>
      <font>
        <color rgb="FF9C0006"/>
      </font>
      <fill>
        <patternFill>
          <bgColor rgb="FFFFC7CE"/>
        </patternFill>
      </fill>
    </dxf>
    <dxf>
      <font>
        <color rgb="FF2B7AA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theme="0" tint="-0.24994659260841701"/>
      </font>
      <numFmt numFmtId="190" formatCode="&quot; -&quo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vertical="center" textRotation="0" indent="0" justifyLastLine="0" shrinkToFit="0" readingOrder="0"/>
    </dxf>
    <dxf>
      <fill>
        <patternFill patternType="solid">
          <fgColor indexed="64"/>
          <bgColor theme="3" tint="0.59999389629810485"/>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top style="thin">
          <color theme="4"/>
        </top>
      </border>
    </dxf>
    <dxf>
      <font>
        <b/>
        <i val="0"/>
        <strike val="0"/>
        <condense val="0"/>
        <extend val="0"/>
        <outline val="0"/>
        <shadow val="0"/>
        <u val="none"/>
        <vertAlign val="baseline"/>
        <sz val="10"/>
        <color theme="0"/>
        <name val="Arial"/>
        <family val="2"/>
        <scheme val="none"/>
      </font>
      <fill>
        <patternFill patternType="solid">
          <fgColor indexed="64"/>
          <bgColor rgb="FF2B7AA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microsoft.com/office/2017/10/relationships/person" Target="persons/person.xml"/><Relationship Id="rId8" Type="http://schemas.openxmlformats.org/officeDocument/2006/relationships/worksheet" Target="worksheets/sheet8.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Revenue allocation to pipeline services</a:t>
            </a:r>
          </a:p>
        </c:rich>
      </c:tx>
      <c:overlay val="0"/>
      <c:spPr>
        <a:noFill/>
        <a:ln w="25400">
          <a:noFill/>
        </a:ln>
      </c:spPr>
    </c:title>
    <c:autoTitleDeleted val="0"/>
    <c:plotArea>
      <c:layout>
        <c:manualLayout>
          <c:layoutTarget val="inner"/>
          <c:xMode val="edge"/>
          <c:yMode val="edge"/>
          <c:x val="0.24177040996089655"/>
          <c:y val="6.7078467027851196E-2"/>
          <c:w val="0.53318213061065745"/>
          <c:h val="0.7986917755772150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12EF-42B6-874F-AB4AC7F34B4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12EF-42B6-874F-AB4AC7F34B4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12EF-42B6-874F-AB4AC7F34B4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12EF-42B6-874F-AB4AC7F34B4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12EF-42B6-874F-AB4AC7F34B4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12EF-42B6-874F-AB4AC7F34B4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12EF-42B6-874F-AB4AC7F34B4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2EF-42B6-874F-AB4AC7F34B4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12EF-42B6-874F-AB4AC7F34B45}"/>
              </c:ext>
            </c:extLst>
          </c:dPt>
          <c:dPt>
            <c:idx val="9"/>
            <c:bubble3D val="0"/>
            <c:extLst>
              <c:ext xmlns:c16="http://schemas.microsoft.com/office/drawing/2014/chart" uri="{C3380CC4-5D6E-409C-BE32-E72D297353CC}">
                <c16:uniqueId val="{00000009-12EF-42B6-874F-AB4AC7F34B45}"/>
              </c:ext>
            </c:extLst>
          </c:dPt>
          <c:dLbls>
            <c:dLbl>
              <c:idx val="1"/>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1-12EF-42B6-874F-AB4AC7F34B45}"/>
                </c:ext>
              </c:extLst>
            </c:dLbl>
            <c:dLbl>
              <c:idx val="4"/>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4-12EF-42B6-874F-AB4AC7F34B45}"/>
                </c:ext>
              </c:extLst>
            </c:dLbl>
            <c:dLbl>
              <c:idx val="5"/>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5-12EF-42B6-874F-AB4AC7F34B45}"/>
                </c:ext>
              </c:extLst>
            </c:dLbl>
            <c:dLbl>
              <c:idx val="6"/>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6-12EF-42B6-874F-AB4AC7F34B45}"/>
                </c:ext>
              </c:extLst>
            </c:dLbl>
            <c:dLbl>
              <c:idx val="7"/>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7-12EF-42B6-874F-AB4AC7F34B45}"/>
                </c:ext>
              </c:extLst>
            </c:dLbl>
            <c:dLbl>
              <c:idx val="8"/>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8-12EF-42B6-874F-AB4AC7F34B45}"/>
                </c:ext>
              </c:extLst>
            </c:dLbl>
            <c:dLbl>
              <c:idx val="9"/>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9-12EF-42B6-874F-AB4AC7F34B45}"/>
                </c:ext>
              </c:extLst>
            </c:dLbl>
            <c:numFmt formatCode="0%;\-0%;\ &quot;&quot;"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expenses'!$D$12:$D$21</c:f>
              <c:numCache>
                <c:formatCode>_(* #,##0_);_(* \(#,##0\);_(* ""_);_(@_)</c:formatCode>
                <c:ptCount val="10"/>
                <c:pt idx="0">
                  <c:v>143686500.004015</c:v>
                </c:pt>
                <c:pt idx="1">
                  <c:v>0</c:v>
                </c:pt>
                <c:pt idx="2">
                  <c:v>602564.04322710761</c:v>
                </c:pt>
                <c:pt idx="3">
                  <c:v>0</c:v>
                </c:pt>
                <c:pt idx="4">
                  <c:v>0</c:v>
                </c:pt>
                <c:pt idx="5">
                  <c:v>9340042.8545822036</c:v>
                </c:pt>
                <c:pt idx="6">
                  <c:v>1060236.701294173</c:v>
                </c:pt>
                <c:pt idx="7">
                  <c:v>120328.39673682567</c:v>
                </c:pt>
                <c:pt idx="8">
                  <c:v>140687.36742079505</c:v>
                </c:pt>
                <c:pt idx="9">
                  <c:v>2721675.7705804813</c:v>
                </c:pt>
              </c:numCache>
            </c:numRef>
          </c:val>
          <c:extLst>
            <c:ext xmlns:c16="http://schemas.microsoft.com/office/drawing/2014/chart" uri="{C3380CC4-5D6E-409C-BE32-E72D297353CC}">
              <c16:uniqueId val="{0000000A-12EF-42B6-874F-AB4AC7F34B45}"/>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31393743307859712"/>
          <c:y val="5.882504686914136E-3"/>
          <c:w val="0.6691436766280503"/>
          <c:h val="0.75531782527184099"/>
        </c:manualLayout>
      </c:layout>
      <c:overlay val="0"/>
      <c:spPr>
        <a:noFill/>
        <a:ln w="25400">
          <a:noFill/>
        </a:ln>
      </c:spPr>
      <c:txPr>
        <a:bodyPr/>
        <a:lstStyle/>
        <a:p>
          <a:pPr>
            <a:defRPr sz="65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Expense allocation to pipeline services</a:t>
            </a:r>
          </a:p>
        </c:rich>
      </c:tx>
      <c:overlay val="0"/>
      <c:spPr>
        <a:noFill/>
        <a:ln w="25400">
          <a:noFill/>
        </a:ln>
      </c:spPr>
    </c:title>
    <c:autoTitleDeleted val="0"/>
    <c:plotArea>
      <c:layout>
        <c:manualLayout>
          <c:layoutTarget val="inner"/>
          <c:xMode val="edge"/>
          <c:yMode val="edge"/>
          <c:x val="0.26497122127771"/>
          <c:y val="5.9444058054497949E-2"/>
          <c:w val="0.51226897399608629"/>
          <c:h val="0.7986044966646346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43AF-46DD-962E-001C3CEED41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43AF-46DD-962E-001C3CEED41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43AF-46DD-962E-001C3CEED41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43AF-46DD-962E-001C3CEED411}"/>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43AF-46DD-962E-001C3CEED411}"/>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43AF-46DD-962E-001C3CEED411}"/>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43AF-46DD-962E-001C3CEED411}"/>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43AF-46DD-962E-001C3CEED411}"/>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43AF-46DD-962E-001C3CEED411}"/>
              </c:ext>
            </c:extLst>
          </c:dPt>
          <c:dPt>
            <c:idx val="9"/>
            <c:bubble3D val="0"/>
            <c:extLst>
              <c:ext xmlns:c16="http://schemas.microsoft.com/office/drawing/2014/chart" uri="{C3380CC4-5D6E-409C-BE32-E72D297353CC}">
                <c16:uniqueId val="{00000009-43AF-46DD-962E-001C3CEED411}"/>
              </c:ext>
            </c:extLst>
          </c:dPt>
          <c:dLbls>
            <c:dLbl>
              <c:idx val="1"/>
              <c:layout>
                <c:manualLayout>
                  <c:x val="6.9658976245652565E-2"/>
                  <c:y val="-8.830867807170239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43AF-46DD-962E-001C3CEED411}"/>
                </c:ext>
              </c:extLst>
            </c:dLbl>
            <c:dLbl>
              <c:idx val="4"/>
              <c:layout>
                <c:manualLayout>
                  <c:x val="9.4621200802816018E-3"/>
                  <c:y val="4.337240900289241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43AF-46DD-962E-001C3CEED411}"/>
                </c:ext>
              </c:extLst>
            </c:dLbl>
            <c:dLbl>
              <c:idx val="5"/>
              <c:layout>
                <c:manualLayout>
                  <c:x val="-3.4084159850856404E-4"/>
                  <c:y val="-1.0284269355420705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43AF-46DD-962E-001C3CEED411}"/>
                </c:ext>
              </c:extLst>
            </c:dLbl>
            <c:dLbl>
              <c:idx val="6"/>
              <c:layout>
                <c:manualLayout>
                  <c:x val="-7.5549572047626046E-3"/>
                  <c:y val="-1.9087522533174253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43AF-46DD-962E-001C3CEED411}"/>
                </c:ext>
              </c:extLst>
            </c:dLbl>
            <c:dLbl>
              <c:idx val="7"/>
              <c:layout>
                <c:manualLayout>
                  <c:x val="-7.0214069892144473E-3"/>
                  <c:y val="-3.5060841568912086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43AF-46DD-962E-001C3CEED411}"/>
                </c:ext>
              </c:extLst>
            </c:dLbl>
            <c:dLbl>
              <c:idx val="8"/>
              <c:layout>
                <c:manualLayout>
                  <c:x val="2.3741561499401775E-4"/>
                  <c:y val="1.0101140760341207E-4"/>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43AF-46DD-962E-001C3CEED411}"/>
                </c:ext>
              </c:extLst>
            </c:dLbl>
            <c:dLbl>
              <c:idx val="9"/>
              <c:layout>
                <c:manualLayout>
                  <c:x val="2.424949605010419E-4"/>
                  <c:y val="2.0644260931505398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43AF-46DD-962E-001C3CEED411}"/>
                </c:ext>
              </c:extLst>
            </c:dLbl>
            <c:numFmt formatCode="0%;\-0%;\ &quot;&quot;\ "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expenses'!$F$12:$F$21</c:f>
              <c:numCache>
                <c:formatCode>_(* #,##0_);_(* \(#,##0\);_(* ""_);_(@_)</c:formatCode>
                <c:ptCount val="10"/>
                <c:pt idx="0">
                  <c:v>84299305.514297411</c:v>
                </c:pt>
                <c:pt idx="1">
                  <c:v>0</c:v>
                </c:pt>
                <c:pt idx="2">
                  <c:v>353517.76520767692</c:v>
                </c:pt>
                <c:pt idx="3">
                  <c:v>0</c:v>
                </c:pt>
                <c:pt idx="4">
                  <c:v>0</c:v>
                </c:pt>
                <c:pt idx="5">
                  <c:v>5479701.4757340075</c:v>
                </c:pt>
                <c:pt idx="6">
                  <c:v>622029.3318952783</c:v>
                </c:pt>
                <c:pt idx="7">
                  <c:v>70595.360582099311</c:v>
                </c:pt>
                <c:pt idx="8">
                  <c:v>82539.747073499704</c:v>
                </c:pt>
                <c:pt idx="9">
                  <c:v>1596777.5489598098</c:v>
                </c:pt>
              </c:numCache>
            </c:numRef>
          </c:val>
          <c:extLst>
            <c:ext xmlns:c16="http://schemas.microsoft.com/office/drawing/2014/chart" uri="{C3380CC4-5D6E-409C-BE32-E72D297353CC}">
              <c16:uniqueId val="{0000000A-43AF-46DD-962E-001C3CEED411}"/>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38746341173372745"/>
          <c:y val="5.8894754860447937E-3"/>
          <c:w val="0.58410593821403389"/>
          <c:h val="0.76091953608773732"/>
        </c:manualLayout>
      </c:layout>
      <c:overlay val="0"/>
      <c:spPr>
        <a:noFill/>
        <a:ln w="25400">
          <a:noFill/>
        </a:ln>
      </c:spPr>
      <c:txPr>
        <a:bodyPr/>
        <a:lstStyle/>
        <a:p>
          <a:pPr>
            <a:defRPr sz="65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Historical demand</a:t>
            </a:r>
          </a:p>
        </c:rich>
      </c:tx>
      <c:overlay val="0"/>
      <c:spPr>
        <a:noFill/>
        <a:ln w="25400">
          <a:noFill/>
        </a:ln>
      </c:spPr>
    </c:title>
    <c:autoTitleDeleted val="0"/>
    <c:plotArea>
      <c:layout/>
      <c:barChart>
        <c:barDir val="col"/>
        <c:grouping val="stacked"/>
        <c:varyColors val="0"/>
        <c:ser>
          <c:idx val="0"/>
          <c:order val="0"/>
          <c:tx>
            <c:strRef>
              <c:f>'5. Historical demand'!$C$40:$C$41</c:f>
              <c:strCache>
                <c:ptCount val="2"/>
                <c:pt idx="0">
                  <c:v>Contracted firm capacity-transportation</c:v>
                </c:pt>
                <c:pt idx="1">
                  <c:v>TJ/day</c:v>
                </c:pt>
              </c:strCache>
            </c:strRef>
          </c:tx>
          <c:spPr>
            <a:solidFill>
              <a:schemeClr val="accent6">
                <a:lumMod val="60000"/>
                <a:lumOff val="40000"/>
              </a:schemeClr>
            </a:solidFill>
            <a:ln w="28575" cap="rnd">
              <a:solidFill>
                <a:schemeClr val="accent6">
                  <a:lumMod val="60000"/>
                  <a:lumOff val="40000"/>
                </a:schemeClr>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demand'!$C$43:$C$408</c:f>
              <c:numCache>
                <c:formatCode>_(* #,##0_);_(* \(#,##0\);_(* "-"_);_(@_)</c:formatCode>
                <c:ptCount val="366"/>
                <c:pt idx="0">
                  <c:v>536.48500000000001</c:v>
                </c:pt>
                <c:pt idx="1">
                  <c:v>536.48500000000001</c:v>
                </c:pt>
                <c:pt idx="2">
                  <c:v>536.48500000000001</c:v>
                </c:pt>
                <c:pt idx="3">
                  <c:v>536.48500000000001</c:v>
                </c:pt>
                <c:pt idx="4">
                  <c:v>536.48500000000001</c:v>
                </c:pt>
                <c:pt idx="5">
                  <c:v>536.48500000000001</c:v>
                </c:pt>
                <c:pt idx="6">
                  <c:v>536.48500000000001</c:v>
                </c:pt>
                <c:pt idx="7">
                  <c:v>536.48500000000001</c:v>
                </c:pt>
                <c:pt idx="8">
                  <c:v>536.48500000000001</c:v>
                </c:pt>
                <c:pt idx="9">
                  <c:v>536.48500000000001</c:v>
                </c:pt>
                <c:pt idx="10">
                  <c:v>536.48500000000001</c:v>
                </c:pt>
                <c:pt idx="11">
                  <c:v>536.48500000000001</c:v>
                </c:pt>
                <c:pt idx="12">
                  <c:v>536.48500000000001</c:v>
                </c:pt>
                <c:pt idx="13">
                  <c:v>536.48500000000001</c:v>
                </c:pt>
                <c:pt idx="14">
                  <c:v>536.48500000000001</c:v>
                </c:pt>
                <c:pt idx="15">
                  <c:v>536.48500000000001</c:v>
                </c:pt>
                <c:pt idx="16">
                  <c:v>536.48500000000001</c:v>
                </c:pt>
                <c:pt idx="17">
                  <c:v>536.48500000000001</c:v>
                </c:pt>
                <c:pt idx="18">
                  <c:v>536.48500000000001</c:v>
                </c:pt>
                <c:pt idx="19">
                  <c:v>536.48500000000001</c:v>
                </c:pt>
                <c:pt idx="20">
                  <c:v>536.48500000000001</c:v>
                </c:pt>
                <c:pt idx="21">
                  <c:v>536.48500000000001</c:v>
                </c:pt>
                <c:pt idx="22">
                  <c:v>536.48500000000001</c:v>
                </c:pt>
                <c:pt idx="23">
                  <c:v>536.48500000000001</c:v>
                </c:pt>
                <c:pt idx="24">
                  <c:v>536.48500000000001</c:v>
                </c:pt>
                <c:pt idx="25">
                  <c:v>536.48500000000001</c:v>
                </c:pt>
                <c:pt idx="26">
                  <c:v>536.48500000000001</c:v>
                </c:pt>
                <c:pt idx="27">
                  <c:v>536.48500000000001</c:v>
                </c:pt>
                <c:pt idx="28">
                  <c:v>536.48500000000001</c:v>
                </c:pt>
                <c:pt idx="29">
                  <c:v>536.48500000000001</c:v>
                </c:pt>
                <c:pt idx="30">
                  <c:v>536.48500000000001</c:v>
                </c:pt>
                <c:pt idx="31">
                  <c:v>537.53</c:v>
                </c:pt>
                <c:pt idx="32">
                  <c:v>537.53</c:v>
                </c:pt>
                <c:pt idx="33">
                  <c:v>537.53</c:v>
                </c:pt>
                <c:pt idx="34">
                  <c:v>537.53</c:v>
                </c:pt>
                <c:pt idx="35">
                  <c:v>537.53</c:v>
                </c:pt>
                <c:pt idx="36">
                  <c:v>537.53</c:v>
                </c:pt>
                <c:pt idx="37">
                  <c:v>537.53</c:v>
                </c:pt>
                <c:pt idx="38">
                  <c:v>537.53</c:v>
                </c:pt>
                <c:pt idx="39">
                  <c:v>537.53</c:v>
                </c:pt>
                <c:pt idx="40">
                  <c:v>537.53</c:v>
                </c:pt>
                <c:pt idx="41">
                  <c:v>537.53</c:v>
                </c:pt>
                <c:pt idx="42">
                  <c:v>537.53</c:v>
                </c:pt>
                <c:pt idx="43">
                  <c:v>537.53</c:v>
                </c:pt>
                <c:pt idx="44">
                  <c:v>537.53</c:v>
                </c:pt>
                <c:pt idx="45">
                  <c:v>537.53</c:v>
                </c:pt>
                <c:pt idx="46">
                  <c:v>537.53</c:v>
                </c:pt>
                <c:pt idx="47">
                  <c:v>537.53</c:v>
                </c:pt>
                <c:pt idx="48">
                  <c:v>537.53</c:v>
                </c:pt>
                <c:pt idx="49">
                  <c:v>537.53</c:v>
                </c:pt>
                <c:pt idx="50">
                  <c:v>537.53</c:v>
                </c:pt>
                <c:pt idx="51">
                  <c:v>537.53</c:v>
                </c:pt>
                <c:pt idx="52">
                  <c:v>537.53</c:v>
                </c:pt>
                <c:pt idx="53">
                  <c:v>537.53</c:v>
                </c:pt>
                <c:pt idx="54">
                  <c:v>537.53</c:v>
                </c:pt>
                <c:pt idx="55">
                  <c:v>537.53</c:v>
                </c:pt>
                <c:pt idx="56">
                  <c:v>537.53</c:v>
                </c:pt>
                <c:pt idx="57">
                  <c:v>537.53</c:v>
                </c:pt>
                <c:pt idx="58">
                  <c:v>537.53</c:v>
                </c:pt>
                <c:pt idx="59">
                  <c:v>537.53</c:v>
                </c:pt>
                <c:pt idx="60">
                  <c:v>537.53</c:v>
                </c:pt>
                <c:pt idx="61">
                  <c:v>537.53</c:v>
                </c:pt>
                <c:pt idx="62">
                  <c:v>527.53</c:v>
                </c:pt>
                <c:pt idx="63">
                  <c:v>527.53</c:v>
                </c:pt>
                <c:pt idx="64">
                  <c:v>527.53</c:v>
                </c:pt>
                <c:pt idx="65">
                  <c:v>527.53</c:v>
                </c:pt>
                <c:pt idx="66">
                  <c:v>527.53</c:v>
                </c:pt>
                <c:pt idx="67">
                  <c:v>527.53</c:v>
                </c:pt>
                <c:pt idx="68">
                  <c:v>527.53</c:v>
                </c:pt>
                <c:pt idx="69">
                  <c:v>527.53</c:v>
                </c:pt>
                <c:pt idx="70">
                  <c:v>527.53</c:v>
                </c:pt>
                <c:pt idx="71">
                  <c:v>527.53</c:v>
                </c:pt>
                <c:pt idx="72">
                  <c:v>527.53</c:v>
                </c:pt>
                <c:pt idx="73">
                  <c:v>527.53</c:v>
                </c:pt>
                <c:pt idx="74">
                  <c:v>527.53</c:v>
                </c:pt>
                <c:pt idx="75">
                  <c:v>527.53</c:v>
                </c:pt>
                <c:pt idx="76">
                  <c:v>527.53</c:v>
                </c:pt>
                <c:pt idx="77">
                  <c:v>527.53</c:v>
                </c:pt>
                <c:pt idx="78">
                  <c:v>527.53</c:v>
                </c:pt>
                <c:pt idx="79">
                  <c:v>527.53</c:v>
                </c:pt>
                <c:pt idx="80">
                  <c:v>527.53</c:v>
                </c:pt>
                <c:pt idx="81">
                  <c:v>527.53</c:v>
                </c:pt>
                <c:pt idx="82">
                  <c:v>527.53</c:v>
                </c:pt>
                <c:pt idx="83">
                  <c:v>527.53</c:v>
                </c:pt>
                <c:pt idx="84">
                  <c:v>527.53</c:v>
                </c:pt>
                <c:pt idx="85">
                  <c:v>527.53</c:v>
                </c:pt>
                <c:pt idx="86">
                  <c:v>527.53</c:v>
                </c:pt>
                <c:pt idx="87">
                  <c:v>527.53</c:v>
                </c:pt>
                <c:pt idx="88">
                  <c:v>527.53</c:v>
                </c:pt>
                <c:pt idx="89">
                  <c:v>527.53</c:v>
                </c:pt>
                <c:pt idx="90">
                  <c:v>527.53</c:v>
                </c:pt>
                <c:pt idx="91">
                  <c:v>527.53</c:v>
                </c:pt>
                <c:pt idx="92">
                  <c:v>209.52999999999997</c:v>
                </c:pt>
                <c:pt idx="93">
                  <c:v>209.52999999999997</c:v>
                </c:pt>
                <c:pt idx="94">
                  <c:v>209.52999999999997</c:v>
                </c:pt>
                <c:pt idx="95">
                  <c:v>209.52999999999997</c:v>
                </c:pt>
                <c:pt idx="96">
                  <c:v>209.52999999999997</c:v>
                </c:pt>
                <c:pt idx="97">
                  <c:v>209.52999999999997</c:v>
                </c:pt>
                <c:pt idx="98">
                  <c:v>209.52999999999997</c:v>
                </c:pt>
                <c:pt idx="99">
                  <c:v>209.52999999999997</c:v>
                </c:pt>
                <c:pt idx="100">
                  <c:v>209.52999999999997</c:v>
                </c:pt>
                <c:pt idx="101">
                  <c:v>209.52999999999997</c:v>
                </c:pt>
                <c:pt idx="102">
                  <c:v>209.52999999999997</c:v>
                </c:pt>
                <c:pt idx="103">
                  <c:v>209.52999999999997</c:v>
                </c:pt>
                <c:pt idx="104">
                  <c:v>209.52999999999997</c:v>
                </c:pt>
                <c:pt idx="105">
                  <c:v>209.52999999999997</c:v>
                </c:pt>
                <c:pt idx="106">
                  <c:v>209.52999999999997</c:v>
                </c:pt>
                <c:pt idx="107">
                  <c:v>209.52999999999997</c:v>
                </c:pt>
                <c:pt idx="108">
                  <c:v>209.52999999999997</c:v>
                </c:pt>
                <c:pt idx="109">
                  <c:v>209.52999999999997</c:v>
                </c:pt>
                <c:pt idx="110">
                  <c:v>209.52999999999997</c:v>
                </c:pt>
                <c:pt idx="111">
                  <c:v>209.52999999999997</c:v>
                </c:pt>
                <c:pt idx="112">
                  <c:v>209.52999999999997</c:v>
                </c:pt>
                <c:pt idx="113">
                  <c:v>209.52999999999997</c:v>
                </c:pt>
                <c:pt idx="114">
                  <c:v>209.52999999999997</c:v>
                </c:pt>
                <c:pt idx="115">
                  <c:v>209.52999999999997</c:v>
                </c:pt>
                <c:pt idx="116">
                  <c:v>209.52999999999997</c:v>
                </c:pt>
                <c:pt idx="117">
                  <c:v>209.52999999999997</c:v>
                </c:pt>
                <c:pt idx="118">
                  <c:v>209.52999999999997</c:v>
                </c:pt>
                <c:pt idx="119">
                  <c:v>209.52999999999997</c:v>
                </c:pt>
                <c:pt idx="120">
                  <c:v>209.52999999999997</c:v>
                </c:pt>
                <c:pt idx="121">
                  <c:v>209.52999999999997</c:v>
                </c:pt>
                <c:pt idx="122">
                  <c:v>209.52999999999997</c:v>
                </c:pt>
                <c:pt idx="123">
                  <c:v>210.52999999999997</c:v>
                </c:pt>
                <c:pt idx="124">
                  <c:v>210.52999999999997</c:v>
                </c:pt>
                <c:pt idx="125">
                  <c:v>210.52999999999997</c:v>
                </c:pt>
                <c:pt idx="126">
                  <c:v>210.52999999999997</c:v>
                </c:pt>
                <c:pt idx="127">
                  <c:v>210.52999999999997</c:v>
                </c:pt>
                <c:pt idx="128">
                  <c:v>210.52999999999997</c:v>
                </c:pt>
                <c:pt idx="129">
                  <c:v>210.52999999999997</c:v>
                </c:pt>
                <c:pt idx="130">
                  <c:v>210.52999999999997</c:v>
                </c:pt>
                <c:pt idx="131">
                  <c:v>210.52999999999997</c:v>
                </c:pt>
                <c:pt idx="132">
                  <c:v>210.52999999999997</c:v>
                </c:pt>
                <c:pt idx="133">
                  <c:v>210.52999999999997</c:v>
                </c:pt>
                <c:pt idx="134">
                  <c:v>210.52999999999997</c:v>
                </c:pt>
                <c:pt idx="135">
                  <c:v>210.52999999999997</c:v>
                </c:pt>
                <c:pt idx="136">
                  <c:v>210.52999999999997</c:v>
                </c:pt>
                <c:pt idx="137">
                  <c:v>210.52999999999997</c:v>
                </c:pt>
                <c:pt idx="138">
                  <c:v>210.52999999999997</c:v>
                </c:pt>
                <c:pt idx="139">
                  <c:v>210.52999999999997</c:v>
                </c:pt>
                <c:pt idx="140">
                  <c:v>210.52999999999997</c:v>
                </c:pt>
                <c:pt idx="141">
                  <c:v>210.52999999999997</c:v>
                </c:pt>
                <c:pt idx="142">
                  <c:v>210.52999999999997</c:v>
                </c:pt>
                <c:pt idx="143">
                  <c:v>210.52999999999997</c:v>
                </c:pt>
                <c:pt idx="144">
                  <c:v>210.52999999999997</c:v>
                </c:pt>
                <c:pt idx="145">
                  <c:v>210.52999999999997</c:v>
                </c:pt>
                <c:pt idx="146">
                  <c:v>210.52999999999997</c:v>
                </c:pt>
                <c:pt idx="147">
                  <c:v>210.52999999999997</c:v>
                </c:pt>
                <c:pt idx="148">
                  <c:v>210.52999999999997</c:v>
                </c:pt>
                <c:pt idx="149">
                  <c:v>210.52999999999997</c:v>
                </c:pt>
                <c:pt idx="150">
                  <c:v>210.52999999999997</c:v>
                </c:pt>
                <c:pt idx="151">
                  <c:v>210.52999999999997</c:v>
                </c:pt>
                <c:pt idx="152">
                  <c:v>210.52999999999997</c:v>
                </c:pt>
                <c:pt idx="153">
                  <c:v>210.52999999999997</c:v>
                </c:pt>
                <c:pt idx="154">
                  <c:v>210.52999999999997</c:v>
                </c:pt>
                <c:pt idx="155">
                  <c:v>210.52999999999997</c:v>
                </c:pt>
                <c:pt idx="156">
                  <c:v>210.52999999999997</c:v>
                </c:pt>
                <c:pt idx="157">
                  <c:v>210.52999999999997</c:v>
                </c:pt>
                <c:pt idx="158">
                  <c:v>210.52999999999997</c:v>
                </c:pt>
                <c:pt idx="159">
                  <c:v>210.52999999999997</c:v>
                </c:pt>
                <c:pt idx="160">
                  <c:v>210.52999999999997</c:v>
                </c:pt>
                <c:pt idx="161">
                  <c:v>210.52999999999997</c:v>
                </c:pt>
                <c:pt idx="162">
                  <c:v>210.52999999999997</c:v>
                </c:pt>
                <c:pt idx="163">
                  <c:v>210.52999999999997</c:v>
                </c:pt>
                <c:pt idx="164">
                  <c:v>210.52999999999997</c:v>
                </c:pt>
                <c:pt idx="165">
                  <c:v>210.52999999999997</c:v>
                </c:pt>
                <c:pt idx="166">
                  <c:v>210.52999999999997</c:v>
                </c:pt>
                <c:pt idx="167">
                  <c:v>210.52999999999997</c:v>
                </c:pt>
                <c:pt idx="168">
                  <c:v>210.52999999999997</c:v>
                </c:pt>
                <c:pt idx="169">
                  <c:v>210.52999999999997</c:v>
                </c:pt>
                <c:pt idx="170">
                  <c:v>210.52999999999997</c:v>
                </c:pt>
                <c:pt idx="171">
                  <c:v>210.52999999999997</c:v>
                </c:pt>
                <c:pt idx="172">
                  <c:v>210.52999999999997</c:v>
                </c:pt>
                <c:pt idx="173">
                  <c:v>210.52999999999997</c:v>
                </c:pt>
                <c:pt idx="174">
                  <c:v>210.52999999999997</c:v>
                </c:pt>
                <c:pt idx="175">
                  <c:v>210.52999999999997</c:v>
                </c:pt>
                <c:pt idx="176">
                  <c:v>210.52999999999997</c:v>
                </c:pt>
                <c:pt idx="177">
                  <c:v>210.52999999999997</c:v>
                </c:pt>
                <c:pt idx="178">
                  <c:v>210.52999999999997</c:v>
                </c:pt>
                <c:pt idx="179">
                  <c:v>210.52999999999997</c:v>
                </c:pt>
                <c:pt idx="180">
                  <c:v>210.52999999999997</c:v>
                </c:pt>
                <c:pt idx="181">
                  <c:v>210.52999999999997</c:v>
                </c:pt>
                <c:pt idx="182">
                  <c:v>210.52999999999997</c:v>
                </c:pt>
                <c:pt idx="183">
                  <c:v>210.52999999999997</c:v>
                </c:pt>
                <c:pt idx="184">
                  <c:v>206.32999999999998</c:v>
                </c:pt>
                <c:pt idx="185">
                  <c:v>206.32999999999998</c:v>
                </c:pt>
                <c:pt idx="186">
                  <c:v>206.32999999999998</c:v>
                </c:pt>
                <c:pt idx="187">
                  <c:v>206.32999999999998</c:v>
                </c:pt>
                <c:pt idx="188">
                  <c:v>206.32999999999998</c:v>
                </c:pt>
                <c:pt idx="189">
                  <c:v>206.32999999999998</c:v>
                </c:pt>
                <c:pt idx="190">
                  <c:v>206.32999999999998</c:v>
                </c:pt>
                <c:pt idx="191">
                  <c:v>206.32999999999998</c:v>
                </c:pt>
                <c:pt idx="192">
                  <c:v>206.32999999999998</c:v>
                </c:pt>
                <c:pt idx="193">
                  <c:v>206.32999999999998</c:v>
                </c:pt>
                <c:pt idx="194">
                  <c:v>206.32999999999998</c:v>
                </c:pt>
                <c:pt idx="195">
                  <c:v>206.32999999999998</c:v>
                </c:pt>
                <c:pt idx="196">
                  <c:v>206.32999999999998</c:v>
                </c:pt>
                <c:pt idx="197">
                  <c:v>206.32999999999998</c:v>
                </c:pt>
                <c:pt idx="198">
                  <c:v>206.32999999999998</c:v>
                </c:pt>
                <c:pt idx="199">
                  <c:v>206.32999999999998</c:v>
                </c:pt>
                <c:pt idx="200">
                  <c:v>206.32999999999998</c:v>
                </c:pt>
                <c:pt idx="201">
                  <c:v>206.32999999999998</c:v>
                </c:pt>
                <c:pt idx="202">
                  <c:v>206.32999999999998</c:v>
                </c:pt>
                <c:pt idx="203">
                  <c:v>206.32999999999998</c:v>
                </c:pt>
                <c:pt idx="204">
                  <c:v>206.32999999999998</c:v>
                </c:pt>
                <c:pt idx="205">
                  <c:v>206.32999999999998</c:v>
                </c:pt>
                <c:pt idx="206">
                  <c:v>206.32999999999998</c:v>
                </c:pt>
                <c:pt idx="207">
                  <c:v>206.32999999999998</c:v>
                </c:pt>
                <c:pt idx="208">
                  <c:v>206.32999999999998</c:v>
                </c:pt>
                <c:pt idx="209">
                  <c:v>206.32999999999998</c:v>
                </c:pt>
                <c:pt idx="210">
                  <c:v>206.32999999999998</c:v>
                </c:pt>
                <c:pt idx="211">
                  <c:v>206.32999999999998</c:v>
                </c:pt>
                <c:pt idx="212">
                  <c:v>206.32999999999998</c:v>
                </c:pt>
                <c:pt idx="213">
                  <c:v>206.32999999999998</c:v>
                </c:pt>
                <c:pt idx="214">
                  <c:v>206.32999999999998</c:v>
                </c:pt>
                <c:pt idx="215">
                  <c:v>206.95</c:v>
                </c:pt>
                <c:pt idx="216">
                  <c:v>206.95</c:v>
                </c:pt>
                <c:pt idx="217">
                  <c:v>206.95</c:v>
                </c:pt>
                <c:pt idx="218">
                  <c:v>206.95</c:v>
                </c:pt>
                <c:pt idx="219">
                  <c:v>206.95</c:v>
                </c:pt>
                <c:pt idx="220">
                  <c:v>206.95</c:v>
                </c:pt>
                <c:pt idx="221">
                  <c:v>206.95</c:v>
                </c:pt>
                <c:pt idx="222">
                  <c:v>206.95</c:v>
                </c:pt>
                <c:pt idx="223">
                  <c:v>206.95</c:v>
                </c:pt>
                <c:pt idx="224">
                  <c:v>206.95</c:v>
                </c:pt>
                <c:pt idx="225">
                  <c:v>206.95</c:v>
                </c:pt>
                <c:pt idx="226">
                  <c:v>206.95</c:v>
                </c:pt>
                <c:pt idx="227">
                  <c:v>206.95</c:v>
                </c:pt>
                <c:pt idx="228">
                  <c:v>206.95</c:v>
                </c:pt>
                <c:pt idx="229">
                  <c:v>206.95</c:v>
                </c:pt>
                <c:pt idx="230">
                  <c:v>206.95</c:v>
                </c:pt>
                <c:pt idx="231">
                  <c:v>206.95</c:v>
                </c:pt>
                <c:pt idx="232">
                  <c:v>206.95</c:v>
                </c:pt>
                <c:pt idx="233">
                  <c:v>206.95</c:v>
                </c:pt>
                <c:pt idx="234">
                  <c:v>206.95</c:v>
                </c:pt>
                <c:pt idx="235">
                  <c:v>206.95</c:v>
                </c:pt>
                <c:pt idx="236">
                  <c:v>206.95</c:v>
                </c:pt>
                <c:pt idx="237">
                  <c:v>206.95</c:v>
                </c:pt>
                <c:pt idx="238">
                  <c:v>206.95</c:v>
                </c:pt>
                <c:pt idx="239">
                  <c:v>206.95</c:v>
                </c:pt>
                <c:pt idx="240">
                  <c:v>206.95</c:v>
                </c:pt>
                <c:pt idx="241">
                  <c:v>206.95</c:v>
                </c:pt>
                <c:pt idx="242">
                  <c:v>206.95</c:v>
                </c:pt>
                <c:pt idx="243">
                  <c:v>200.95</c:v>
                </c:pt>
                <c:pt idx="244">
                  <c:v>200.95</c:v>
                </c:pt>
                <c:pt idx="245">
                  <c:v>200.95</c:v>
                </c:pt>
                <c:pt idx="246">
                  <c:v>200.95</c:v>
                </c:pt>
                <c:pt idx="247">
                  <c:v>200.95</c:v>
                </c:pt>
                <c:pt idx="248">
                  <c:v>200.95</c:v>
                </c:pt>
                <c:pt idx="249">
                  <c:v>200.95</c:v>
                </c:pt>
                <c:pt idx="250">
                  <c:v>200.95</c:v>
                </c:pt>
                <c:pt idx="251">
                  <c:v>200.95</c:v>
                </c:pt>
                <c:pt idx="252">
                  <c:v>200.95</c:v>
                </c:pt>
                <c:pt idx="253">
                  <c:v>200.95</c:v>
                </c:pt>
                <c:pt idx="254">
                  <c:v>200.95</c:v>
                </c:pt>
                <c:pt idx="255">
                  <c:v>200.95</c:v>
                </c:pt>
                <c:pt idx="256">
                  <c:v>200.95</c:v>
                </c:pt>
                <c:pt idx="257">
                  <c:v>200.95</c:v>
                </c:pt>
                <c:pt idx="258">
                  <c:v>200.95</c:v>
                </c:pt>
                <c:pt idx="259">
                  <c:v>200.95</c:v>
                </c:pt>
                <c:pt idx="260">
                  <c:v>200.95</c:v>
                </c:pt>
                <c:pt idx="261">
                  <c:v>200.95</c:v>
                </c:pt>
                <c:pt idx="262">
                  <c:v>200.95</c:v>
                </c:pt>
                <c:pt idx="263">
                  <c:v>200.95</c:v>
                </c:pt>
                <c:pt idx="264">
                  <c:v>200.95</c:v>
                </c:pt>
                <c:pt idx="265">
                  <c:v>200.95</c:v>
                </c:pt>
                <c:pt idx="266">
                  <c:v>200.95</c:v>
                </c:pt>
                <c:pt idx="267">
                  <c:v>200.95</c:v>
                </c:pt>
                <c:pt idx="268">
                  <c:v>200.95</c:v>
                </c:pt>
                <c:pt idx="269">
                  <c:v>200.95</c:v>
                </c:pt>
                <c:pt idx="270">
                  <c:v>200.95</c:v>
                </c:pt>
                <c:pt idx="271">
                  <c:v>200.95</c:v>
                </c:pt>
                <c:pt idx="272">
                  <c:v>200.95</c:v>
                </c:pt>
                <c:pt idx="273">
                  <c:v>200.95</c:v>
                </c:pt>
                <c:pt idx="274">
                  <c:v>270.95999999999998</c:v>
                </c:pt>
                <c:pt idx="275">
                  <c:v>270.95999999999998</c:v>
                </c:pt>
                <c:pt idx="276">
                  <c:v>270.95999999999998</c:v>
                </c:pt>
                <c:pt idx="277">
                  <c:v>270.95999999999998</c:v>
                </c:pt>
                <c:pt idx="278">
                  <c:v>270.95999999999998</c:v>
                </c:pt>
                <c:pt idx="279">
                  <c:v>270.95999999999998</c:v>
                </c:pt>
                <c:pt idx="280">
                  <c:v>270.95999999999998</c:v>
                </c:pt>
                <c:pt idx="281">
                  <c:v>270.95999999999998</c:v>
                </c:pt>
                <c:pt idx="282">
                  <c:v>270.95999999999998</c:v>
                </c:pt>
                <c:pt idx="283">
                  <c:v>270.95999999999998</c:v>
                </c:pt>
                <c:pt idx="284">
                  <c:v>270.95999999999998</c:v>
                </c:pt>
                <c:pt idx="285">
                  <c:v>270.95999999999998</c:v>
                </c:pt>
                <c:pt idx="286">
                  <c:v>270.95999999999998</c:v>
                </c:pt>
                <c:pt idx="287">
                  <c:v>270.95999999999998</c:v>
                </c:pt>
                <c:pt idx="288">
                  <c:v>270.95999999999998</c:v>
                </c:pt>
                <c:pt idx="289">
                  <c:v>270.95999999999998</c:v>
                </c:pt>
                <c:pt idx="290">
                  <c:v>270.95999999999998</c:v>
                </c:pt>
                <c:pt idx="291">
                  <c:v>270.95999999999998</c:v>
                </c:pt>
                <c:pt idx="292">
                  <c:v>270.95999999999998</c:v>
                </c:pt>
                <c:pt idx="293">
                  <c:v>270.95999999999998</c:v>
                </c:pt>
                <c:pt idx="294">
                  <c:v>270.95999999999998</c:v>
                </c:pt>
                <c:pt idx="295">
                  <c:v>270.95999999999998</c:v>
                </c:pt>
                <c:pt idx="296">
                  <c:v>270.95999999999998</c:v>
                </c:pt>
                <c:pt idx="297">
                  <c:v>270.95999999999998</c:v>
                </c:pt>
                <c:pt idx="298">
                  <c:v>270.95999999999998</c:v>
                </c:pt>
                <c:pt idx="299">
                  <c:v>270.95999999999998</c:v>
                </c:pt>
                <c:pt idx="300">
                  <c:v>270.95999999999998</c:v>
                </c:pt>
                <c:pt idx="301">
                  <c:v>270.95999999999998</c:v>
                </c:pt>
                <c:pt idx="302">
                  <c:v>270.95999999999998</c:v>
                </c:pt>
                <c:pt idx="303">
                  <c:v>270.95999999999998</c:v>
                </c:pt>
                <c:pt idx="304">
                  <c:v>480.96</c:v>
                </c:pt>
                <c:pt idx="305">
                  <c:v>480.96</c:v>
                </c:pt>
                <c:pt idx="306">
                  <c:v>480.96</c:v>
                </c:pt>
                <c:pt idx="307">
                  <c:v>480.96</c:v>
                </c:pt>
                <c:pt idx="308">
                  <c:v>480.96</c:v>
                </c:pt>
                <c:pt idx="309">
                  <c:v>480.96</c:v>
                </c:pt>
                <c:pt idx="310">
                  <c:v>480.96</c:v>
                </c:pt>
                <c:pt idx="311">
                  <c:v>480.96</c:v>
                </c:pt>
                <c:pt idx="312">
                  <c:v>480.96</c:v>
                </c:pt>
                <c:pt idx="313">
                  <c:v>480.96</c:v>
                </c:pt>
                <c:pt idx="314">
                  <c:v>480.96</c:v>
                </c:pt>
                <c:pt idx="315">
                  <c:v>480.96</c:v>
                </c:pt>
                <c:pt idx="316">
                  <c:v>480.96</c:v>
                </c:pt>
                <c:pt idx="317">
                  <c:v>480.96</c:v>
                </c:pt>
                <c:pt idx="318">
                  <c:v>480.96</c:v>
                </c:pt>
                <c:pt idx="319">
                  <c:v>480.96</c:v>
                </c:pt>
                <c:pt idx="320">
                  <c:v>480.96</c:v>
                </c:pt>
                <c:pt idx="321">
                  <c:v>480.96</c:v>
                </c:pt>
                <c:pt idx="322">
                  <c:v>480.96</c:v>
                </c:pt>
                <c:pt idx="323">
                  <c:v>480.96</c:v>
                </c:pt>
                <c:pt idx="324">
                  <c:v>480.96</c:v>
                </c:pt>
                <c:pt idx="325">
                  <c:v>480.96</c:v>
                </c:pt>
                <c:pt idx="326">
                  <c:v>480.96</c:v>
                </c:pt>
                <c:pt idx="327">
                  <c:v>480.96</c:v>
                </c:pt>
                <c:pt idx="328">
                  <c:v>480.96</c:v>
                </c:pt>
                <c:pt idx="329">
                  <c:v>480.96</c:v>
                </c:pt>
                <c:pt idx="330">
                  <c:v>480.96</c:v>
                </c:pt>
                <c:pt idx="331">
                  <c:v>480.96</c:v>
                </c:pt>
                <c:pt idx="332">
                  <c:v>480.96</c:v>
                </c:pt>
                <c:pt idx="333">
                  <c:v>480.96</c:v>
                </c:pt>
                <c:pt idx="334">
                  <c:v>480.96</c:v>
                </c:pt>
                <c:pt idx="335">
                  <c:v>480.34</c:v>
                </c:pt>
                <c:pt idx="336">
                  <c:v>480.34</c:v>
                </c:pt>
                <c:pt idx="337">
                  <c:v>480.34</c:v>
                </c:pt>
                <c:pt idx="338">
                  <c:v>480.34</c:v>
                </c:pt>
                <c:pt idx="339">
                  <c:v>480.34</c:v>
                </c:pt>
                <c:pt idx="340">
                  <c:v>480.34</c:v>
                </c:pt>
                <c:pt idx="341">
                  <c:v>480.34</c:v>
                </c:pt>
                <c:pt idx="342">
                  <c:v>480.34</c:v>
                </c:pt>
                <c:pt idx="343">
                  <c:v>480.34</c:v>
                </c:pt>
                <c:pt idx="344">
                  <c:v>480.34</c:v>
                </c:pt>
                <c:pt idx="345">
                  <c:v>480.34</c:v>
                </c:pt>
                <c:pt idx="346">
                  <c:v>480.34</c:v>
                </c:pt>
                <c:pt idx="347">
                  <c:v>480.34</c:v>
                </c:pt>
                <c:pt idx="348">
                  <c:v>480.34</c:v>
                </c:pt>
                <c:pt idx="349">
                  <c:v>480.34</c:v>
                </c:pt>
                <c:pt idx="350">
                  <c:v>480.34</c:v>
                </c:pt>
                <c:pt idx="351">
                  <c:v>480.34</c:v>
                </c:pt>
                <c:pt idx="352">
                  <c:v>480.34</c:v>
                </c:pt>
                <c:pt idx="353">
                  <c:v>480.34</c:v>
                </c:pt>
                <c:pt idx="354">
                  <c:v>480.34</c:v>
                </c:pt>
                <c:pt idx="355">
                  <c:v>480.34</c:v>
                </c:pt>
                <c:pt idx="356">
                  <c:v>480.34</c:v>
                </c:pt>
                <c:pt idx="357">
                  <c:v>480.34</c:v>
                </c:pt>
                <c:pt idx="358">
                  <c:v>480.34</c:v>
                </c:pt>
                <c:pt idx="359">
                  <c:v>480.34</c:v>
                </c:pt>
                <c:pt idx="360">
                  <c:v>480.34</c:v>
                </c:pt>
                <c:pt idx="361">
                  <c:v>480.34</c:v>
                </c:pt>
                <c:pt idx="362">
                  <c:v>480.34</c:v>
                </c:pt>
                <c:pt idx="363">
                  <c:v>480.34</c:v>
                </c:pt>
                <c:pt idx="364">
                  <c:v>480.34</c:v>
                </c:pt>
              </c:numCache>
            </c:numRef>
          </c:val>
          <c:extLst>
            <c:ext xmlns:c16="http://schemas.microsoft.com/office/drawing/2014/chart" uri="{C3380CC4-5D6E-409C-BE32-E72D297353CC}">
              <c16:uniqueId val="{00000000-2242-49F8-AA28-5144B64B8EDF}"/>
            </c:ext>
          </c:extLst>
        </c:ser>
        <c:ser>
          <c:idx val="1"/>
          <c:order val="2"/>
          <c:tx>
            <c:strRef>
              <c:f>'5. Historical demand'!$D$40:$D$41</c:f>
              <c:strCache>
                <c:ptCount val="2"/>
                <c:pt idx="0">
                  <c:v>Contracted firm capacity-storage</c:v>
                </c:pt>
                <c:pt idx="1">
                  <c:v>TJ/day</c:v>
                </c:pt>
              </c:strCache>
            </c:strRef>
          </c:tx>
          <c:spPr>
            <a:solidFill>
              <a:srgbClr val="FFECC9"/>
            </a:solidFill>
            <a:ln w="28575" cap="rnd">
              <a:solidFill>
                <a:srgbClr val="FFECC9"/>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demand'!$D$43:$D$408</c:f>
              <c:numCache>
                <c:formatCode>_(* #,##0_);_(* \(#,##0\);_(* "-"_);_(@_)</c:formatCode>
                <c:ptCount val="366"/>
              </c:numCache>
            </c:numRef>
          </c:val>
          <c:extLst>
            <c:ext xmlns:c16="http://schemas.microsoft.com/office/drawing/2014/chart" uri="{C3380CC4-5D6E-409C-BE32-E72D297353CC}">
              <c16:uniqueId val="{00000001-2242-49F8-AA28-5144B64B8EDF}"/>
            </c:ext>
          </c:extLst>
        </c:ser>
        <c:dLbls>
          <c:showLegendKey val="0"/>
          <c:showVal val="0"/>
          <c:showCatName val="0"/>
          <c:showSerName val="0"/>
          <c:showPercent val="0"/>
          <c:showBubbleSize val="0"/>
        </c:dLbls>
        <c:gapWidth val="150"/>
        <c:overlap val="100"/>
        <c:axId val="238084960"/>
        <c:axId val="1"/>
      </c:barChart>
      <c:lineChart>
        <c:grouping val="standard"/>
        <c:varyColors val="0"/>
        <c:ser>
          <c:idx val="2"/>
          <c:order val="1"/>
          <c:tx>
            <c:strRef>
              <c:f>'5. Historical demand'!$E$40:$E$41</c:f>
              <c:strCache>
                <c:ptCount val="2"/>
                <c:pt idx="0">
                  <c:v>Utilised capacity</c:v>
                </c:pt>
                <c:pt idx="1">
                  <c:v>TJ/day</c:v>
                </c:pt>
              </c:strCache>
            </c:strRef>
          </c:tx>
          <c:spPr>
            <a:ln>
              <a:solidFill>
                <a:srgbClr val="2B7AAF"/>
              </a:solidFill>
            </a:ln>
          </c:spPr>
          <c:marker>
            <c:symbol val="none"/>
          </c:marker>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demand'!$E$43:$E$408</c:f>
              <c:numCache>
                <c:formatCode>_(* #,##0_);_(* \(#,##0\);_(* "-"_);_(@_)</c:formatCode>
                <c:ptCount val="366"/>
                <c:pt idx="0">
                  <c:v>399.17</c:v>
                </c:pt>
                <c:pt idx="1">
                  <c:v>389.24400000000003</c:v>
                </c:pt>
                <c:pt idx="2">
                  <c:v>384.57400000000001</c:v>
                </c:pt>
                <c:pt idx="3">
                  <c:v>401.40800000000002</c:v>
                </c:pt>
                <c:pt idx="4">
                  <c:v>399.99599999999998</c:v>
                </c:pt>
                <c:pt idx="5">
                  <c:v>415.596</c:v>
                </c:pt>
                <c:pt idx="6">
                  <c:v>396.49400000000003</c:v>
                </c:pt>
                <c:pt idx="7">
                  <c:v>429.54199999999997</c:v>
                </c:pt>
                <c:pt idx="8">
                  <c:v>317.88499999999999</c:v>
                </c:pt>
                <c:pt idx="9">
                  <c:v>282.505</c:v>
                </c:pt>
                <c:pt idx="10">
                  <c:v>371.50200000000001</c:v>
                </c:pt>
                <c:pt idx="11">
                  <c:v>250.00200000000001</c:v>
                </c:pt>
                <c:pt idx="12">
                  <c:v>318.50400000000002</c:v>
                </c:pt>
                <c:pt idx="13">
                  <c:v>461.80200000000002</c:v>
                </c:pt>
                <c:pt idx="14">
                  <c:v>431.14</c:v>
                </c:pt>
                <c:pt idx="15">
                  <c:v>438.41800000000001</c:v>
                </c:pt>
                <c:pt idx="16">
                  <c:v>459.14400000000001</c:v>
                </c:pt>
                <c:pt idx="17">
                  <c:v>474.44299999999998</c:v>
                </c:pt>
                <c:pt idx="18">
                  <c:v>430.08199999999999</c:v>
                </c:pt>
                <c:pt idx="19">
                  <c:v>407.00200000000001</c:v>
                </c:pt>
                <c:pt idx="20">
                  <c:v>433.31</c:v>
                </c:pt>
                <c:pt idx="21">
                  <c:v>381.79700000000003</c:v>
                </c:pt>
                <c:pt idx="22">
                  <c:v>433.64499999999998</c:v>
                </c:pt>
                <c:pt idx="23">
                  <c:v>401.13200000000001</c:v>
                </c:pt>
                <c:pt idx="24">
                  <c:v>367.99200000000002</c:v>
                </c:pt>
                <c:pt idx="25">
                  <c:v>404</c:v>
                </c:pt>
                <c:pt idx="26">
                  <c:v>331</c:v>
                </c:pt>
                <c:pt idx="27">
                  <c:v>356.49799999999999</c:v>
                </c:pt>
                <c:pt idx="28">
                  <c:v>319.5</c:v>
                </c:pt>
                <c:pt idx="29">
                  <c:v>249.99600000000001</c:v>
                </c:pt>
                <c:pt idx="30">
                  <c:v>315.00099999999998</c:v>
                </c:pt>
                <c:pt idx="31">
                  <c:v>334.49900000000002</c:v>
                </c:pt>
                <c:pt idx="32">
                  <c:v>310</c:v>
                </c:pt>
                <c:pt idx="33">
                  <c:v>219.76599999999999</c:v>
                </c:pt>
                <c:pt idx="34">
                  <c:v>186.93600000000001</c:v>
                </c:pt>
                <c:pt idx="35">
                  <c:v>259.87700000000001</c:v>
                </c:pt>
                <c:pt idx="36">
                  <c:v>274</c:v>
                </c:pt>
                <c:pt idx="37">
                  <c:v>303.99599999999998</c:v>
                </c:pt>
                <c:pt idx="38">
                  <c:v>270.00400000000002</c:v>
                </c:pt>
                <c:pt idx="39">
                  <c:v>342.15600000000001</c:v>
                </c:pt>
                <c:pt idx="40">
                  <c:v>258.98700000000002</c:v>
                </c:pt>
                <c:pt idx="41">
                  <c:v>285</c:v>
                </c:pt>
                <c:pt idx="42">
                  <c:v>289.99799999999999</c:v>
                </c:pt>
                <c:pt idx="43">
                  <c:v>229.99799999999999</c:v>
                </c:pt>
                <c:pt idx="44">
                  <c:v>259.99700000000001</c:v>
                </c:pt>
                <c:pt idx="45">
                  <c:v>245.12</c:v>
                </c:pt>
                <c:pt idx="46">
                  <c:v>178.16800000000001</c:v>
                </c:pt>
                <c:pt idx="47">
                  <c:v>125.08799999999999</c:v>
                </c:pt>
                <c:pt idx="48">
                  <c:v>131.637</c:v>
                </c:pt>
                <c:pt idx="49">
                  <c:v>402.00799999999998</c:v>
                </c:pt>
                <c:pt idx="50">
                  <c:v>248</c:v>
                </c:pt>
                <c:pt idx="51">
                  <c:v>231.99600000000001</c:v>
                </c:pt>
                <c:pt idx="52">
                  <c:v>246.49299999999999</c:v>
                </c:pt>
                <c:pt idx="53">
                  <c:v>204.548</c:v>
                </c:pt>
                <c:pt idx="54">
                  <c:v>17.239000000000001</c:v>
                </c:pt>
                <c:pt idx="55">
                  <c:v>11.667999999999999</c:v>
                </c:pt>
                <c:pt idx="56">
                  <c:v>188.149</c:v>
                </c:pt>
                <c:pt idx="57">
                  <c:v>215.7</c:v>
                </c:pt>
                <c:pt idx="58">
                  <c:v>78.188999999999993</c:v>
                </c:pt>
                <c:pt idx="59">
                  <c:v>197.15899999999999</c:v>
                </c:pt>
                <c:pt idx="60">
                  <c:v>168.21799999999999</c:v>
                </c:pt>
                <c:pt idx="61">
                  <c:v>20.181000000000001</c:v>
                </c:pt>
                <c:pt idx="62">
                  <c:v>57.899000000000001</c:v>
                </c:pt>
                <c:pt idx="63">
                  <c:v>301.995</c:v>
                </c:pt>
                <c:pt idx="64">
                  <c:v>243.999</c:v>
                </c:pt>
                <c:pt idx="65">
                  <c:v>242.499</c:v>
                </c:pt>
                <c:pt idx="66">
                  <c:v>202.24600000000001</c:v>
                </c:pt>
                <c:pt idx="67">
                  <c:v>147.001</c:v>
                </c:pt>
                <c:pt idx="68">
                  <c:v>127.104</c:v>
                </c:pt>
                <c:pt idx="69">
                  <c:v>173.15299999999999</c:v>
                </c:pt>
                <c:pt idx="70">
                  <c:v>152.01900000000001</c:v>
                </c:pt>
                <c:pt idx="71">
                  <c:v>155.517</c:v>
                </c:pt>
                <c:pt idx="72">
                  <c:v>102.30500000000001</c:v>
                </c:pt>
                <c:pt idx="73">
                  <c:v>196.89599999999999</c:v>
                </c:pt>
                <c:pt idx="74">
                  <c:v>220.06899999999999</c:v>
                </c:pt>
                <c:pt idx="75">
                  <c:v>5.8419999999999996</c:v>
                </c:pt>
                <c:pt idx="76">
                  <c:v>151.78299999999999</c:v>
                </c:pt>
                <c:pt idx="77">
                  <c:v>232.495</c:v>
                </c:pt>
                <c:pt idx="78">
                  <c:v>211.81200000000001</c:v>
                </c:pt>
                <c:pt idx="79">
                  <c:v>178.33</c:v>
                </c:pt>
                <c:pt idx="80">
                  <c:v>179.50899999999999</c:v>
                </c:pt>
                <c:pt idx="81">
                  <c:v>165.47</c:v>
                </c:pt>
                <c:pt idx="82">
                  <c:v>130.75299999999999</c:v>
                </c:pt>
                <c:pt idx="83">
                  <c:v>138.27099999999999</c:v>
                </c:pt>
                <c:pt idx="84">
                  <c:v>82.534000000000006</c:v>
                </c:pt>
                <c:pt idx="85">
                  <c:v>71.88</c:v>
                </c:pt>
                <c:pt idx="86">
                  <c:v>24.055</c:v>
                </c:pt>
                <c:pt idx="87">
                  <c:v>214.1</c:v>
                </c:pt>
                <c:pt idx="88">
                  <c:v>84.513000000000005</c:v>
                </c:pt>
                <c:pt idx="89">
                  <c:v>0.40500000000000003</c:v>
                </c:pt>
                <c:pt idx="90">
                  <c:v>102</c:v>
                </c:pt>
                <c:pt idx="91">
                  <c:v>25</c:v>
                </c:pt>
                <c:pt idx="92">
                  <c:v>70</c:v>
                </c:pt>
                <c:pt idx="93">
                  <c:v>46.198</c:v>
                </c:pt>
                <c:pt idx="94">
                  <c:v>20</c:v>
                </c:pt>
                <c:pt idx="95">
                  <c:v>20.062000000000001</c:v>
                </c:pt>
                <c:pt idx="96">
                  <c:v>20.651</c:v>
                </c:pt>
                <c:pt idx="97">
                  <c:v>20.704000000000001</c:v>
                </c:pt>
                <c:pt idx="98">
                  <c:v>20.805</c:v>
                </c:pt>
                <c:pt idx="99">
                  <c:v>68.3</c:v>
                </c:pt>
                <c:pt idx="100">
                  <c:v>35.499000000000002</c:v>
                </c:pt>
                <c:pt idx="101">
                  <c:v>4.0860000000000003</c:v>
                </c:pt>
                <c:pt idx="102">
                  <c:v>11</c:v>
                </c:pt>
                <c:pt idx="103">
                  <c:v>20.8</c:v>
                </c:pt>
                <c:pt idx="104">
                  <c:v>20.943000000000001</c:v>
                </c:pt>
                <c:pt idx="105">
                  <c:v>10.108000000000001</c:v>
                </c:pt>
                <c:pt idx="106">
                  <c:v>106.999</c:v>
                </c:pt>
                <c:pt idx="107">
                  <c:v>64</c:v>
                </c:pt>
                <c:pt idx="108">
                  <c:v>21.196999999999999</c:v>
                </c:pt>
                <c:pt idx="109">
                  <c:v>46.999000000000002</c:v>
                </c:pt>
                <c:pt idx="110">
                  <c:v>29</c:v>
                </c:pt>
                <c:pt idx="111">
                  <c:v>48.502000000000002</c:v>
                </c:pt>
                <c:pt idx="112">
                  <c:v>82.5</c:v>
                </c:pt>
                <c:pt idx="113">
                  <c:v>60.029000000000003</c:v>
                </c:pt>
                <c:pt idx="114">
                  <c:v>53.622999999999998</c:v>
                </c:pt>
                <c:pt idx="115">
                  <c:v>120.355</c:v>
                </c:pt>
                <c:pt idx="116">
                  <c:v>110.598</c:v>
                </c:pt>
                <c:pt idx="117">
                  <c:v>77.697999999999993</c:v>
                </c:pt>
                <c:pt idx="118">
                  <c:v>8.91</c:v>
                </c:pt>
                <c:pt idx="119">
                  <c:v>7.8929999999999998</c:v>
                </c:pt>
                <c:pt idx="120">
                  <c:v>13.851000000000001</c:v>
                </c:pt>
                <c:pt idx="121">
                  <c:v>5.1159999999999997</c:v>
                </c:pt>
                <c:pt idx="122">
                  <c:v>9.7279999999999998</c:v>
                </c:pt>
                <c:pt idx="123">
                  <c:v>63.670999999999999</c:v>
                </c:pt>
                <c:pt idx="124">
                  <c:v>17.713000000000001</c:v>
                </c:pt>
                <c:pt idx="125">
                  <c:v>16.321999999999999</c:v>
                </c:pt>
                <c:pt idx="126">
                  <c:v>37.307000000000002</c:v>
                </c:pt>
                <c:pt idx="127">
                  <c:v>21.643999999999998</c:v>
                </c:pt>
                <c:pt idx="128">
                  <c:v>25.172999999999998</c:v>
                </c:pt>
                <c:pt idx="129">
                  <c:v>43.731000000000002</c:v>
                </c:pt>
                <c:pt idx="130">
                  <c:v>16.901</c:v>
                </c:pt>
                <c:pt idx="131">
                  <c:v>26.998999999999999</c:v>
                </c:pt>
                <c:pt idx="132">
                  <c:v>22.06</c:v>
                </c:pt>
                <c:pt idx="133">
                  <c:v>28.2</c:v>
                </c:pt>
                <c:pt idx="134">
                  <c:v>45.616999999999997</c:v>
                </c:pt>
                <c:pt idx="135">
                  <c:v>29.585999999999999</c:v>
                </c:pt>
                <c:pt idx="136">
                  <c:v>36.835999999999999</c:v>
                </c:pt>
                <c:pt idx="137">
                  <c:v>35.540999999999997</c:v>
                </c:pt>
                <c:pt idx="138">
                  <c:v>37.06</c:v>
                </c:pt>
                <c:pt idx="139">
                  <c:v>24.001000000000001</c:v>
                </c:pt>
                <c:pt idx="140">
                  <c:v>26.3</c:v>
                </c:pt>
                <c:pt idx="141">
                  <c:v>19.009</c:v>
                </c:pt>
                <c:pt idx="142">
                  <c:v>37.332000000000001</c:v>
                </c:pt>
                <c:pt idx="143">
                  <c:v>10</c:v>
                </c:pt>
                <c:pt idx="144">
                  <c:v>0.13400000000000001</c:v>
                </c:pt>
                <c:pt idx="145">
                  <c:v>48.189</c:v>
                </c:pt>
                <c:pt idx="146">
                  <c:v>62.118000000000002</c:v>
                </c:pt>
                <c:pt idx="147">
                  <c:v>59.6</c:v>
                </c:pt>
                <c:pt idx="148">
                  <c:v>45.914000000000001</c:v>
                </c:pt>
                <c:pt idx="149">
                  <c:v>31.507000000000001</c:v>
                </c:pt>
                <c:pt idx="150">
                  <c:v>10</c:v>
                </c:pt>
                <c:pt idx="151">
                  <c:v>0.59499999999999997</c:v>
                </c:pt>
                <c:pt idx="152">
                  <c:v>3.37</c:v>
                </c:pt>
                <c:pt idx="153">
                  <c:v>0.39700000000000002</c:v>
                </c:pt>
                <c:pt idx="154">
                  <c:v>27.754000000000001</c:v>
                </c:pt>
                <c:pt idx="155">
                  <c:v>0.08</c:v>
                </c:pt>
                <c:pt idx="156">
                  <c:v>1.2E-2</c:v>
                </c:pt>
                <c:pt idx="157">
                  <c:v>1.0999999999999999E-2</c:v>
                </c:pt>
                <c:pt idx="158">
                  <c:v>3.254</c:v>
                </c:pt>
                <c:pt idx="159">
                  <c:v>0.105</c:v>
                </c:pt>
                <c:pt idx="160">
                  <c:v>2.9000000000000001E-2</c:v>
                </c:pt>
                <c:pt idx="161">
                  <c:v>0</c:v>
                </c:pt>
                <c:pt idx="162">
                  <c:v>7.6999999999999999E-2</c:v>
                </c:pt>
                <c:pt idx="163">
                  <c:v>43.511000000000003</c:v>
                </c:pt>
                <c:pt idx="164">
                  <c:v>61.643999999999998</c:v>
                </c:pt>
                <c:pt idx="165">
                  <c:v>43.65</c:v>
                </c:pt>
                <c:pt idx="166">
                  <c:v>41.018999999999998</c:v>
                </c:pt>
                <c:pt idx="167">
                  <c:v>27.875</c:v>
                </c:pt>
                <c:pt idx="168">
                  <c:v>9.2899999999999991</c:v>
                </c:pt>
                <c:pt idx="169">
                  <c:v>20.524999999999999</c:v>
                </c:pt>
                <c:pt idx="170">
                  <c:v>31.308</c:v>
                </c:pt>
                <c:pt idx="171">
                  <c:v>30</c:v>
                </c:pt>
                <c:pt idx="172">
                  <c:v>21.452000000000002</c:v>
                </c:pt>
                <c:pt idx="173">
                  <c:v>30</c:v>
                </c:pt>
                <c:pt idx="174">
                  <c:v>10.346</c:v>
                </c:pt>
                <c:pt idx="175">
                  <c:v>8.1940000000000008</c:v>
                </c:pt>
                <c:pt idx="176">
                  <c:v>8</c:v>
                </c:pt>
                <c:pt idx="177">
                  <c:v>12.092000000000001</c:v>
                </c:pt>
                <c:pt idx="178">
                  <c:v>20.337</c:v>
                </c:pt>
                <c:pt idx="179">
                  <c:v>20.04</c:v>
                </c:pt>
                <c:pt idx="180">
                  <c:v>10</c:v>
                </c:pt>
                <c:pt idx="181">
                  <c:v>10.053000000000001</c:v>
                </c:pt>
                <c:pt idx="182">
                  <c:v>68.105999999999995</c:v>
                </c:pt>
                <c:pt idx="183">
                  <c:v>80.391000000000005</c:v>
                </c:pt>
                <c:pt idx="184">
                  <c:v>0.05</c:v>
                </c:pt>
                <c:pt idx="185">
                  <c:v>83.125</c:v>
                </c:pt>
                <c:pt idx="186">
                  <c:v>82.935000000000002</c:v>
                </c:pt>
                <c:pt idx="187">
                  <c:v>0.35299999999999998</c:v>
                </c:pt>
                <c:pt idx="188">
                  <c:v>28.216000000000001</c:v>
                </c:pt>
                <c:pt idx="189">
                  <c:v>13.143000000000001</c:v>
                </c:pt>
                <c:pt idx="190">
                  <c:v>0.252</c:v>
                </c:pt>
                <c:pt idx="191">
                  <c:v>20</c:v>
                </c:pt>
                <c:pt idx="192">
                  <c:v>30</c:v>
                </c:pt>
                <c:pt idx="193">
                  <c:v>15</c:v>
                </c:pt>
                <c:pt idx="194">
                  <c:v>2.2730000000000001</c:v>
                </c:pt>
                <c:pt idx="195">
                  <c:v>1.175</c:v>
                </c:pt>
                <c:pt idx="196">
                  <c:v>0.313</c:v>
                </c:pt>
                <c:pt idx="197">
                  <c:v>0.93300000000000005</c:v>
                </c:pt>
                <c:pt idx="198">
                  <c:v>4.4969999999999999</c:v>
                </c:pt>
                <c:pt idx="199">
                  <c:v>0.125</c:v>
                </c:pt>
                <c:pt idx="200">
                  <c:v>5.6929999999999996</c:v>
                </c:pt>
                <c:pt idx="201">
                  <c:v>1.7999999999999999E-2</c:v>
                </c:pt>
                <c:pt idx="202">
                  <c:v>0</c:v>
                </c:pt>
                <c:pt idx="203">
                  <c:v>3.4000000000000002E-2</c:v>
                </c:pt>
                <c:pt idx="204">
                  <c:v>13.292</c:v>
                </c:pt>
                <c:pt idx="205">
                  <c:v>11.101000000000001</c:v>
                </c:pt>
                <c:pt idx="206">
                  <c:v>5.7850000000000001</c:v>
                </c:pt>
                <c:pt idx="207">
                  <c:v>12.92</c:v>
                </c:pt>
                <c:pt idx="208">
                  <c:v>23.381</c:v>
                </c:pt>
                <c:pt idx="209">
                  <c:v>10.425000000000001</c:v>
                </c:pt>
                <c:pt idx="210">
                  <c:v>44.396999999999998</c:v>
                </c:pt>
                <c:pt idx="211">
                  <c:v>22.850999999999999</c:v>
                </c:pt>
                <c:pt idx="212">
                  <c:v>15.956</c:v>
                </c:pt>
                <c:pt idx="213">
                  <c:v>0.19700000000000001</c:v>
                </c:pt>
                <c:pt idx="214">
                  <c:v>9.2370000000000001</c:v>
                </c:pt>
                <c:pt idx="215">
                  <c:v>27.193000000000001</c:v>
                </c:pt>
                <c:pt idx="216">
                  <c:v>44.606000000000002</c:v>
                </c:pt>
                <c:pt idx="217">
                  <c:v>34.213000000000001</c:v>
                </c:pt>
                <c:pt idx="218">
                  <c:v>32.487000000000002</c:v>
                </c:pt>
                <c:pt idx="219">
                  <c:v>29.004999999999999</c:v>
                </c:pt>
                <c:pt idx="220">
                  <c:v>18.786999999999999</c:v>
                </c:pt>
                <c:pt idx="221">
                  <c:v>0.52900000000000003</c:v>
                </c:pt>
                <c:pt idx="222">
                  <c:v>0.45600000000000002</c:v>
                </c:pt>
                <c:pt idx="223">
                  <c:v>0.29599999999999999</c:v>
                </c:pt>
                <c:pt idx="224">
                  <c:v>0.54500000000000004</c:v>
                </c:pt>
                <c:pt idx="225">
                  <c:v>45.171999999999997</c:v>
                </c:pt>
                <c:pt idx="226">
                  <c:v>36.665999999999997</c:v>
                </c:pt>
                <c:pt idx="227">
                  <c:v>1.39</c:v>
                </c:pt>
                <c:pt idx="228">
                  <c:v>1.204</c:v>
                </c:pt>
                <c:pt idx="229">
                  <c:v>0.26400000000000001</c:v>
                </c:pt>
                <c:pt idx="230">
                  <c:v>0.39600000000000002</c:v>
                </c:pt>
                <c:pt idx="231">
                  <c:v>12.58</c:v>
                </c:pt>
                <c:pt idx="232">
                  <c:v>0.56299999999999994</c:v>
                </c:pt>
                <c:pt idx="233">
                  <c:v>0.41099999999999998</c:v>
                </c:pt>
                <c:pt idx="234">
                  <c:v>19.029</c:v>
                </c:pt>
                <c:pt idx="235">
                  <c:v>25.553999999999998</c:v>
                </c:pt>
                <c:pt idx="236">
                  <c:v>18.77</c:v>
                </c:pt>
                <c:pt idx="237">
                  <c:v>13.989000000000001</c:v>
                </c:pt>
                <c:pt idx="238">
                  <c:v>12</c:v>
                </c:pt>
                <c:pt idx="239">
                  <c:v>57.198999999999998</c:v>
                </c:pt>
                <c:pt idx="240">
                  <c:v>167.15100000000001</c:v>
                </c:pt>
                <c:pt idx="241">
                  <c:v>12.82</c:v>
                </c:pt>
                <c:pt idx="242">
                  <c:v>106.355</c:v>
                </c:pt>
                <c:pt idx="243">
                  <c:v>36.667999999999999</c:v>
                </c:pt>
                <c:pt idx="244">
                  <c:v>46.267000000000003</c:v>
                </c:pt>
                <c:pt idx="245">
                  <c:v>10.756</c:v>
                </c:pt>
                <c:pt idx="246">
                  <c:v>3.2469999999999999</c:v>
                </c:pt>
                <c:pt idx="247">
                  <c:v>3.09</c:v>
                </c:pt>
                <c:pt idx="248">
                  <c:v>7.2999999999999995E-2</c:v>
                </c:pt>
                <c:pt idx="249">
                  <c:v>3.7999999999999999E-2</c:v>
                </c:pt>
                <c:pt idx="250">
                  <c:v>78.736999999999995</c:v>
                </c:pt>
                <c:pt idx="251">
                  <c:v>4.4409999999999998</c:v>
                </c:pt>
                <c:pt idx="252">
                  <c:v>0.19500000000000001</c:v>
                </c:pt>
                <c:pt idx="253">
                  <c:v>0</c:v>
                </c:pt>
                <c:pt idx="254">
                  <c:v>29.696999999999999</c:v>
                </c:pt>
                <c:pt idx="255">
                  <c:v>27.878</c:v>
                </c:pt>
                <c:pt idx="256">
                  <c:v>22.242000000000001</c:v>
                </c:pt>
                <c:pt idx="257">
                  <c:v>0.43</c:v>
                </c:pt>
                <c:pt idx="258">
                  <c:v>0.26300000000000001</c:v>
                </c:pt>
                <c:pt idx="259">
                  <c:v>0.70399999999999996</c:v>
                </c:pt>
                <c:pt idx="260">
                  <c:v>119.583</c:v>
                </c:pt>
                <c:pt idx="261">
                  <c:v>25.373000000000001</c:v>
                </c:pt>
                <c:pt idx="262">
                  <c:v>7.1550000000000002</c:v>
                </c:pt>
                <c:pt idx="263">
                  <c:v>0.33200000000000002</c:v>
                </c:pt>
                <c:pt idx="264">
                  <c:v>6.0010000000000003</c:v>
                </c:pt>
                <c:pt idx="265">
                  <c:v>1.7130000000000001</c:v>
                </c:pt>
                <c:pt idx="266">
                  <c:v>0</c:v>
                </c:pt>
                <c:pt idx="267">
                  <c:v>0</c:v>
                </c:pt>
                <c:pt idx="268">
                  <c:v>4.3650000000000002</c:v>
                </c:pt>
                <c:pt idx="269">
                  <c:v>0</c:v>
                </c:pt>
                <c:pt idx="270">
                  <c:v>0.36899999999999999</c:v>
                </c:pt>
                <c:pt idx="271">
                  <c:v>10.130000000000001</c:v>
                </c:pt>
                <c:pt idx="272">
                  <c:v>1E-3</c:v>
                </c:pt>
                <c:pt idx="273">
                  <c:v>0.29399999999999998</c:v>
                </c:pt>
                <c:pt idx="274">
                  <c:v>0.13400000000000001</c:v>
                </c:pt>
                <c:pt idx="275">
                  <c:v>6.9610000000000003</c:v>
                </c:pt>
                <c:pt idx="276">
                  <c:v>21</c:v>
                </c:pt>
                <c:pt idx="277">
                  <c:v>91.305000000000007</c:v>
                </c:pt>
                <c:pt idx="278">
                  <c:v>29.216999999999999</c:v>
                </c:pt>
                <c:pt idx="279">
                  <c:v>1.696</c:v>
                </c:pt>
                <c:pt idx="280">
                  <c:v>118.24</c:v>
                </c:pt>
                <c:pt idx="281">
                  <c:v>37.814</c:v>
                </c:pt>
                <c:pt idx="282">
                  <c:v>17.670000000000002</c:v>
                </c:pt>
                <c:pt idx="283">
                  <c:v>11</c:v>
                </c:pt>
                <c:pt idx="284">
                  <c:v>11.5</c:v>
                </c:pt>
                <c:pt idx="285">
                  <c:v>81.328000000000003</c:v>
                </c:pt>
                <c:pt idx="286">
                  <c:v>12.327</c:v>
                </c:pt>
                <c:pt idx="287">
                  <c:v>18.802</c:v>
                </c:pt>
                <c:pt idx="288">
                  <c:v>27.417000000000002</c:v>
                </c:pt>
                <c:pt idx="289">
                  <c:v>34.621000000000002</c:v>
                </c:pt>
                <c:pt idx="290">
                  <c:v>34.353000000000002</c:v>
                </c:pt>
                <c:pt idx="291">
                  <c:v>9.1999999999999998E-2</c:v>
                </c:pt>
                <c:pt idx="292">
                  <c:v>1.095</c:v>
                </c:pt>
                <c:pt idx="293">
                  <c:v>0.29099999999999998</c:v>
                </c:pt>
                <c:pt idx="294">
                  <c:v>5.5</c:v>
                </c:pt>
                <c:pt idx="295">
                  <c:v>23.010999999999999</c:v>
                </c:pt>
                <c:pt idx="296">
                  <c:v>26.385000000000002</c:v>
                </c:pt>
                <c:pt idx="297">
                  <c:v>95.805999999999997</c:v>
                </c:pt>
                <c:pt idx="298">
                  <c:v>22.545999999999999</c:v>
                </c:pt>
                <c:pt idx="299">
                  <c:v>24.6</c:v>
                </c:pt>
                <c:pt idx="300">
                  <c:v>31.344999999999999</c:v>
                </c:pt>
                <c:pt idx="301">
                  <c:v>45.686</c:v>
                </c:pt>
                <c:pt idx="302">
                  <c:v>25.568000000000001</c:v>
                </c:pt>
                <c:pt idx="303">
                  <c:v>131.809</c:v>
                </c:pt>
                <c:pt idx="304">
                  <c:v>186.995</c:v>
                </c:pt>
                <c:pt idx="305">
                  <c:v>185.00700000000001</c:v>
                </c:pt>
                <c:pt idx="306">
                  <c:v>185.01300000000001</c:v>
                </c:pt>
                <c:pt idx="307">
                  <c:v>165.208</c:v>
                </c:pt>
                <c:pt idx="308">
                  <c:v>139.38399999999999</c:v>
                </c:pt>
                <c:pt idx="309">
                  <c:v>126.883</c:v>
                </c:pt>
                <c:pt idx="310">
                  <c:v>132.69900000000001</c:v>
                </c:pt>
                <c:pt idx="311">
                  <c:v>200</c:v>
                </c:pt>
                <c:pt idx="312">
                  <c:v>160.30000000000001</c:v>
                </c:pt>
                <c:pt idx="313">
                  <c:v>94.436999999999998</c:v>
                </c:pt>
                <c:pt idx="314">
                  <c:v>90</c:v>
                </c:pt>
                <c:pt idx="315">
                  <c:v>77.647999999999996</c:v>
                </c:pt>
                <c:pt idx="316">
                  <c:v>259.99700000000001</c:v>
                </c:pt>
                <c:pt idx="317">
                  <c:v>126.259</c:v>
                </c:pt>
                <c:pt idx="318">
                  <c:v>99.644999999999996</c:v>
                </c:pt>
                <c:pt idx="319">
                  <c:v>172.125</c:v>
                </c:pt>
                <c:pt idx="320">
                  <c:v>229.78299999999999</c:v>
                </c:pt>
                <c:pt idx="321">
                  <c:v>319.61399999999998</c:v>
                </c:pt>
                <c:pt idx="322">
                  <c:v>275.75799999999998</c:v>
                </c:pt>
                <c:pt idx="323">
                  <c:v>319.88799999999998</c:v>
                </c:pt>
                <c:pt idx="324">
                  <c:v>319.99700000000001</c:v>
                </c:pt>
                <c:pt idx="325">
                  <c:v>210</c:v>
                </c:pt>
                <c:pt idx="326">
                  <c:v>237.98</c:v>
                </c:pt>
                <c:pt idx="327">
                  <c:v>224</c:v>
                </c:pt>
                <c:pt idx="328">
                  <c:v>224.001</c:v>
                </c:pt>
                <c:pt idx="329">
                  <c:v>200.001</c:v>
                </c:pt>
                <c:pt idx="330">
                  <c:v>282.71699999999998</c:v>
                </c:pt>
                <c:pt idx="331">
                  <c:v>279.99700000000001</c:v>
                </c:pt>
                <c:pt idx="332">
                  <c:v>279.99900000000002</c:v>
                </c:pt>
                <c:pt idx="333">
                  <c:v>324.99799999999999</c:v>
                </c:pt>
                <c:pt idx="334">
                  <c:v>350.00099999999998</c:v>
                </c:pt>
                <c:pt idx="335">
                  <c:v>352.59699999999998</c:v>
                </c:pt>
                <c:pt idx="336">
                  <c:v>349.99700000000001</c:v>
                </c:pt>
                <c:pt idx="337">
                  <c:v>351.5</c:v>
                </c:pt>
                <c:pt idx="338">
                  <c:v>379.15800000000002</c:v>
                </c:pt>
                <c:pt idx="339">
                  <c:v>376.34300000000002</c:v>
                </c:pt>
                <c:pt idx="340">
                  <c:v>392.34300000000002</c:v>
                </c:pt>
                <c:pt idx="341">
                  <c:v>404.92200000000003</c:v>
                </c:pt>
                <c:pt idx="342">
                  <c:v>450.36599999999999</c:v>
                </c:pt>
                <c:pt idx="343">
                  <c:v>451.00099999999998</c:v>
                </c:pt>
                <c:pt idx="344">
                  <c:v>392.49700000000001</c:v>
                </c:pt>
                <c:pt idx="345">
                  <c:v>406.786</c:v>
                </c:pt>
                <c:pt idx="346">
                  <c:v>310.00099999999998</c:v>
                </c:pt>
                <c:pt idx="347">
                  <c:v>350.00200000000001</c:v>
                </c:pt>
                <c:pt idx="348">
                  <c:v>314.99200000000002</c:v>
                </c:pt>
                <c:pt idx="349">
                  <c:v>354.99400000000003</c:v>
                </c:pt>
                <c:pt idx="350">
                  <c:v>293.33999999999997</c:v>
                </c:pt>
                <c:pt idx="351">
                  <c:v>211.59700000000001</c:v>
                </c:pt>
                <c:pt idx="352">
                  <c:v>343.59500000000003</c:v>
                </c:pt>
                <c:pt idx="353">
                  <c:v>344.565</c:v>
                </c:pt>
                <c:pt idx="354">
                  <c:v>274.99799999999999</c:v>
                </c:pt>
                <c:pt idx="355">
                  <c:v>324.29500000000002</c:v>
                </c:pt>
                <c:pt idx="356">
                  <c:v>352.4</c:v>
                </c:pt>
                <c:pt idx="357">
                  <c:v>309.99599999999998</c:v>
                </c:pt>
                <c:pt idx="358">
                  <c:v>249.99799999999999</c:v>
                </c:pt>
                <c:pt idx="359">
                  <c:v>284.99799999999999</c:v>
                </c:pt>
                <c:pt idx="360">
                  <c:v>367.7</c:v>
                </c:pt>
                <c:pt idx="361">
                  <c:v>400.99700000000001</c:v>
                </c:pt>
                <c:pt idx="362">
                  <c:v>216.59</c:v>
                </c:pt>
                <c:pt idx="363">
                  <c:v>300.06900000000002</c:v>
                </c:pt>
                <c:pt idx="364">
                  <c:v>308.50299999999999</c:v>
                </c:pt>
              </c:numCache>
            </c:numRef>
          </c:val>
          <c:smooth val="0"/>
          <c:extLst>
            <c:ext xmlns:c16="http://schemas.microsoft.com/office/drawing/2014/chart" uri="{C3380CC4-5D6E-409C-BE32-E72D297353CC}">
              <c16:uniqueId val="{00000002-2242-49F8-AA28-5144B64B8EDF}"/>
            </c:ext>
          </c:extLst>
        </c:ser>
        <c:ser>
          <c:idx val="3"/>
          <c:order val="3"/>
          <c:tx>
            <c:v>Nameplate capacity (TJ/day)</c:v>
          </c:tx>
          <c:spPr>
            <a:ln w="76200">
              <a:solidFill>
                <a:schemeClr val="accent6">
                  <a:lumMod val="50000"/>
                </a:schemeClr>
              </a:solidFill>
            </a:ln>
          </c:spPr>
          <c:marker>
            <c:symbol val="none"/>
          </c:marker>
          <c:dPt>
            <c:idx val="365"/>
            <c:bubble3D val="0"/>
            <c:spPr>
              <a:ln w="76200">
                <a:noFill/>
              </a:ln>
            </c:spPr>
            <c:extLst>
              <c:ext xmlns:c16="http://schemas.microsoft.com/office/drawing/2014/chart" uri="{C3380CC4-5D6E-409C-BE32-E72D297353CC}">
                <c16:uniqueId val="{00000004-2242-49F8-AA28-5144B64B8EDF}"/>
              </c:ext>
            </c:extLst>
          </c:dPt>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demand'!$F$43:$F$408</c:f>
              <c:numCache>
                <c:formatCode>_(* #,##0_);_(* \(#,##0\);_(* "-"_);_(@_)</c:formatCode>
                <c:ptCount val="366"/>
                <c:pt idx="0">
                  <c:v>565</c:v>
                </c:pt>
                <c:pt idx="1">
                  <c:v>565</c:v>
                </c:pt>
                <c:pt idx="2">
                  <c:v>565</c:v>
                </c:pt>
                <c:pt idx="3">
                  <c:v>565</c:v>
                </c:pt>
                <c:pt idx="4">
                  <c:v>565</c:v>
                </c:pt>
                <c:pt idx="5">
                  <c:v>565</c:v>
                </c:pt>
                <c:pt idx="6">
                  <c:v>565</c:v>
                </c:pt>
                <c:pt idx="7">
                  <c:v>565</c:v>
                </c:pt>
                <c:pt idx="8">
                  <c:v>565</c:v>
                </c:pt>
                <c:pt idx="9">
                  <c:v>565</c:v>
                </c:pt>
                <c:pt idx="10">
                  <c:v>565</c:v>
                </c:pt>
                <c:pt idx="11">
                  <c:v>565</c:v>
                </c:pt>
                <c:pt idx="12">
                  <c:v>565</c:v>
                </c:pt>
                <c:pt idx="13">
                  <c:v>565</c:v>
                </c:pt>
                <c:pt idx="14">
                  <c:v>565</c:v>
                </c:pt>
                <c:pt idx="15">
                  <c:v>565</c:v>
                </c:pt>
                <c:pt idx="16">
                  <c:v>565</c:v>
                </c:pt>
                <c:pt idx="17">
                  <c:v>565</c:v>
                </c:pt>
                <c:pt idx="18">
                  <c:v>565</c:v>
                </c:pt>
                <c:pt idx="19">
                  <c:v>565</c:v>
                </c:pt>
                <c:pt idx="20">
                  <c:v>565</c:v>
                </c:pt>
                <c:pt idx="21">
                  <c:v>565</c:v>
                </c:pt>
                <c:pt idx="22">
                  <c:v>565</c:v>
                </c:pt>
                <c:pt idx="23">
                  <c:v>565</c:v>
                </c:pt>
                <c:pt idx="24">
                  <c:v>565</c:v>
                </c:pt>
                <c:pt idx="25">
                  <c:v>565</c:v>
                </c:pt>
                <c:pt idx="26">
                  <c:v>565</c:v>
                </c:pt>
                <c:pt idx="27">
                  <c:v>565</c:v>
                </c:pt>
                <c:pt idx="28">
                  <c:v>565</c:v>
                </c:pt>
                <c:pt idx="29">
                  <c:v>565</c:v>
                </c:pt>
                <c:pt idx="30">
                  <c:v>565</c:v>
                </c:pt>
                <c:pt idx="31">
                  <c:v>565</c:v>
                </c:pt>
                <c:pt idx="32">
                  <c:v>565</c:v>
                </c:pt>
                <c:pt idx="33">
                  <c:v>565</c:v>
                </c:pt>
                <c:pt idx="34">
                  <c:v>565</c:v>
                </c:pt>
                <c:pt idx="35">
                  <c:v>565</c:v>
                </c:pt>
                <c:pt idx="36">
                  <c:v>565</c:v>
                </c:pt>
                <c:pt idx="37">
                  <c:v>565</c:v>
                </c:pt>
                <c:pt idx="38">
                  <c:v>565</c:v>
                </c:pt>
                <c:pt idx="39">
                  <c:v>565</c:v>
                </c:pt>
                <c:pt idx="40">
                  <c:v>565</c:v>
                </c:pt>
                <c:pt idx="41">
                  <c:v>565</c:v>
                </c:pt>
                <c:pt idx="42">
                  <c:v>565</c:v>
                </c:pt>
                <c:pt idx="43">
                  <c:v>565</c:v>
                </c:pt>
                <c:pt idx="44">
                  <c:v>565</c:v>
                </c:pt>
                <c:pt idx="45">
                  <c:v>565</c:v>
                </c:pt>
                <c:pt idx="46">
                  <c:v>565</c:v>
                </c:pt>
                <c:pt idx="47">
                  <c:v>565</c:v>
                </c:pt>
                <c:pt idx="48">
                  <c:v>565</c:v>
                </c:pt>
                <c:pt idx="49">
                  <c:v>565</c:v>
                </c:pt>
                <c:pt idx="50">
                  <c:v>565</c:v>
                </c:pt>
                <c:pt idx="51">
                  <c:v>565</c:v>
                </c:pt>
                <c:pt idx="52">
                  <c:v>565</c:v>
                </c:pt>
                <c:pt idx="53">
                  <c:v>565</c:v>
                </c:pt>
                <c:pt idx="54">
                  <c:v>565</c:v>
                </c:pt>
                <c:pt idx="55">
                  <c:v>565</c:v>
                </c:pt>
                <c:pt idx="56">
                  <c:v>565</c:v>
                </c:pt>
                <c:pt idx="57">
                  <c:v>565</c:v>
                </c:pt>
                <c:pt idx="58">
                  <c:v>565</c:v>
                </c:pt>
                <c:pt idx="59">
                  <c:v>565</c:v>
                </c:pt>
                <c:pt idx="60">
                  <c:v>565</c:v>
                </c:pt>
                <c:pt idx="61">
                  <c:v>565</c:v>
                </c:pt>
                <c:pt idx="62">
                  <c:v>565</c:v>
                </c:pt>
                <c:pt idx="63">
                  <c:v>565</c:v>
                </c:pt>
                <c:pt idx="64">
                  <c:v>565</c:v>
                </c:pt>
                <c:pt idx="65">
                  <c:v>565</c:v>
                </c:pt>
                <c:pt idx="66">
                  <c:v>565</c:v>
                </c:pt>
                <c:pt idx="67">
                  <c:v>565</c:v>
                </c:pt>
                <c:pt idx="68">
                  <c:v>565</c:v>
                </c:pt>
                <c:pt idx="69">
                  <c:v>565</c:v>
                </c:pt>
                <c:pt idx="70">
                  <c:v>565</c:v>
                </c:pt>
                <c:pt idx="71">
                  <c:v>565</c:v>
                </c:pt>
                <c:pt idx="72">
                  <c:v>565</c:v>
                </c:pt>
                <c:pt idx="73">
                  <c:v>565</c:v>
                </c:pt>
                <c:pt idx="74">
                  <c:v>565</c:v>
                </c:pt>
                <c:pt idx="75">
                  <c:v>565</c:v>
                </c:pt>
                <c:pt idx="76">
                  <c:v>565</c:v>
                </c:pt>
                <c:pt idx="77">
                  <c:v>565</c:v>
                </c:pt>
                <c:pt idx="78">
                  <c:v>565</c:v>
                </c:pt>
                <c:pt idx="79">
                  <c:v>565</c:v>
                </c:pt>
                <c:pt idx="80">
                  <c:v>565</c:v>
                </c:pt>
                <c:pt idx="81">
                  <c:v>565</c:v>
                </c:pt>
                <c:pt idx="82">
                  <c:v>565</c:v>
                </c:pt>
                <c:pt idx="83">
                  <c:v>565</c:v>
                </c:pt>
                <c:pt idx="84">
                  <c:v>565</c:v>
                </c:pt>
                <c:pt idx="85">
                  <c:v>565</c:v>
                </c:pt>
                <c:pt idx="86">
                  <c:v>565</c:v>
                </c:pt>
                <c:pt idx="87">
                  <c:v>565</c:v>
                </c:pt>
                <c:pt idx="88">
                  <c:v>565</c:v>
                </c:pt>
                <c:pt idx="89">
                  <c:v>565</c:v>
                </c:pt>
                <c:pt idx="90">
                  <c:v>565</c:v>
                </c:pt>
                <c:pt idx="91">
                  <c:v>565</c:v>
                </c:pt>
                <c:pt idx="92">
                  <c:v>565</c:v>
                </c:pt>
                <c:pt idx="93">
                  <c:v>565</c:v>
                </c:pt>
                <c:pt idx="94">
                  <c:v>565</c:v>
                </c:pt>
                <c:pt idx="95">
                  <c:v>565</c:v>
                </c:pt>
                <c:pt idx="96">
                  <c:v>565</c:v>
                </c:pt>
                <c:pt idx="97">
                  <c:v>565</c:v>
                </c:pt>
                <c:pt idx="98">
                  <c:v>565</c:v>
                </c:pt>
                <c:pt idx="99">
                  <c:v>565</c:v>
                </c:pt>
                <c:pt idx="100">
                  <c:v>565</c:v>
                </c:pt>
                <c:pt idx="101">
                  <c:v>565</c:v>
                </c:pt>
                <c:pt idx="102">
                  <c:v>565</c:v>
                </c:pt>
                <c:pt idx="103">
                  <c:v>565</c:v>
                </c:pt>
                <c:pt idx="104">
                  <c:v>565</c:v>
                </c:pt>
                <c:pt idx="105">
                  <c:v>565</c:v>
                </c:pt>
                <c:pt idx="106">
                  <c:v>565</c:v>
                </c:pt>
                <c:pt idx="107">
                  <c:v>565</c:v>
                </c:pt>
                <c:pt idx="108">
                  <c:v>565</c:v>
                </c:pt>
                <c:pt idx="109">
                  <c:v>565</c:v>
                </c:pt>
                <c:pt idx="110">
                  <c:v>565</c:v>
                </c:pt>
                <c:pt idx="111">
                  <c:v>565</c:v>
                </c:pt>
                <c:pt idx="112">
                  <c:v>565</c:v>
                </c:pt>
                <c:pt idx="113">
                  <c:v>565</c:v>
                </c:pt>
                <c:pt idx="114">
                  <c:v>565</c:v>
                </c:pt>
                <c:pt idx="115">
                  <c:v>565</c:v>
                </c:pt>
                <c:pt idx="116">
                  <c:v>565</c:v>
                </c:pt>
                <c:pt idx="117">
                  <c:v>565</c:v>
                </c:pt>
                <c:pt idx="118">
                  <c:v>565</c:v>
                </c:pt>
                <c:pt idx="119">
                  <c:v>565</c:v>
                </c:pt>
                <c:pt idx="120">
                  <c:v>565</c:v>
                </c:pt>
                <c:pt idx="121">
                  <c:v>565</c:v>
                </c:pt>
                <c:pt idx="122">
                  <c:v>565</c:v>
                </c:pt>
                <c:pt idx="123">
                  <c:v>565</c:v>
                </c:pt>
                <c:pt idx="124">
                  <c:v>565</c:v>
                </c:pt>
                <c:pt idx="125">
                  <c:v>565</c:v>
                </c:pt>
                <c:pt idx="126">
                  <c:v>565</c:v>
                </c:pt>
                <c:pt idx="127">
                  <c:v>565</c:v>
                </c:pt>
                <c:pt idx="128">
                  <c:v>565</c:v>
                </c:pt>
                <c:pt idx="129">
                  <c:v>565</c:v>
                </c:pt>
                <c:pt idx="130">
                  <c:v>565</c:v>
                </c:pt>
                <c:pt idx="131">
                  <c:v>565</c:v>
                </c:pt>
                <c:pt idx="132">
                  <c:v>565</c:v>
                </c:pt>
                <c:pt idx="133">
                  <c:v>565</c:v>
                </c:pt>
                <c:pt idx="134">
                  <c:v>565</c:v>
                </c:pt>
                <c:pt idx="135">
                  <c:v>565</c:v>
                </c:pt>
                <c:pt idx="136">
                  <c:v>565</c:v>
                </c:pt>
                <c:pt idx="137">
                  <c:v>565</c:v>
                </c:pt>
                <c:pt idx="138">
                  <c:v>565</c:v>
                </c:pt>
                <c:pt idx="139">
                  <c:v>565</c:v>
                </c:pt>
                <c:pt idx="140">
                  <c:v>565</c:v>
                </c:pt>
                <c:pt idx="141">
                  <c:v>565</c:v>
                </c:pt>
                <c:pt idx="142">
                  <c:v>565</c:v>
                </c:pt>
                <c:pt idx="143">
                  <c:v>565</c:v>
                </c:pt>
                <c:pt idx="144">
                  <c:v>565</c:v>
                </c:pt>
                <c:pt idx="145">
                  <c:v>565</c:v>
                </c:pt>
                <c:pt idx="146">
                  <c:v>565</c:v>
                </c:pt>
                <c:pt idx="147">
                  <c:v>565</c:v>
                </c:pt>
                <c:pt idx="148">
                  <c:v>565</c:v>
                </c:pt>
                <c:pt idx="149">
                  <c:v>565</c:v>
                </c:pt>
                <c:pt idx="150">
                  <c:v>565</c:v>
                </c:pt>
                <c:pt idx="151">
                  <c:v>565</c:v>
                </c:pt>
                <c:pt idx="152">
                  <c:v>565</c:v>
                </c:pt>
                <c:pt idx="153">
                  <c:v>565</c:v>
                </c:pt>
                <c:pt idx="154">
                  <c:v>565</c:v>
                </c:pt>
                <c:pt idx="155">
                  <c:v>565</c:v>
                </c:pt>
                <c:pt idx="156">
                  <c:v>565</c:v>
                </c:pt>
                <c:pt idx="157">
                  <c:v>565</c:v>
                </c:pt>
                <c:pt idx="158">
                  <c:v>565</c:v>
                </c:pt>
                <c:pt idx="159">
                  <c:v>565</c:v>
                </c:pt>
                <c:pt idx="160">
                  <c:v>565</c:v>
                </c:pt>
                <c:pt idx="161">
                  <c:v>565</c:v>
                </c:pt>
                <c:pt idx="162">
                  <c:v>565</c:v>
                </c:pt>
                <c:pt idx="163">
                  <c:v>565</c:v>
                </c:pt>
                <c:pt idx="164">
                  <c:v>565</c:v>
                </c:pt>
                <c:pt idx="165">
                  <c:v>565</c:v>
                </c:pt>
                <c:pt idx="166">
                  <c:v>565</c:v>
                </c:pt>
                <c:pt idx="167">
                  <c:v>565</c:v>
                </c:pt>
                <c:pt idx="168">
                  <c:v>565</c:v>
                </c:pt>
                <c:pt idx="169">
                  <c:v>565</c:v>
                </c:pt>
                <c:pt idx="170">
                  <c:v>565</c:v>
                </c:pt>
                <c:pt idx="171">
                  <c:v>565</c:v>
                </c:pt>
                <c:pt idx="172">
                  <c:v>565</c:v>
                </c:pt>
                <c:pt idx="173">
                  <c:v>565</c:v>
                </c:pt>
                <c:pt idx="174">
                  <c:v>565</c:v>
                </c:pt>
                <c:pt idx="175">
                  <c:v>565</c:v>
                </c:pt>
                <c:pt idx="176">
                  <c:v>565</c:v>
                </c:pt>
                <c:pt idx="177">
                  <c:v>565</c:v>
                </c:pt>
                <c:pt idx="178">
                  <c:v>565</c:v>
                </c:pt>
                <c:pt idx="179">
                  <c:v>565</c:v>
                </c:pt>
                <c:pt idx="180">
                  <c:v>565</c:v>
                </c:pt>
                <c:pt idx="181">
                  <c:v>565</c:v>
                </c:pt>
                <c:pt idx="182">
                  <c:v>565</c:v>
                </c:pt>
                <c:pt idx="183">
                  <c:v>565</c:v>
                </c:pt>
                <c:pt idx="184">
                  <c:v>565</c:v>
                </c:pt>
                <c:pt idx="185">
                  <c:v>565</c:v>
                </c:pt>
                <c:pt idx="186">
                  <c:v>565</c:v>
                </c:pt>
                <c:pt idx="187">
                  <c:v>565</c:v>
                </c:pt>
                <c:pt idx="188">
                  <c:v>565</c:v>
                </c:pt>
                <c:pt idx="189">
                  <c:v>565</c:v>
                </c:pt>
                <c:pt idx="190">
                  <c:v>565</c:v>
                </c:pt>
                <c:pt idx="191">
                  <c:v>565</c:v>
                </c:pt>
                <c:pt idx="192">
                  <c:v>565</c:v>
                </c:pt>
                <c:pt idx="193">
                  <c:v>565</c:v>
                </c:pt>
                <c:pt idx="194">
                  <c:v>565</c:v>
                </c:pt>
                <c:pt idx="195">
                  <c:v>565</c:v>
                </c:pt>
                <c:pt idx="196">
                  <c:v>565</c:v>
                </c:pt>
                <c:pt idx="197">
                  <c:v>565</c:v>
                </c:pt>
                <c:pt idx="198">
                  <c:v>565</c:v>
                </c:pt>
                <c:pt idx="199">
                  <c:v>565</c:v>
                </c:pt>
                <c:pt idx="200">
                  <c:v>565</c:v>
                </c:pt>
                <c:pt idx="201">
                  <c:v>565</c:v>
                </c:pt>
                <c:pt idx="202">
                  <c:v>565</c:v>
                </c:pt>
                <c:pt idx="203">
                  <c:v>565</c:v>
                </c:pt>
                <c:pt idx="204">
                  <c:v>565</c:v>
                </c:pt>
                <c:pt idx="205">
                  <c:v>565</c:v>
                </c:pt>
                <c:pt idx="206">
                  <c:v>565</c:v>
                </c:pt>
                <c:pt idx="207">
                  <c:v>565</c:v>
                </c:pt>
                <c:pt idx="208">
                  <c:v>565</c:v>
                </c:pt>
                <c:pt idx="209">
                  <c:v>565</c:v>
                </c:pt>
                <c:pt idx="210">
                  <c:v>565</c:v>
                </c:pt>
                <c:pt idx="211">
                  <c:v>565</c:v>
                </c:pt>
                <c:pt idx="212">
                  <c:v>565</c:v>
                </c:pt>
                <c:pt idx="213">
                  <c:v>565</c:v>
                </c:pt>
                <c:pt idx="214">
                  <c:v>565</c:v>
                </c:pt>
                <c:pt idx="215">
                  <c:v>565</c:v>
                </c:pt>
                <c:pt idx="216">
                  <c:v>565</c:v>
                </c:pt>
                <c:pt idx="217">
                  <c:v>565</c:v>
                </c:pt>
                <c:pt idx="218">
                  <c:v>565</c:v>
                </c:pt>
                <c:pt idx="219">
                  <c:v>565</c:v>
                </c:pt>
                <c:pt idx="220">
                  <c:v>565</c:v>
                </c:pt>
                <c:pt idx="221">
                  <c:v>565</c:v>
                </c:pt>
                <c:pt idx="222">
                  <c:v>565</c:v>
                </c:pt>
                <c:pt idx="223">
                  <c:v>565</c:v>
                </c:pt>
                <c:pt idx="224">
                  <c:v>565</c:v>
                </c:pt>
                <c:pt idx="225">
                  <c:v>565</c:v>
                </c:pt>
                <c:pt idx="226">
                  <c:v>565</c:v>
                </c:pt>
                <c:pt idx="227">
                  <c:v>565</c:v>
                </c:pt>
                <c:pt idx="228">
                  <c:v>565</c:v>
                </c:pt>
                <c:pt idx="229">
                  <c:v>565</c:v>
                </c:pt>
                <c:pt idx="230">
                  <c:v>565</c:v>
                </c:pt>
                <c:pt idx="231">
                  <c:v>565</c:v>
                </c:pt>
                <c:pt idx="232">
                  <c:v>565</c:v>
                </c:pt>
                <c:pt idx="233">
                  <c:v>565</c:v>
                </c:pt>
                <c:pt idx="234">
                  <c:v>565</c:v>
                </c:pt>
                <c:pt idx="235">
                  <c:v>565</c:v>
                </c:pt>
                <c:pt idx="236">
                  <c:v>565</c:v>
                </c:pt>
                <c:pt idx="237">
                  <c:v>565</c:v>
                </c:pt>
                <c:pt idx="238">
                  <c:v>565</c:v>
                </c:pt>
                <c:pt idx="239">
                  <c:v>565</c:v>
                </c:pt>
                <c:pt idx="240">
                  <c:v>565</c:v>
                </c:pt>
                <c:pt idx="241">
                  <c:v>565</c:v>
                </c:pt>
                <c:pt idx="242">
                  <c:v>565</c:v>
                </c:pt>
                <c:pt idx="243">
                  <c:v>565</c:v>
                </c:pt>
                <c:pt idx="244">
                  <c:v>565</c:v>
                </c:pt>
                <c:pt idx="245">
                  <c:v>565</c:v>
                </c:pt>
                <c:pt idx="246">
                  <c:v>565</c:v>
                </c:pt>
                <c:pt idx="247">
                  <c:v>565</c:v>
                </c:pt>
                <c:pt idx="248">
                  <c:v>565</c:v>
                </c:pt>
                <c:pt idx="249">
                  <c:v>565</c:v>
                </c:pt>
                <c:pt idx="250">
                  <c:v>565</c:v>
                </c:pt>
                <c:pt idx="251">
                  <c:v>565</c:v>
                </c:pt>
                <c:pt idx="252">
                  <c:v>565</c:v>
                </c:pt>
                <c:pt idx="253">
                  <c:v>565</c:v>
                </c:pt>
                <c:pt idx="254">
                  <c:v>565</c:v>
                </c:pt>
                <c:pt idx="255">
                  <c:v>565</c:v>
                </c:pt>
                <c:pt idx="256">
                  <c:v>565</c:v>
                </c:pt>
                <c:pt idx="257">
                  <c:v>565</c:v>
                </c:pt>
                <c:pt idx="258">
                  <c:v>565</c:v>
                </c:pt>
                <c:pt idx="259">
                  <c:v>565</c:v>
                </c:pt>
                <c:pt idx="260">
                  <c:v>565</c:v>
                </c:pt>
                <c:pt idx="261">
                  <c:v>565</c:v>
                </c:pt>
                <c:pt idx="262">
                  <c:v>565</c:v>
                </c:pt>
                <c:pt idx="263">
                  <c:v>565</c:v>
                </c:pt>
                <c:pt idx="264">
                  <c:v>565</c:v>
                </c:pt>
                <c:pt idx="265">
                  <c:v>565</c:v>
                </c:pt>
                <c:pt idx="266">
                  <c:v>565</c:v>
                </c:pt>
                <c:pt idx="267">
                  <c:v>565</c:v>
                </c:pt>
                <c:pt idx="268">
                  <c:v>565</c:v>
                </c:pt>
                <c:pt idx="269">
                  <c:v>565</c:v>
                </c:pt>
                <c:pt idx="270">
                  <c:v>565</c:v>
                </c:pt>
                <c:pt idx="271">
                  <c:v>565</c:v>
                </c:pt>
                <c:pt idx="272">
                  <c:v>565</c:v>
                </c:pt>
                <c:pt idx="273">
                  <c:v>565</c:v>
                </c:pt>
                <c:pt idx="274">
                  <c:v>565</c:v>
                </c:pt>
                <c:pt idx="275">
                  <c:v>565</c:v>
                </c:pt>
                <c:pt idx="276">
                  <c:v>565</c:v>
                </c:pt>
                <c:pt idx="277">
                  <c:v>565</c:v>
                </c:pt>
                <c:pt idx="278">
                  <c:v>565</c:v>
                </c:pt>
                <c:pt idx="279">
                  <c:v>565</c:v>
                </c:pt>
                <c:pt idx="280">
                  <c:v>565</c:v>
                </c:pt>
                <c:pt idx="281">
                  <c:v>565</c:v>
                </c:pt>
                <c:pt idx="282">
                  <c:v>565</c:v>
                </c:pt>
                <c:pt idx="283">
                  <c:v>565</c:v>
                </c:pt>
                <c:pt idx="284">
                  <c:v>565</c:v>
                </c:pt>
                <c:pt idx="285">
                  <c:v>565</c:v>
                </c:pt>
                <c:pt idx="286">
                  <c:v>565</c:v>
                </c:pt>
                <c:pt idx="287">
                  <c:v>565</c:v>
                </c:pt>
                <c:pt idx="288">
                  <c:v>565</c:v>
                </c:pt>
                <c:pt idx="289">
                  <c:v>565</c:v>
                </c:pt>
                <c:pt idx="290">
                  <c:v>565</c:v>
                </c:pt>
                <c:pt idx="291">
                  <c:v>565</c:v>
                </c:pt>
                <c:pt idx="292">
                  <c:v>565</c:v>
                </c:pt>
                <c:pt idx="293">
                  <c:v>565</c:v>
                </c:pt>
                <c:pt idx="294">
                  <c:v>565</c:v>
                </c:pt>
                <c:pt idx="295">
                  <c:v>565</c:v>
                </c:pt>
                <c:pt idx="296">
                  <c:v>565</c:v>
                </c:pt>
                <c:pt idx="297">
                  <c:v>565</c:v>
                </c:pt>
                <c:pt idx="298">
                  <c:v>565</c:v>
                </c:pt>
                <c:pt idx="299">
                  <c:v>565</c:v>
                </c:pt>
                <c:pt idx="300">
                  <c:v>565</c:v>
                </c:pt>
                <c:pt idx="301">
                  <c:v>565</c:v>
                </c:pt>
                <c:pt idx="302">
                  <c:v>565</c:v>
                </c:pt>
                <c:pt idx="303">
                  <c:v>565</c:v>
                </c:pt>
                <c:pt idx="304">
                  <c:v>565</c:v>
                </c:pt>
                <c:pt idx="305">
                  <c:v>565</c:v>
                </c:pt>
                <c:pt idx="306">
                  <c:v>565</c:v>
                </c:pt>
                <c:pt idx="307">
                  <c:v>565</c:v>
                </c:pt>
                <c:pt idx="308">
                  <c:v>565</c:v>
                </c:pt>
                <c:pt idx="309">
                  <c:v>565</c:v>
                </c:pt>
                <c:pt idx="310">
                  <c:v>565</c:v>
                </c:pt>
                <c:pt idx="311">
                  <c:v>565</c:v>
                </c:pt>
                <c:pt idx="312">
                  <c:v>565</c:v>
                </c:pt>
                <c:pt idx="313">
                  <c:v>565</c:v>
                </c:pt>
                <c:pt idx="314">
                  <c:v>565</c:v>
                </c:pt>
                <c:pt idx="315">
                  <c:v>565</c:v>
                </c:pt>
                <c:pt idx="316">
                  <c:v>565</c:v>
                </c:pt>
                <c:pt idx="317">
                  <c:v>565</c:v>
                </c:pt>
                <c:pt idx="318">
                  <c:v>565</c:v>
                </c:pt>
                <c:pt idx="319">
                  <c:v>565</c:v>
                </c:pt>
                <c:pt idx="320">
                  <c:v>565</c:v>
                </c:pt>
                <c:pt idx="321">
                  <c:v>565</c:v>
                </c:pt>
                <c:pt idx="322">
                  <c:v>565</c:v>
                </c:pt>
                <c:pt idx="323">
                  <c:v>565</c:v>
                </c:pt>
                <c:pt idx="324">
                  <c:v>565</c:v>
                </c:pt>
                <c:pt idx="325">
                  <c:v>565</c:v>
                </c:pt>
                <c:pt idx="326">
                  <c:v>565</c:v>
                </c:pt>
                <c:pt idx="327">
                  <c:v>565</c:v>
                </c:pt>
                <c:pt idx="328">
                  <c:v>565</c:v>
                </c:pt>
                <c:pt idx="329">
                  <c:v>565</c:v>
                </c:pt>
                <c:pt idx="330">
                  <c:v>565</c:v>
                </c:pt>
                <c:pt idx="331">
                  <c:v>565</c:v>
                </c:pt>
                <c:pt idx="332">
                  <c:v>565</c:v>
                </c:pt>
                <c:pt idx="333">
                  <c:v>565</c:v>
                </c:pt>
                <c:pt idx="334">
                  <c:v>565</c:v>
                </c:pt>
                <c:pt idx="335">
                  <c:v>565</c:v>
                </c:pt>
                <c:pt idx="336">
                  <c:v>565</c:v>
                </c:pt>
                <c:pt idx="337">
                  <c:v>565</c:v>
                </c:pt>
                <c:pt idx="338">
                  <c:v>565</c:v>
                </c:pt>
                <c:pt idx="339">
                  <c:v>565</c:v>
                </c:pt>
                <c:pt idx="340">
                  <c:v>565</c:v>
                </c:pt>
                <c:pt idx="341">
                  <c:v>565</c:v>
                </c:pt>
                <c:pt idx="342">
                  <c:v>565</c:v>
                </c:pt>
                <c:pt idx="343">
                  <c:v>565</c:v>
                </c:pt>
                <c:pt idx="344">
                  <c:v>565</c:v>
                </c:pt>
                <c:pt idx="345">
                  <c:v>565</c:v>
                </c:pt>
                <c:pt idx="346">
                  <c:v>565</c:v>
                </c:pt>
                <c:pt idx="347">
                  <c:v>565</c:v>
                </c:pt>
                <c:pt idx="348">
                  <c:v>565</c:v>
                </c:pt>
                <c:pt idx="349">
                  <c:v>565</c:v>
                </c:pt>
                <c:pt idx="350">
                  <c:v>565</c:v>
                </c:pt>
                <c:pt idx="351">
                  <c:v>565</c:v>
                </c:pt>
                <c:pt idx="352">
                  <c:v>565</c:v>
                </c:pt>
                <c:pt idx="353">
                  <c:v>565</c:v>
                </c:pt>
                <c:pt idx="354">
                  <c:v>565</c:v>
                </c:pt>
                <c:pt idx="355">
                  <c:v>565</c:v>
                </c:pt>
                <c:pt idx="356">
                  <c:v>565</c:v>
                </c:pt>
                <c:pt idx="357">
                  <c:v>565</c:v>
                </c:pt>
                <c:pt idx="358">
                  <c:v>565</c:v>
                </c:pt>
                <c:pt idx="359">
                  <c:v>565</c:v>
                </c:pt>
                <c:pt idx="360">
                  <c:v>565</c:v>
                </c:pt>
                <c:pt idx="361">
                  <c:v>565</c:v>
                </c:pt>
                <c:pt idx="362">
                  <c:v>565</c:v>
                </c:pt>
                <c:pt idx="363">
                  <c:v>565</c:v>
                </c:pt>
                <c:pt idx="364">
                  <c:v>565</c:v>
                </c:pt>
              </c:numCache>
            </c:numRef>
          </c:val>
          <c:smooth val="0"/>
          <c:extLst>
            <c:ext xmlns:c16="http://schemas.microsoft.com/office/drawing/2014/chart" uri="{C3380CC4-5D6E-409C-BE32-E72D297353CC}">
              <c16:uniqueId val="{00000005-2242-49F8-AA28-5144B64B8EDF}"/>
            </c:ext>
          </c:extLst>
        </c:ser>
        <c:dLbls>
          <c:showLegendKey val="0"/>
          <c:showVal val="0"/>
          <c:showCatName val="0"/>
          <c:showSerName val="0"/>
          <c:showPercent val="0"/>
          <c:showBubbleSize val="0"/>
        </c:dLbls>
        <c:marker val="1"/>
        <c:smooth val="0"/>
        <c:axId val="238084960"/>
        <c:axId val="1"/>
      </c:lineChart>
      <c:dateAx>
        <c:axId val="238084960"/>
        <c:scaling>
          <c:orientation val="minMax"/>
        </c:scaling>
        <c:delete val="0"/>
        <c:axPos val="b"/>
        <c:numFmt formatCode="d/mm/yyyy" sourceLinked="0"/>
        <c:majorTickMark val="out"/>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Arial"/>
                <a:ea typeface="Arial"/>
                <a:cs typeface="Arial"/>
              </a:defRPr>
            </a:pPr>
            <a:endParaRPr lang="en-US"/>
          </a:p>
        </c:txPr>
        <c:crossAx val="1"/>
        <c:crosses val="autoZero"/>
        <c:auto val="1"/>
        <c:lblOffset val="100"/>
        <c:baseTimeUnit val="days"/>
        <c:majorUnit val="4"/>
        <c:minorUnit val="1"/>
      </c:dateAx>
      <c:valAx>
        <c:axId val="1"/>
        <c:scaling>
          <c:orientation val="minMax"/>
        </c:scaling>
        <c:delete val="0"/>
        <c:axPos val="l"/>
        <c:majorGridlines>
          <c:spPr>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c:spPr>
        </c:majorGridlines>
        <c:numFmt formatCode="_(* #,##0_);_(* \(#,##0\);_(* &quot;-&quot;_);_(@_)" sourceLinked="1"/>
        <c:majorTickMark val="none"/>
        <c:minorTickMark val="none"/>
        <c:tickLblPos val="nextTo"/>
        <c:spPr>
          <a:ln w="9525">
            <a:noFill/>
          </a:ln>
        </c:spPr>
        <c:txPr>
          <a:bodyPr rot="0" vert="horz"/>
          <a:lstStyle/>
          <a:p>
            <a:pPr>
              <a:defRPr sz="1200" b="0" i="0" u="none" strike="noStrike" baseline="0">
                <a:solidFill>
                  <a:srgbClr val="333333"/>
                </a:solidFill>
                <a:latin typeface="Calibri"/>
                <a:ea typeface="Calibri"/>
                <a:cs typeface="Calibri"/>
              </a:defRPr>
            </a:pPr>
            <a:endParaRPr lang="en-US"/>
          </a:p>
        </c:txPr>
        <c:crossAx val="238084960"/>
        <c:crosses val="autoZero"/>
        <c:crossBetween val="between"/>
      </c:valAx>
      <c:spPr>
        <a:noFill/>
        <a:ln w="25400">
          <a:noFill/>
        </a:ln>
      </c:spPr>
    </c:plotArea>
    <c:legend>
      <c:legendPos val="b"/>
      <c:layout>
        <c:manualLayout>
          <c:xMode val="edge"/>
          <c:yMode val="edge"/>
          <c:x val="2.216358593473688E-3"/>
          <c:y val="0.68006961895720486"/>
          <c:w val="0.8222769494238753"/>
          <c:h val="4.5013557702450302E-2"/>
        </c:manualLayout>
      </c:layout>
      <c:overlay val="0"/>
      <c:spPr>
        <a:noFill/>
        <a:ln w="25400">
          <a:noFill/>
        </a:ln>
      </c:spPr>
      <c:txPr>
        <a:bodyPr/>
        <a:lstStyle/>
        <a:p>
          <a:pPr>
            <a:defRPr sz="655"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Pricing benchmarks</a:t>
            </a:r>
          </a:p>
        </c:rich>
      </c:tx>
      <c:overlay val="0"/>
      <c:spPr>
        <a:noFill/>
        <a:ln w="25400">
          <a:noFill/>
        </a:ln>
      </c:spPr>
    </c:title>
    <c:autoTitleDeleted val="0"/>
    <c:plotArea>
      <c:layout/>
      <c:barChart>
        <c:barDir val="col"/>
        <c:grouping val="stacked"/>
        <c:varyColors val="0"/>
        <c:ser>
          <c:idx val="0"/>
          <c:order val="0"/>
          <c:tx>
            <c:strRef>
              <c:f>'6. Pricing template'!$D$36</c:f>
              <c:strCache>
                <c:ptCount val="1"/>
                <c:pt idx="0">
                  <c:v>Fixed operating costs per unit</c:v>
                </c:pt>
              </c:strCache>
            </c:strRef>
          </c:tx>
          <c:spPr>
            <a:solidFill>
              <a:srgbClr val="2B7AAF"/>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FFFFFF"/>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template'!$D$37:$D$56</c:f>
              <c:numCache>
                <c:formatCode>_(* #,##0.0000_);_(* \(#,##0.0000\);_(* "-"_);_(@_)</c:formatCode>
                <c:ptCount val="20"/>
                <c:pt idx="0">
                  <c:v>0.24991422210834022</c:v>
                </c:pt>
                <c:pt idx="1">
                  <c:v>0.37379006485334848</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BD71-4020-8846-3CCCE3BF5637}"/>
            </c:ext>
          </c:extLst>
        </c:ser>
        <c:ser>
          <c:idx val="1"/>
          <c:order val="1"/>
          <c:tx>
            <c:strRef>
              <c:f>'6. Pricing template'!$E$36</c:f>
              <c:strCache>
                <c:ptCount val="1"/>
                <c:pt idx="0">
                  <c:v>Return of capital per unit</c:v>
                </c:pt>
              </c:strCache>
            </c:strRef>
          </c:tx>
          <c:spPr>
            <a:solidFill>
              <a:schemeClr val="accent6">
                <a:lumMod val="60000"/>
                <a:lumOff val="40000"/>
              </a:schemeClr>
            </a:solidFill>
            <a:ln>
              <a:noFill/>
            </a:ln>
            <a:effectLst/>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template'!$E$37:$E$56</c:f>
              <c:numCache>
                <c:formatCode>_(* #,##0.0000_);_(* \(#,##0.0000\);_(* "-"_);_(@_)</c:formatCode>
                <c:ptCount val="20"/>
                <c:pt idx="0">
                  <c:v>0</c:v>
                </c:pt>
                <c:pt idx="1">
                  <c:v>0.30611683250864841</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1-BD71-4020-8846-3CCCE3BF5637}"/>
            </c:ext>
          </c:extLst>
        </c:ser>
        <c:ser>
          <c:idx val="2"/>
          <c:order val="2"/>
          <c:tx>
            <c:strRef>
              <c:f>'6. Pricing template'!$F$36</c:f>
              <c:strCache>
                <c:ptCount val="1"/>
                <c:pt idx="0">
                  <c:v>Return on capital &amp; Tax per unit</c:v>
                </c:pt>
              </c:strCache>
            </c:strRef>
          </c:tx>
          <c:spPr>
            <a:solidFill>
              <a:srgbClr val="FFECC9"/>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template'!$F$37:$F$56</c:f>
              <c:numCache>
                <c:formatCode>_(* #,##0.0000_);_(* \(#,##0.0000\);_(* "-"_);_(@_)</c:formatCode>
                <c:ptCount val="20"/>
                <c:pt idx="0">
                  <c:v>0.26046422680057751</c:v>
                </c:pt>
                <c:pt idx="1">
                  <c:v>0.26046422680057751</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2-BD71-4020-8846-3CCCE3BF5637}"/>
            </c:ext>
          </c:extLst>
        </c:ser>
        <c:dLbls>
          <c:showLegendKey val="0"/>
          <c:showVal val="0"/>
          <c:showCatName val="0"/>
          <c:showSerName val="0"/>
          <c:showPercent val="0"/>
          <c:showBubbleSize val="0"/>
        </c:dLbls>
        <c:gapWidth val="34"/>
        <c:overlap val="100"/>
        <c:axId val="238082560"/>
        <c:axId val="1"/>
      </c:barChart>
      <c:lineChart>
        <c:grouping val="standard"/>
        <c:varyColors val="0"/>
        <c:ser>
          <c:idx val="3"/>
          <c:order val="3"/>
          <c:tx>
            <c:strRef>
              <c:f>'6. Pricing template'!$G$36</c:f>
              <c:strCache>
                <c:ptCount val="1"/>
                <c:pt idx="0">
                  <c:v>Total cost per unit</c:v>
                </c:pt>
              </c:strCache>
            </c:strRef>
          </c:tx>
          <c:spPr>
            <a:ln w="28575">
              <a:noFill/>
            </a:ln>
          </c:spPr>
          <c:marker>
            <c:symbol val="none"/>
          </c:marker>
          <c:dLbls>
            <c:numFmt formatCode="_-\$* #,##0.0000_-;\-\$* #,##0.0000_-;_-\$* &quot;-&quot;????_-;_-@_-" sourceLinked="0"/>
            <c:spPr>
              <a:noFill/>
              <a:ln w="25400">
                <a:noFill/>
              </a:ln>
            </c:spPr>
            <c:txPr>
              <a:bodyPr wrap="square" lIns="38100" tIns="19050" rIns="38100" bIns="19050" anchor="ctr">
                <a:spAutoFit/>
              </a:bodyPr>
              <a:lstStyle/>
              <a:p>
                <a:pPr>
                  <a:defRPr sz="1200" b="1" i="0" u="none" strike="noStrike" baseline="0">
                    <a:solidFill>
                      <a:srgbClr val="333333"/>
                    </a:solidFill>
                    <a:latin typeface="Calibri"/>
                    <a:ea typeface="Calibri"/>
                    <a:cs typeface="Calibri"/>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template'!$B$37:$C$54</c:f>
              <c:multiLvlStrCache>
                <c:ptCount val="18"/>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lvl>
              </c:multiLvlStrCache>
            </c:multiLvlStrRef>
          </c:cat>
          <c:val>
            <c:numRef>
              <c:f>'6. Pricing template'!$G$37:$G$56</c:f>
              <c:numCache>
                <c:formatCode>_(* #,##0.0000_);_(* \(#,##0.0000\);_(* "-"_);_(@_)</c:formatCode>
                <c:ptCount val="20"/>
                <c:pt idx="0">
                  <c:v>0.5103784489089177</c:v>
                </c:pt>
                <c:pt idx="1">
                  <c:v>0.94037112416257429</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3-BD71-4020-8846-3CCCE3BF5637}"/>
            </c:ext>
          </c:extLst>
        </c:ser>
        <c:dLbls>
          <c:showLegendKey val="0"/>
          <c:showVal val="0"/>
          <c:showCatName val="0"/>
          <c:showSerName val="0"/>
          <c:showPercent val="0"/>
          <c:showBubbleSize val="0"/>
        </c:dLbls>
        <c:marker val="1"/>
        <c:smooth val="0"/>
        <c:axId val="238082560"/>
        <c:axId val="1"/>
      </c:lineChart>
      <c:catAx>
        <c:axId val="238082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333333"/>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100" b="1" i="0" u="none" strike="noStrike" baseline="0">
                    <a:solidFill>
                      <a:srgbClr val="000000"/>
                    </a:solidFill>
                    <a:latin typeface="Calibri"/>
                    <a:ea typeface="Calibri"/>
                    <a:cs typeface="Calibri"/>
                  </a:defRPr>
                </a:pPr>
                <a:r>
                  <a:rPr lang="en-AU"/>
                  <a:t>Benchmark Prices ($)</a:t>
                </a:r>
              </a:p>
            </c:rich>
          </c:tx>
          <c:overlay val="0"/>
        </c:title>
        <c:numFmt formatCode="_(* #,##0.0000_);_(* \(#,##0.0000\);_(* &quot;-&quot;_);_(@_)" sourceLinked="1"/>
        <c:majorTickMark val="none"/>
        <c:minorTickMark val="none"/>
        <c:tickLblPos val="nextTo"/>
        <c:spPr>
          <a:ln w="9525">
            <a:noFill/>
          </a:ln>
        </c:spPr>
        <c:txPr>
          <a:bodyPr rot="0" vert="horz"/>
          <a:lstStyle/>
          <a:p>
            <a:pPr>
              <a:defRPr sz="1000" b="0" i="0" u="none" strike="noStrike" baseline="0">
                <a:solidFill>
                  <a:srgbClr val="333333"/>
                </a:solidFill>
                <a:latin typeface="Arial"/>
                <a:ea typeface="Arial"/>
                <a:cs typeface="Arial"/>
              </a:defRPr>
            </a:pPr>
            <a:endParaRPr lang="en-US"/>
          </a:p>
        </c:txPr>
        <c:crossAx val="238082560"/>
        <c:crosses val="autoZero"/>
        <c:crossBetween val="between"/>
      </c:valAx>
      <c:spPr>
        <a:noFill/>
        <a:ln w="25400">
          <a:noFill/>
        </a:ln>
      </c:spPr>
    </c:plotArea>
    <c:legend>
      <c:legendPos val="b"/>
      <c:legendEntry>
        <c:idx val="3"/>
        <c:delete val="1"/>
      </c:legendEntry>
      <c:layout>
        <c:manualLayout>
          <c:xMode val="edge"/>
          <c:yMode val="edge"/>
          <c:x val="2.6911428970786935E-3"/>
          <c:y val="5.5957352142801745E-3"/>
          <c:w val="0.34500540041424355"/>
          <c:h val="1.7586444773718995E-2"/>
        </c:manualLayout>
      </c:layout>
      <c:overlay val="0"/>
      <c:spPr>
        <a:noFill/>
        <a:ln w="25400">
          <a:noFill/>
        </a:ln>
      </c:spPr>
      <c:txPr>
        <a:bodyPr/>
        <a:lstStyle/>
        <a:p>
          <a:pPr>
            <a:defRPr sz="60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hyperlink" Target="#Contents!A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ntents!A1"/><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3.xml.rels><?xml version="1.0" encoding="UTF-8" standalone="yes"?>
<Relationships xmlns="http://schemas.openxmlformats.org/package/2006/relationships"><Relationship Id="rId3" Type="http://schemas.openxmlformats.org/officeDocument/2006/relationships/image" Target="../media/image11.jpeg"/><Relationship Id="rId2" Type="http://schemas.openxmlformats.org/officeDocument/2006/relationships/image" Target="../media/image10.jpeg"/><Relationship Id="rId1" Type="http://schemas.openxmlformats.org/officeDocument/2006/relationships/image" Target="../media/image9.jpe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104775</xdr:rowOff>
    </xdr:from>
    <xdr:to>
      <xdr:col>1</xdr:col>
      <xdr:colOff>787400</xdr:colOff>
      <xdr:row>1</xdr:row>
      <xdr:rowOff>7937</xdr:rowOff>
    </xdr:to>
    <xdr:pic>
      <xdr:nvPicPr>
        <xdr:cNvPr id="3934381" name="Picture 2">
          <a:extLst>
            <a:ext uri="{FF2B5EF4-FFF2-40B4-BE49-F238E27FC236}">
              <a16:creationId xmlns:a16="http://schemas.microsoft.com/office/drawing/2014/main" id="{BF57C9A2-D778-6D68-54F4-5885EA6FE7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04775"/>
          <a:ext cx="3362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228600</xdr:rowOff>
    </xdr:to>
    <xdr:pic>
      <xdr:nvPicPr>
        <xdr:cNvPr id="3935404" name="Picture 1">
          <a:hlinkClick xmlns:r="http://schemas.openxmlformats.org/officeDocument/2006/relationships" r:id="rId1"/>
          <a:extLst>
            <a:ext uri="{FF2B5EF4-FFF2-40B4-BE49-F238E27FC236}">
              <a16:creationId xmlns:a16="http://schemas.microsoft.com/office/drawing/2014/main" id="{96361C39-B8B0-B695-FDC3-D59BDE1EE9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0</xdr:rowOff>
    </xdr:from>
    <xdr:to>
      <xdr:col>6</xdr:col>
      <xdr:colOff>752475</xdr:colOff>
      <xdr:row>56</xdr:row>
      <xdr:rowOff>381000</xdr:rowOff>
    </xdr:to>
    <xdr:graphicFrame macro="">
      <xdr:nvGraphicFramePr>
        <xdr:cNvPr id="3936944" name="Chart 7">
          <a:extLst>
            <a:ext uri="{FF2B5EF4-FFF2-40B4-BE49-F238E27FC236}">
              <a16:creationId xmlns:a16="http://schemas.microsoft.com/office/drawing/2014/main" id="{2491DF82-B7A2-1CA5-6039-8ECFF886B0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790575</xdr:colOff>
      <xdr:row>7</xdr:row>
      <xdr:rowOff>9525</xdr:rowOff>
    </xdr:from>
    <xdr:to>
      <xdr:col>9</xdr:col>
      <xdr:colOff>13963650</xdr:colOff>
      <xdr:row>56</xdr:row>
      <xdr:rowOff>381000</xdr:rowOff>
    </xdr:to>
    <xdr:graphicFrame macro="">
      <xdr:nvGraphicFramePr>
        <xdr:cNvPr id="3936945" name="Chart 8">
          <a:extLst>
            <a:ext uri="{FF2B5EF4-FFF2-40B4-BE49-F238E27FC236}">
              <a16:creationId xmlns:a16="http://schemas.microsoft.com/office/drawing/2014/main" id="{AFE38D52-E9E4-1009-3324-7A9FE39539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59</xdr:row>
      <xdr:rowOff>152400</xdr:rowOff>
    </xdr:from>
    <xdr:to>
      <xdr:col>9</xdr:col>
      <xdr:colOff>1085850</xdr:colOff>
      <xdr:row>108</xdr:row>
      <xdr:rowOff>9525</xdr:rowOff>
    </xdr:to>
    <xdr:graphicFrame macro="">
      <xdr:nvGraphicFramePr>
        <xdr:cNvPr id="3936946" name="Chart 11">
          <a:extLst>
            <a:ext uri="{FF2B5EF4-FFF2-40B4-BE49-F238E27FC236}">
              <a16:creationId xmlns:a16="http://schemas.microsoft.com/office/drawing/2014/main" id="{C6E526FD-B8AE-0B36-AEA2-6AF46DF949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0</xdr:col>
      <xdr:colOff>2238375</xdr:colOff>
      <xdr:row>3</xdr:row>
      <xdr:rowOff>152400</xdr:rowOff>
    </xdr:to>
    <xdr:pic>
      <xdr:nvPicPr>
        <xdr:cNvPr id="3936947" name="Picture 1">
          <a:hlinkClick xmlns:r="http://schemas.openxmlformats.org/officeDocument/2006/relationships" r:id="rId4"/>
          <a:extLst>
            <a:ext uri="{FF2B5EF4-FFF2-40B4-BE49-F238E27FC236}">
              <a16:creationId xmlns:a16="http://schemas.microsoft.com/office/drawing/2014/main" id="{7936E9EA-49FF-4EDA-8626-385AF543607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8191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21</xdr:row>
      <xdr:rowOff>0</xdr:rowOff>
    </xdr:from>
    <xdr:to>
      <xdr:col>6</xdr:col>
      <xdr:colOff>2095500</xdr:colOff>
      <xdr:row>91</xdr:row>
      <xdr:rowOff>381000</xdr:rowOff>
    </xdr:to>
    <xdr:graphicFrame macro="">
      <xdr:nvGraphicFramePr>
        <xdr:cNvPr id="3940696" name="Chart 1">
          <a:extLst>
            <a:ext uri="{FF2B5EF4-FFF2-40B4-BE49-F238E27FC236}">
              <a16:creationId xmlns:a16="http://schemas.microsoft.com/office/drawing/2014/main" id="{1F72B8CC-0AF1-523D-44D2-11B9CE4EF7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2152650</xdr:colOff>
      <xdr:row>3</xdr:row>
      <xdr:rowOff>228600</xdr:rowOff>
    </xdr:to>
    <xdr:pic>
      <xdr:nvPicPr>
        <xdr:cNvPr id="3940697" name="Picture 1">
          <a:hlinkClick xmlns:r="http://schemas.openxmlformats.org/officeDocument/2006/relationships" r:id="rId2"/>
          <a:extLst>
            <a:ext uri="{FF2B5EF4-FFF2-40B4-BE49-F238E27FC236}">
              <a16:creationId xmlns:a16="http://schemas.microsoft.com/office/drawing/2014/main" id="{3EF97B47-4680-0CD1-C5B8-021F9B76355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4562100" name="Group 1">
          <a:extLst>
            <a:ext uri="{FF2B5EF4-FFF2-40B4-BE49-F238E27FC236}">
              <a16:creationId xmlns:a16="http://schemas.microsoft.com/office/drawing/2014/main" id="{8E54F902-3074-B97D-8C93-CC6C2EAFA75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AD1F4E4B-BC8F-8AAF-8AC4-1E6FE2BB8A19}"/>
              </a:ext>
            </a:extLst>
          </xdr:cNvPr>
          <xdr:cNvSpPr>
            <a:spLocks noChangeArrowheads="1"/>
          </xdr:cNvSpPr>
        </xdr:nvSpPr>
        <xdr:spPr bwMode="auto">
          <a:xfrm>
            <a:off x="-19468677194775"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562106" name="Picture 3">
            <a:extLst>
              <a:ext uri="{FF2B5EF4-FFF2-40B4-BE49-F238E27FC236}">
                <a16:creationId xmlns:a16="http://schemas.microsoft.com/office/drawing/2014/main" id="{E3C428A2-6368-639B-E43E-6B562E2C29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4562101" name="Group 7">
          <a:extLst>
            <a:ext uri="{FF2B5EF4-FFF2-40B4-BE49-F238E27FC236}">
              <a16:creationId xmlns:a16="http://schemas.microsoft.com/office/drawing/2014/main" id="{29F8047A-C74F-A1F1-91BE-687D4C096F03}"/>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23E47DEE-C5F0-607D-2ECD-949565F0119F}"/>
              </a:ext>
            </a:extLst>
          </xdr:cNvPr>
          <xdr:cNvSpPr>
            <a:spLocks noChangeArrowheads="1"/>
          </xdr:cNvSpPr>
        </xdr:nvSpPr>
        <xdr:spPr bwMode="auto">
          <a:xfrm>
            <a:off x="-19468677194775"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562104" name="Picture 9">
            <a:extLst>
              <a:ext uri="{FF2B5EF4-FFF2-40B4-BE49-F238E27FC236}">
                <a16:creationId xmlns:a16="http://schemas.microsoft.com/office/drawing/2014/main" id="{8878E0B8-6A36-A0B6-81D5-EBC04F6027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28575</xdr:colOff>
      <xdr:row>3</xdr:row>
      <xdr:rowOff>133350</xdr:rowOff>
    </xdr:to>
    <xdr:pic>
      <xdr:nvPicPr>
        <xdr:cNvPr id="4562102" name="Picture 1">
          <a:hlinkClick xmlns:r="http://schemas.openxmlformats.org/officeDocument/2006/relationships" r:id="rId1"/>
          <a:extLst>
            <a:ext uri="{FF2B5EF4-FFF2-40B4-BE49-F238E27FC236}">
              <a16:creationId xmlns:a16="http://schemas.microsoft.com/office/drawing/2014/main" id="{902C6E33-6513-7A6E-529E-8D09FA4ADED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2867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2381</xdr:colOff>
      <xdr:row>3</xdr:row>
      <xdr:rowOff>257175</xdr:rowOff>
    </xdr:to>
    <xdr:pic>
      <xdr:nvPicPr>
        <xdr:cNvPr id="3943596" name="Picture 1">
          <a:hlinkClick xmlns:r="http://schemas.openxmlformats.org/officeDocument/2006/relationships" r:id="rId1"/>
          <a:extLst>
            <a:ext uri="{FF2B5EF4-FFF2-40B4-BE49-F238E27FC236}">
              <a16:creationId xmlns:a16="http://schemas.microsoft.com/office/drawing/2014/main" id="{7B3B91B2-9072-90A0-FF82-8870181C99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228600</xdr:rowOff>
    </xdr:to>
    <xdr:pic>
      <xdr:nvPicPr>
        <xdr:cNvPr id="3944620" name="Picture 1">
          <a:hlinkClick xmlns:r="http://schemas.openxmlformats.org/officeDocument/2006/relationships" r:id="rId1"/>
          <a:extLst>
            <a:ext uri="{FF2B5EF4-FFF2-40B4-BE49-F238E27FC236}">
              <a16:creationId xmlns:a16="http://schemas.microsoft.com/office/drawing/2014/main" id="{D4AEB09E-C559-B92F-F1F1-D588852643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247650</xdr:rowOff>
    </xdr:to>
    <xdr:pic>
      <xdr:nvPicPr>
        <xdr:cNvPr id="1738423" name="Picture 3">
          <a:hlinkClick xmlns:r="http://schemas.openxmlformats.org/officeDocument/2006/relationships" r:id="rId1"/>
          <a:extLst>
            <a:ext uri="{FF2B5EF4-FFF2-40B4-BE49-F238E27FC236}">
              <a16:creationId xmlns:a16="http://schemas.microsoft.com/office/drawing/2014/main" id="{F8BE611B-2EF6-1951-41BB-C8D5174BB45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3946160" name="Group 1">
          <a:extLst>
            <a:ext uri="{FF2B5EF4-FFF2-40B4-BE49-F238E27FC236}">
              <a16:creationId xmlns:a16="http://schemas.microsoft.com/office/drawing/2014/main" id="{9418C4EC-D754-BA18-3941-BE06A8D496B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EA98D829-37D2-75B5-0887-C885D2D8AE45}"/>
              </a:ext>
            </a:extLst>
          </xdr:cNvPr>
          <xdr:cNvSpPr>
            <a:spLocks noChangeArrowheads="1"/>
          </xdr:cNvSpPr>
        </xdr:nvSpPr>
        <xdr:spPr bwMode="auto">
          <a:xfrm>
            <a:off x="-19468677194775"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3946163" name="Picture 3">
            <a:extLst>
              <a:ext uri="{FF2B5EF4-FFF2-40B4-BE49-F238E27FC236}">
                <a16:creationId xmlns:a16="http://schemas.microsoft.com/office/drawing/2014/main" id="{D3D97EEE-3586-4635-F167-2200462B1D9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2200275</xdr:colOff>
      <xdr:row>3</xdr:row>
      <xdr:rowOff>228600</xdr:rowOff>
    </xdr:to>
    <xdr:pic>
      <xdr:nvPicPr>
        <xdr:cNvPr id="3946161" name="Picture 1">
          <a:hlinkClick xmlns:r="http://schemas.openxmlformats.org/officeDocument/2006/relationships" r:id="rId1"/>
          <a:extLst>
            <a:ext uri="{FF2B5EF4-FFF2-40B4-BE49-F238E27FC236}">
              <a16:creationId xmlns:a16="http://schemas.microsoft.com/office/drawing/2014/main" id="{1C57D315-8C4A-C1E4-456C-C280A793BA6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001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219075</xdr:rowOff>
    </xdr:to>
    <xdr:pic>
      <xdr:nvPicPr>
        <xdr:cNvPr id="3946668" name="Picture 1">
          <a:hlinkClick xmlns:r="http://schemas.openxmlformats.org/officeDocument/2006/relationships" r:id="rId1"/>
          <a:extLst>
            <a:ext uri="{FF2B5EF4-FFF2-40B4-BE49-F238E27FC236}">
              <a16:creationId xmlns:a16="http://schemas.microsoft.com/office/drawing/2014/main" id="{38D296D7-7683-0A00-62BF-4904C8524A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2867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123825</xdr:rowOff>
    </xdr:to>
    <xdr:pic>
      <xdr:nvPicPr>
        <xdr:cNvPr id="3947692" name="Picture 1">
          <a:hlinkClick xmlns:r="http://schemas.openxmlformats.org/officeDocument/2006/relationships" r:id="rId1"/>
          <a:extLst>
            <a:ext uri="{FF2B5EF4-FFF2-40B4-BE49-F238E27FC236}">
              <a16:creationId xmlns:a16="http://schemas.microsoft.com/office/drawing/2014/main" id="{77C2913F-4161-95B5-0E5A-CA2184C1C9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524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209550</xdr:rowOff>
    </xdr:to>
    <xdr:pic>
      <xdr:nvPicPr>
        <xdr:cNvPr id="1742545" name="Picture 1">
          <a:hlinkClick xmlns:r="http://schemas.openxmlformats.org/officeDocument/2006/relationships" r:id="rId1"/>
          <a:extLst>
            <a:ext uri="{FF2B5EF4-FFF2-40B4-BE49-F238E27FC236}">
              <a16:creationId xmlns:a16="http://schemas.microsoft.com/office/drawing/2014/main" id="{097DBEDC-CF19-9E02-2D3D-6BC8371CDC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228600</xdr:rowOff>
    </xdr:to>
    <xdr:pic>
      <xdr:nvPicPr>
        <xdr:cNvPr id="1360625" name="Picture 1">
          <a:hlinkClick xmlns:r="http://schemas.openxmlformats.org/officeDocument/2006/relationships" r:id="rId1"/>
          <a:extLst>
            <a:ext uri="{FF2B5EF4-FFF2-40B4-BE49-F238E27FC236}">
              <a16:creationId xmlns:a16="http://schemas.microsoft.com/office/drawing/2014/main" id="{259559DB-1FC9-C403-78B5-3A20777F19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228600</xdr:rowOff>
    </xdr:to>
    <xdr:pic>
      <xdr:nvPicPr>
        <xdr:cNvPr id="3948716" name="Picture 1">
          <a:hlinkClick xmlns:r="http://schemas.openxmlformats.org/officeDocument/2006/relationships" r:id="rId1"/>
          <a:extLst>
            <a:ext uri="{FF2B5EF4-FFF2-40B4-BE49-F238E27FC236}">
              <a16:creationId xmlns:a16="http://schemas.microsoft.com/office/drawing/2014/main" id="{D363E75A-FEEB-7EE8-F877-95D256E1C2C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4563124" name="Group 1">
          <a:extLst>
            <a:ext uri="{FF2B5EF4-FFF2-40B4-BE49-F238E27FC236}">
              <a16:creationId xmlns:a16="http://schemas.microsoft.com/office/drawing/2014/main" id="{EC0ECF51-A722-0908-3FC9-288A19DC6936}"/>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DF35D981-8E05-D203-D484-6C1B2BCDF92B}"/>
              </a:ext>
            </a:extLst>
          </xdr:cNvPr>
          <xdr:cNvSpPr>
            <a:spLocks noChangeArrowheads="1"/>
          </xdr:cNvSpPr>
        </xdr:nvSpPr>
        <xdr:spPr bwMode="auto">
          <a:xfrm>
            <a:off x="-19468677194775"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563130" name="Picture 3">
            <a:extLst>
              <a:ext uri="{FF2B5EF4-FFF2-40B4-BE49-F238E27FC236}">
                <a16:creationId xmlns:a16="http://schemas.microsoft.com/office/drawing/2014/main" id="{C32F04B1-1337-2B73-B7B0-5F61CCD5F7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4563125" name="Group 7">
          <a:extLst>
            <a:ext uri="{FF2B5EF4-FFF2-40B4-BE49-F238E27FC236}">
              <a16:creationId xmlns:a16="http://schemas.microsoft.com/office/drawing/2014/main" id="{726E2A62-6E66-FFD0-008A-46842E5EB268}"/>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DF88E4FD-A2C7-3735-7DAC-FD323ADED905}"/>
              </a:ext>
            </a:extLst>
          </xdr:cNvPr>
          <xdr:cNvSpPr>
            <a:spLocks noChangeArrowheads="1"/>
          </xdr:cNvSpPr>
        </xdr:nvSpPr>
        <xdr:spPr bwMode="auto">
          <a:xfrm>
            <a:off x="-19468677194775"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563128" name="Picture 9">
            <a:extLst>
              <a:ext uri="{FF2B5EF4-FFF2-40B4-BE49-F238E27FC236}">
                <a16:creationId xmlns:a16="http://schemas.microsoft.com/office/drawing/2014/main" id="{12506447-873C-5E3F-7B7B-AB7A6523F7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9525</xdr:colOff>
      <xdr:row>4</xdr:row>
      <xdr:rowOff>0</xdr:rowOff>
    </xdr:to>
    <xdr:pic>
      <xdr:nvPicPr>
        <xdr:cNvPr id="4563126" name="Picture 1">
          <a:hlinkClick xmlns:r="http://schemas.openxmlformats.org/officeDocument/2006/relationships" r:id="rId1"/>
          <a:extLst>
            <a:ext uri="{FF2B5EF4-FFF2-40B4-BE49-F238E27FC236}">
              <a16:creationId xmlns:a16="http://schemas.microsoft.com/office/drawing/2014/main" id="{47CBCAAC-C04A-0E4C-8C50-3546F423F84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0962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3</xdr:row>
      <xdr:rowOff>209550</xdr:rowOff>
    </xdr:to>
    <xdr:pic>
      <xdr:nvPicPr>
        <xdr:cNvPr id="3933360" name="Picture 1">
          <a:hlinkClick xmlns:r="http://schemas.openxmlformats.org/officeDocument/2006/relationships" r:id="rId1"/>
          <a:extLst>
            <a:ext uri="{FF2B5EF4-FFF2-40B4-BE49-F238E27FC236}">
              <a16:creationId xmlns:a16="http://schemas.microsoft.com/office/drawing/2014/main" id="{282008B0-DB3B-F561-2984-7AE48FC3F4D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96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228600</xdr:rowOff>
    </xdr:to>
    <xdr:pic>
      <xdr:nvPicPr>
        <xdr:cNvPr id="3950764" name="Picture 1">
          <a:hlinkClick xmlns:r="http://schemas.openxmlformats.org/officeDocument/2006/relationships" r:id="rId1"/>
          <a:extLst>
            <a:ext uri="{FF2B5EF4-FFF2-40B4-BE49-F238E27FC236}">
              <a16:creationId xmlns:a16="http://schemas.microsoft.com/office/drawing/2014/main" id="{4A2397CB-9012-0C7E-7163-11CEEC399A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572165</xdr:colOff>
      <xdr:row>64</xdr:row>
      <xdr:rowOff>76800</xdr:rowOff>
    </xdr:to>
    <xdr:pic>
      <xdr:nvPicPr>
        <xdr:cNvPr id="2" name="Picture 1">
          <a:extLst>
            <a:ext uri="{FF2B5EF4-FFF2-40B4-BE49-F238E27FC236}">
              <a16:creationId xmlns:a16="http://schemas.microsoft.com/office/drawing/2014/main" id="{7D4B79A7-2360-58DA-FCE3-08F628166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590550</xdr:colOff>
      <xdr:row>0</xdr:row>
      <xdr:rowOff>0</xdr:rowOff>
    </xdr:from>
    <xdr:to>
      <xdr:col>23</xdr:col>
      <xdr:colOff>543590</xdr:colOff>
      <xdr:row>64</xdr:row>
      <xdr:rowOff>76800</xdr:rowOff>
    </xdr:to>
    <xdr:pic>
      <xdr:nvPicPr>
        <xdr:cNvPr id="3" name="Picture 2">
          <a:extLst>
            <a:ext uri="{FF2B5EF4-FFF2-40B4-BE49-F238E27FC236}">
              <a16:creationId xmlns:a16="http://schemas.microsoft.com/office/drawing/2014/main" id="{6D11A88C-1EE5-67A3-BE10-33293C1E4F4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00925"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590550</xdr:colOff>
      <xdr:row>0</xdr:row>
      <xdr:rowOff>0</xdr:rowOff>
    </xdr:from>
    <xdr:to>
      <xdr:col>35</xdr:col>
      <xdr:colOff>543590</xdr:colOff>
      <xdr:row>64</xdr:row>
      <xdr:rowOff>76800</xdr:rowOff>
    </xdr:to>
    <xdr:pic>
      <xdr:nvPicPr>
        <xdr:cNvPr id="4" name="Picture 3">
          <a:extLst>
            <a:ext uri="{FF2B5EF4-FFF2-40B4-BE49-F238E27FC236}">
              <a16:creationId xmlns:a16="http://schemas.microsoft.com/office/drawing/2014/main" id="{65CE756A-DA96-B87F-1610-18CCD23B511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830425"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57150</xdr:colOff>
      <xdr:row>3</xdr:row>
      <xdr:rowOff>257175</xdr:rowOff>
    </xdr:to>
    <xdr:pic>
      <xdr:nvPicPr>
        <xdr:cNvPr id="1746610" name="Picture 1">
          <a:hlinkClick xmlns:r="http://schemas.openxmlformats.org/officeDocument/2006/relationships" r:id="rId1"/>
          <a:extLst>
            <a:ext uri="{FF2B5EF4-FFF2-40B4-BE49-F238E27FC236}">
              <a16:creationId xmlns:a16="http://schemas.microsoft.com/office/drawing/2014/main" id="{C45C38DA-D82B-2FAB-E508-C43A773F10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176212</xdr:rowOff>
    </xdr:to>
    <xdr:pic>
      <xdr:nvPicPr>
        <xdr:cNvPr id="3951788" name="Picture 1">
          <a:hlinkClick xmlns:r="http://schemas.openxmlformats.org/officeDocument/2006/relationships" r:id="rId1"/>
          <a:extLst>
            <a:ext uri="{FF2B5EF4-FFF2-40B4-BE49-F238E27FC236}">
              <a16:creationId xmlns:a16="http://schemas.microsoft.com/office/drawing/2014/main" id="{A0FEAA04-FF86-2448-700F-ADFD5F9FCD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572165</xdr:colOff>
      <xdr:row>64</xdr:row>
      <xdr:rowOff>76800</xdr:rowOff>
    </xdr:to>
    <xdr:pic>
      <xdr:nvPicPr>
        <xdr:cNvPr id="2" name="Picture 1">
          <a:extLst>
            <a:ext uri="{FF2B5EF4-FFF2-40B4-BE49-F238E27FC236}">
              <a16:creationId xmlns:a16="http://schemas.microsoft.com/office/drawing/2014/main" id="{FF865175-C465-A191-A4C2-818E7370A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609600</xdr:colOff>
      <xdr:row>0</xdr:row>
      <xdr:rowOff>0</xdr:rowOff>
    </xdr:from>
    <xdr:to>
      <xdr:col>23</xdr:col>
      <xdr:colOff>562640</xdr:colOff>
      <xdr:row>64</xdr:row>
      <xdr:rowOff>76800</xdr:rowOff>
    </xdr:to>
    <xdr:pic>
      <xdr:nvPicPr>
        <xdr:cNvPr id="3" name="Picture 2">
          <a:extLst>
            <a:ext uri="{FF2B5EF4-FFF2-40B4-BE49-F238E27FC236}">
              <a16:creationId xmlns:a16="http://schemas.microsoft.com/office/drawing/2014/main" id="{D9F418B6-F613-6BF9-17D4-56E12119F58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19975"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3</xdr:row>
      <xdr:rowOff>76200</xdr:rowOff>
    </xdr:to>
    <xdr:pic>
      <xdr:nvPicPr>
        <xdr:cNvPr id="3952812" name="Picture 1">
          <a:hlinkClick xmlns:r="http://schemas.openxmlformats.org/officeDocument/2006/relationships" r:id="rId1"/>
          <a:extLst>
            <a:ext uri="{FF2B5EF4-FFF2-40B4-BE49-F238E27FC236}">
              <a16:creationId xmlns:a16="http://schemas.microsoft.com/office/drawing/2014/main" id="{591B976A-9D14-C62B-B1DF-C2754207F2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96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605071</xdr:colOff>
      <xdr:row>64</xdr:row>
      <xdr:rowOff>76800</xdr:rowOff>
    </xdr:to>
    <xdr:pic>
      <xdr:nvPicPr>
        <xdr:cNvPr id="2" name="Picture 1">
          <a:extLst>
            <a:ext uri="{FF2B5EF4-FFF2-40B4-BE49-F238E27FC236}">
              <a16:creationId xmlns:a16="http://schemas.microsoft.com/office/drawing/2014/main" id="{35DED58F-1C88-0599-E8CC-19B463E5B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415446"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0</xdr:row>
      <xdr:rowOff>0</xdr:rowOff>
    </xdr:from>
    <xdr:to>
      <xdr:col>23</xdr:col>
      <xdr:colOff>572165</xdr:colOff>
      <xdr:row>64</xdr:row>
      <xdr:rowOff>76800</xdr:rowOff>
    </xdr:to>
    <xdr:pic>
      <xdr:nvPicPr>
        <xdr:cNvPr id="3" name="Picture 2">
          <a:extLst>
            <a:ext uri="{FF2B5EF4-FFF2-40B4-BE49-F238E27FC236}">
              <a16:creationId xmlns:a16="http://schemas.microsoft.com/office/drawing/2014/main" id="{05BA47B8-78F7-437A-C1BF-BCAB536E4C6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2950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152400</xdr:colOff>
      <xdr:row>0</xdr:row>
      <xdr:rowOff>0</xdr:rowOff>
    </xdr:from>
    <xdr:to>
      <xdr:col>36</xdr:col>
      <xdr:colOff>105440</xdr:colOff>
      <xdr:row>64</xdr:row>
      <xdr:rowOff>76800</xdr:rowOff>
    </xdr:to>
    <xdr:pic>
      <xdr:nvPicPr>
        <xdr:cNvPr id="4" name="Picture 3">
          <a:extLst>
            <a:ext uri="{FF2B5EF4-FFF2-40B4-BE49-F238E27FC236}">
              <a16:creationId xmlns:a16="http://schemas.microsoft.com/office/drawing/2014/main" id="{5759B82C-3579-FD90-270B-ED4B444332E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501140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777875</xdr:colOff>
      <xdr:row>3</xdr:row>
      <xdr:rowOff>228600</xdr:rowOff>
    </xdr:to>
    <xdr:pic>
      <xdr:nvPicPr>
        <xdr:cNvPr id="1749682" name="Picture 1">
          <a:hlinkClick xmlns:r="http://schemas.openxmlformats.org/officeDocument/2006/relationships" r:id="rId1"/>
          <a:extLst>
            <a:ext uri="{FF2B5EF4-FFF2-40B4-BE49-F238E27FC236}">
              <a16:creationId xmlns:a16="http://schemas.microsoft.com/office/drawing/2014/main" id="{F18A5D10-63AF-D51D-DFD5-290284FDD4B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FC6D404D-F1EF-4899-A399-A743C5764E78}" name="Table141" displayName="Table141" ref="A1:G4" totalsRowShown="0" headerRowDxfId="96" tableBorderDxfId="95">
  <autoFilter ref="A1:G4" xr:uid="{878469F7-4EEE-4020-9EDC-7925FECBA905}"/>
  <tableColumns count="7">
    <tableColumn id="1" xr3:uid="{00000000-0010-0000-0100-000001000000}" name="Date"/>
    <tableColumn id="2" xr3:uid="{00000000-0010-0000-0100-000002000000}" name="AER amendment#"/>
    <tableColumn id="3" xr3:uid="{00000000-0010-0000-0100-000003000000}" name="Worksheet" dataDxfId="94"/>
    <tableColumn id="4" xr3:uid="{00000000-0010-0000-0100-000004000000}" name="Table"/>
    <tableColumn id="5" xr3:uid="{00000000-0010-0000-0100-000005000000}" name="Cell" dataDxfId="93"/>
    <tableColumn id="6" xr3:uid="{00000000-0010-0000-0100-000006000000}" name="Change"/>
    <tableColumn id="7" xr3:uid="{00000000-0010-0000-0100-000007000000}" name="Reas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8" xr:uid="{7B333807-474B-4596-9F74-0EB1D219C048}" name="APA_FIN___Worksheet_Journal_Summary___CCM_and_Asset_view__Actual_" displayName="APA_FIN___Worksheet_Journal_Summary___CCM_and_Asset_view__Actual_" ref="A12:R1289">
  <tableColumns count="18">
    <tableColumn id="1" xr3:uid="{00000000-0010-0000-0300-000001000000}" name="Journal Accounting Month" totalsRowLabel="Total"/>
    <tableColumn id="2" xr3:uid="{00000000-0010-0000-0300-000002000000}" name="Company ID"/>
    <tableColumn id="3" xr3:uid="{00000000-0010-0000-0300-000003000000}" name="Company"/>
    <tableColumn id="4" xr3:uid="{00000000-0010-0000-0300-000004000000}" name="Journal Source"/>
    <tableColumn id="5" xr3:uid="{00000000-0010-0000-0300-000005000000}" name="APA Asset ID"/>
    <tableColumn id="6" xr3:uid="{00000000-0010-0000-0300-000006000000}" name="APA Asset"/>
    <tableColumn id="7" xr3:uid="{00000000-0010-0000-0300-000007000000}" name="Cost Center ID"/>
    <tableColumn id="8" xr3:uid="{00000000-0010-0000-0300-000008000000}" name="Cost Center"/>
    <tableColumn id="9" xr3:uid="{00000000-0010-0000-0300-000009000000}" name="Ledger Account ID"/>
    <tableColumn id="10" xr3:uid="{00000000-0010-0000-0300-00000A000000}" name="Ledger Account"/>
    <tableColumn id="11" xr3:uid="{00000000-0010-0000-0300-00000B000000}" name="Spend Category ID"/>
    <tableColumn id="12" xr3:uid="{00000000-0010-0000-0300-00000C000000}" name="Spend Category"/>
    <tableColumn id="13" xr3:uid="{00000000-0010-0000-0300-00000D000000}" name="Revenue Category ID"/>
    <tableColumn id="14" xr3:uid="{00000000-0010-0000-0300-00000E000000}" name="Revenue Category"/>
    <tableColumn id="15" xr3:uid="{00000000-0010-0000-0300-00000F000000}" name="Supplier"/>
    <tableColumn id="16" xr3:uid="{00000000-0010-0000-0300-000010000000}" name="Column1"/>
    <tableColumn id="17" xr3:uid="{00000000-0010-0000-0300-000011000000}" name="Customer"/>
    <tableColumn id="18" xr3:uid="{00000000-0010-0000-0300-000012000000}" name="Ledger/Budget Debit minus Credit"/>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F795AAB-332C-4A79-877D-19D6D4307E97}" name="Table1" displayName="Table1" ref="A1:G123" totalsRowShown="0" headerRowDxfId="92" dataDxfId="91">
  <autoFilter ref="A1:G123" xr:uid="{FB8D2B8D-3DF8-4EDA-BC0F-2296241293E3}"/>
  <tableColumns count="7">
    <tableColumn id="1" xr3:uid="{00000000-0010-0000-0500-000001000000}" name="Date" dataDxfId="90"/>
    <tableColumn id="2" xr3:uid="{00000000-0010-0000-0500-000002000000}" name="AER amendment#" dataDxfId="89"/>
    <tableColumn id="3" xr3:uid="{00000000-0010-0000-0500-000003000000}" name="Worksheet" dataDxfId="88"/>
    <tableColumn id="4" xr3:uid="{00000000-0010-0000-0500-000004000000}" name="Table" dataDxfId="87"/>
    <tableColumn id="5" xr3:uid="{00000000-0010-0000-0500-000005000000}" name="Cell" dataDxfId="86"/>
    <tableColumn id="6" xr3:uid="{00000000-0010-0000-0500-000006000000}" name="Change" dataDxfId="85"/>
    <tableColumn id="7" xr3:uid="{00000000-0010-0000-0500-000007000000}" name="Reason" dataDxfId="84"/>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4.xml"/><Relationship Id="rId1" Type="http://schemas.openxmlformats.org/officeDocument/2006/relationships/printerSettings" Target="../printerSettings/printerSettings22.bin"/><Relationship Id="rId4" Type="http://schemas.openxmlformats.org/officeDocument/2006/relationships/comments" Target="../comments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8.vml"/><Relationship Id="rId1" Type="http://schemas.openxmlformats.org/officeDocument/2006/relationships/hyperlink" Target="file:///C:/Users/:x:/r/sites/RegulatoryReportingTeam/Shared%20Documents/Part%2010/1.%20FY25/Non-scheme%20pipelines/1.%20AER%20Annual%20Reporting%20Template/7.%20RCWP/Support/RCWP%20AER%20Part%2010%20Workings.xlsx" TargetMode="External"/><Relationship Id="rId4" Type="http://schemas.openxmlformats.org/officeDocument/2006/relationships/comments" Target="../comments5.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A69D3-A544-4ED9-9383-349010ADE503}">
  <sheetPr codeName="Sheet1"/>
  <dimension ref="A1:K51"/>
  <sheetViews>
    <sheetView tabSelected="1" zoomScale="80" zoomScaleNormal="80" workbookViewId="0"/>
  </sheetViews>
  <sheetFormatPr defaultColWidth="9.28515625" defaultRowHeight="12.75" x14ac:dyDescent="0.2"/>
  <cols>
    <col min="1" max="1" width="41" style="234" customWidth="1"/>
    <col min="2" max="2" width="23.5703125" style="234" customWidth="1"/>
    <col min="3" max="6" width="20.7109375" style="234" customWidth="1"/>
    <col min="7" max="8" width="11.28515625" style="234" customWidth="1"/>
    <col min="9" max="11" width="20.7109375" style="234" customWidth="1"/>
    <col min="12" max="13" width="9.28515625" style="234"/>
    <col min="14" max="14" width="27.28515625" style="234" customWidth="1"/>
    <col min="15" max="16384" width="9.28515625" style="234"/>
  </cols>
  <sheetData>
    <row r="1" spans="1:11" ht="66" customHeight="1" x14ac:dyDescent="0.2"/>
    <row r="2" spans="1:11" ht="20.25" customHeight="1" x14ac:dyDescent="0.2">
      <c r="A2" s="235" t="s">
        <v>20</v>
      </c>
      <c r="B2" s="235"/>
      <c r="C2" s="235"/>
      <c r="D2" s="235"/>
      <c r="E2" s="235"/>
      <c r="F2" s="235"/>
      <c r="G2" s="235"/>
      <c r="H2" s="235"/>
      <c r="I2" s="235"/>
      <c r="J2" s="235"/>
      <c r="K2" s="235"/>
    </row>
    <row r="3" spans="1:11" ht="20.25" x14ac:dyDescent="0.2">
      <c r="A3" s="235" t="s">
        <v>509</v>
      </c>
      <c r="B3" s="235"/>
      <c r="C3" s="235"/>
      <c r="D3" s="235"/>
      <c r="E3" s="235"/>
      <c r="F3" s="235"/>
      <c r="G3" s="235"/>
      <c r="H3" s="235"/>
      <c r="I3" s="235"/>
      <c r="J3" s="235"/>
      <c r="K3" s="235"/>
    </row>
    <row r="4" spans="1:11" x14ac:dyDescent="0.2">
      <c r="A4" s="236"/>
      <c r="B4" s="236"/>
      <c r="C4" s="236"/>
      <c r="D4" s="236"/>
      <c r="E4" s="236"/>
      <c r="F4" s="236"/>
      <c r="G4" s="236"/>
      <c r="H4" s="236"/>
      <c r="I4" s="236"/>
      <c r="J4" s="236"/>
      <c r="K4" s="236"/>
    </row>
    <row r="5" spans="1:11" s="240" customFormat="1" ht="15.75" x14ac:dyDescent="0.2">
      <c r="A5" s="237" t="s">
        <v>21</v>
      </c>
      <c r="B5" s="238"/>
      <c r="C5" s="238"/>
      <c r="D5" s="238"/>
      <c r="E5" s="238"/>
      <c r="F5" s="238"/>
      <c r="G5" s="238"/>
      <c r="H5" s="238"/>
      <c r="I5" s="238"/>
      <c r="J5" s="239"/>
      <c r="K5" s="239"/>
    </row>
    <row r="6" spans="1:11" s="240" customFormat="1" ht="15.75" x14ac:dyDescent="0.2">
      <c r="A6" s="237" t="s">
        <v>539</v>
      </c>
      <c r="B6" s="238"/>
      <c r="C6" s="238"/>
      <c r="D6" s="238"/>
      <c r="E6" s="238"/>
      <c r="F6" s="238"/>
      <c r="G6" s="238"/>
      <c r="H6" s="238"/>
      <c r="I6" s="238"/>
      <c r="J6" s="239"/>
      <c r="K6" s="239"/>
    </row>
    <row r="7" spans="1:11" ht="15.75" thickBot="1" x14ac:dyDescent="0.25">
      <c r="A7" s="241"/>
      <c r="B7" s="241"/>
      <c r="C7" s="241"/>
      <c r="D7" s="241"/>
      <c r="E7" s="241"/>
      <c r="F7" s="241"/>
      <c r="G7" s="241"/>
      <c r="H7" s="241"/>
      <c r="I7" s="241"/>
      <c r="J7" s="236"/>
      <c r="K7" s="236"/>
    </row>
    <row r="8" spans="1:11" ht="12.75" customHeight="1" x14ac:dyDescent="0.2">
      <c r="A8" s="437" t="s">
        <v>1</v>
      </c>
      <c r="B8" s="438"/>
      <c r="C8" s="438"/>
      <c r="D8" s="438"/>
      <c r="E8" s="438"/>
      <c r="F8" s="438"/>
      <c r="G8" s="438"/>
      <c r="H8" s="438"/>
      <c r="I8" s="439"/>
      <c r="J8" s="236"/>
      <c r="K8" s="236"/>
    </row>
    <row r="9" spans="1:11" ht="15.75" x14ac:dyDescent="0.2">
      <c r="A9" s="242" t="s">
        <v>538</v>
      </c>
      <c r="B9" s="243"/>
      <c r="C9" s="243"/>
      <c r="D9" s="244"/>
      <c r="E9" s="244"/>
      <c r="F9" s="244"/>
      <c r="G9" s="244"/>
      <c r="H9" s="244"/>
      <c r="I9" s="245"/>
      <c r="J9" s="236"/>
      <c r="K9" s="236"/>
    </row>
    <row r="10" spans="1:11" ht="15.75" x14ac:dyDescent="0.2">
      <c r="A10" s="443" t="s">
        <v>537</v>
      </c>
      <c r="B10" s="444"/>
      <c r="C10" s="444"/>
      <c r="D10" s="444"/>
      <c r="E10" s="444"/>
      <c r="F10" s="444"/>
      <c r="G10" s="444"/>
      <c r="H10" s="444"/>
      <c r="I10" s="445"/>
      <c r="J10" s="236"/>
      <c r="K10" s="236"/>
    </row>
    <row r="11" spans="1:11" ht="16.5" thickBot="1" x14ac:dyDescent="0.25">
      <c r="A11" s="440" t="s">
        <v>495</v>
      </c>
      <c r="B11" s="441"/>
      <c r="C11" s="441"/>
      <c r="D11" s="441"/>
      <c r="E11" s="441"/>
      <c r="F11" s="441"/>
      <c r="G11" s="441"/>
      <c r="H11" s="441"/>
      <c r="I11" s="442"/>
      <c r="J11" s="236"/>
      <c r="K11" s="236"/>
    </row>
    <row r="12" spans="1:11" ht="15" x14ac:dyDescent="0.2">
      <c r="A12" s="446"/>
      <c r="B12" s="447"/>
      <c r="C12" s="447"/>
      <c r="D12" s="447"/>
      <c r="E12" s="447"/>
      <c r="F12" s="447"/>
      <c r="G12" s="447"/>
      <c r="H12" s="447"/>
      <c r="I12" s="447"/>
      <c r="J12" s="236"/>
      <c r="K12" s="236"/>
    </row>
    <row r="13" spans="1:11" ht="15.75" x14ac:dyDescent="0.2">
      <c r="A13" s="246" t="s">
        <v>2</v>
      </c>
      <c r="B13" s="241"/>
      <c r="C13" s="241"/>
      <c r="D13" s="241"/>
      <c r="E13" s="241"/>
      <c r="F13" s="241"/>
      <c r="G13" s="241"/>
      <c r="H13" s="241"/>
      <c r="I13" s="241"/>
      <c r="J13" s="236"/>
      <c r="K13" s="236"/>
    </row>
    <row r="14" spans="1:11" ht="15.75" x14ac:dyDescent="0.2">
      <c r="A14" s="247" t="s">
        <v>514</v>
      </c>
      <c r="B14" s="241"/>
      <c r="C14" s="241"/>
      <c r="D14" s="241"/>
      <c r="E14" s="241"/>
      <c r="F14" s="241"/>
      <c r="G14" s="241"/>
      <c r="H14" s="241"/>
      <c r="I14" s="241"/>
      <c r="J14" s="236"/>
      <c r="K14" s="236"/>
    </row>
    <row r="15" spans="1:11" x14ac:dyDescent="0.2">
      <c r="A15" s="236"/>
      <c r="B15" s="236"/>
      <c r="C15" s="236"/>
      <c r="D15" s="236"/>
      <c r="E15" s="236"/>
      <c r="F15" s="236"/>
      <c r="G15" s="236"/>
      <c r="H15" s="236"/>
      <c r="I15" s="236"/>
      <c r="J15" s="236"/>
      <c r="K15" s="236"/>
    </row>
    <row r="16" spans="1:11" x14ac:dyDescent="0.2">
      <c r="A16" s="236"/>
      <c r="B16" s="236"/>
      <c r="C16" s="236"/>
      <c r="D16" s="236"/>
      <c r="E16" s="236"/>
      <c r="F16" s="236"/>
      <c r="G16" s="236"/>
      <c r="H16" s="236"/>
      <c r="I16" s="236"/>
      <c r="J16" s="236"/>
      <c r="K16" s="236"/>
    </row>
    <row r="17" spans="1:11" ht="15.75" x14ac:dyDescent="0.2">
      <c r="A17" s="415" t="s">
        <v>126</v>
      </c>
      <c r="B17" s="436"/>
      <c r="C17" s="453" t="s">
        <v>914</v>
      </c>
      <c r="D17" s="454"/>
      <c r="E17" s="454"/>
      <c r="F17" s="241"/>
      <c r="G17" s="241"/>
      <c r="H17" s="241"/>
      <c r="I17" s="241"/>
      <c r="J17" s="241"/>
      <c r="K17" s="241"/>
    </row>
    <row r="18" spans="1:11" ht="15.75" x14ac:dyDescent="0.2">
      <c r="A18" s="247"/>
      <c r="B18" s="247"/>
      <c r="C18" s="248"/>
      <c r="D18" s="248"/>
      <c r="E18" s="248"/>
      <c r="F18" s="241"/>
      <c r="G18" s="241"/>
      <c r="H18" s="241"/>
      <c r="I18" s="241"/>
      <c r="J18" s="241"/>
      <c r="K18" s="241"/>
    </row>
    <row r="19" spans="1:11" ht="18" customHeight="1" x14ac:dyDescent="0.2">
      <c r="A19" s="415" t="s">
        <v>22</v>
      </c>
      <c r="B19" s="436"/>
      <c r="C19" s="455" t="s">
        <v>915</v>
      </c>
      <c r="D19" s="456"/>
      <c r="E19" s="456"/>
      <c r="F19" s="241"/>
      <c r="G19" s="241"/>
      <c r="H19" s="241"/>
      <c r="I19" s="241"/>
      <c r="J19" s="241"/>
      <c r="K19" s="241"/>
    </row>
    <row r="20" spans="1:11" ht="15.75" x14ac:dyDescent="0.2">
      <c r="A20" s="247"/>
      <c r="B20" s="247"/>
      <c r="C20" s="448"/>
      <c r="D20" s="449"/>
      <c r="E20" s="449"/>
      <c r="F20" s="241"/>
      <c r="G20" s="241"/>
      <c r="H20" s="241"/>
      <c r="I20" s="241"/>
      <c r="J20" s="241"/>
      <c r="K20" s="241"/>
    </row>
    <row r="21" spans="1:11" ht="15.75" x14ac:dyDescent="0.2">
      <c r="A21" s="415" t="s">
        <v>127</v>
      </c>
      <c r="B21" s="416"/>
      <c r="C21" s="450" t="s">
        <v>916</v>
      </c>
      <c r="D21" s="451"/>
      <c r="E21" s="452"/>
      <c r="F21" s="241"/>
      <c r="G21" s="241"/>
      <c r="H21" s="241"/>
      <c r="I21" s="241"/>
      <c r="J21" s="241"/>
      <c r="K21" s="241"/>
    </row>
    <row r="22" spans="1:11" ht="15" x14ac:dyDescent="0.2">
      <c r="A22" s="241"/>
      <c r="B22" s="241"/>
      <c r="C22" s="248"/>
      <c r="D22" s="248"/>
      <c r="E22" s="248"/>
      <c r="F22" s="241"/>
      <c r="G22" s="241"/>
      <c r="H22" s="241"/>
      <c r="I22" s="241"/>
      <c r="J22" s="241"/>
      <c r="K22" s="241"/>
    </row>
    <row r="23" spans="1:11" ht="18" customHeight="1" x14ac:dyDescent="0.2">
      <c r="A23" s="415" t="s">
        <v>388</v>
      </c>
      <c r="B23" s="416"/>
      <c r="C23" s="457" t="s">
        <v>806</v>
      </c>
      <c r="D23" s="458"/>
      <c r="E23" s="459"/>
      <c r="F23" s="241"/>
      <c r="G23" s="241"/>
      <c r="H23" s="241"/>
      <c r="I23" s="241"/>
      <c r="J23" s="241"/>
      <c r="K23" s="241"/>
    </row>
    <row r="24" spans="1:11" ht="15" x14ac:dyDescent="0.2">
      <c r="A24" s="241"/>
      <c r="B24" s="241"/>
      <c r="C24" s="248"/>
      <c r="D24" s="248"/>
      <c r="E24" s="248"/>
      <c r="F24" s="241"/>
      <c r="G24" s="241"/>
      <c r="H24" s="241"/>
      <c r="I24" s="241"/>
      <c r="J24" s="241"/>
      <c r="K24" s="241"/>
    </row>
    <row r="25" spans="1:11" ht="15.75" x14ac:dyDescent="0.2">
      <c r="A25" s="415" t="s">
        <v>98</v>
      </c>
      <c r="B25" s="416"/>
      <c r="C25" s="407">
        <v>45474</v>
      </c>
      <c r="D25" s="408"/>
      <c r="E25" s="409"/>
      <c r="F25" s="241"/>
      <c r="G25" s="241"/>
      <c r="H25" s="241"/>
      <c r="I25" s="241"/>
      <c r="J25" s="241"/>
      <c r="K25" s="241"/>
    </row>
    <row r="26" spans="1:11" ht="15" x14ac:dyDescent="0.2">
      <c r="A26" s="241"/>
      <c r="B26" s="241"/>
      <c r="C26" s="248"/>
      <c r="D26" s="248"/>
      <c r="E26" s="248"/>
      <c r="F26" s="241"/>
      <c r="G26" s="241"/>
      <c r="H26" s="241"/>
      <c r="I26" s="241"/>
      <c r="J26" s="241"/>
      <c r="K26" s="241"/>
    </row>
    <row r="27" spans="1:11" ht="15.75" x14ac:dyDescent="0.2">
      <c r="A27" s="415" t="s">
        <v>99</v>
      </c>
      <c r="B27" s="416"/>
      <c r="C27" s="407">
        <v>45838</v>
      </c>
      <c r="D27" s="408"/>
      <c r="E27" s="409"/>
      <c r="F27" s="241"/>
      <c r="G27" s="241"/>
      <c r="H27" s="241"/>
      <c r="I27" s="241"/>
      <c r="J27" s="241"/>
      <c r="K27" s="241"/>
    </row>
    <row r="28" spans="1:11" ht="15" x14ac:dyDescent="0.2">
      <c r="A28" s="241"/>
      <c r="B28" s="241"/>
      <c r="C28" s="248"/>
      <c r="D28" s="248"/>
      <c r="E28" s="248"/>
      <c r="F28" s="241"/>
      <c r="G28" s="241"/>
      <c r="H28" s="241"/>
      <c r="I28" s="241"/>
      <c r="J28" s="241"/>
      <c r="K28" s="241"/>
    </row>
    <row r="29" spans="1:11" ht="15.75" x14ac:dyDescent="0.2">
      <c r="A29" s="417" t="s">
        <v>381</v>
      </c>
      <c r="B29" s="417"/>
      <c r="C29" s="407">
        <v>46013</v>
      </c>
      <c r="D29" s="408"/>
      <c r="E29" s="409"/>
      <c r="F29" s="241"/>
      <c r="G29" s="241"/>
      <c r="H29" s="241"/>
      <c r="I29" s="241"/>
      <c r="J29" s="241"/>
      <c r="K29" s="241"/>
    </row>
    <row r="30" spans="1:11" ht="15" x14ac:dyDescent="0.2">
      <c r="A30" s="241"/>
      <c r="B30" s="241"/>
      <c r="C30" s="248"/>
      <c r="D30" s="248"/>
      <c r="E30" s="248"/>
      <c r="F30" s="241"/>
      <c r="G30" s="241"/>
      <c r="H30" s="241"/>
      <c r="I30" s="241"/>
      <c r="J30" s="241"/>
      <c r="K30" s="241"/>
    </row>
    <row r="31" spans="1:11" ht="15.75" x14ac:dyDescent="0.2">
      <c r="A31" s="417" t="s">
        <v>245</v>
      </c>
      <c r="B31" s="417"/>
      <c r="C31" s="407">
        <v>45838</v>
      </c>
      <c r="D31" s="408"/>
      <c r="E31" s="409"/>
      <c r="F31" s="241"/>
      <c r="G31" s="241"/>
      <c r="H31" s="241"/>
      <c r="I31" s="241"/>
      <c r="J31" s="241"/>
      <c r="K31" s="241"/>
    </row>
    <row r="32" spans="1:11" ht="15" x14ac:dyDescent="0.2">
      <c r="A32" s="241"/>
      <c r="B32" s="241"/>
      <c r="C32" s="248"/>
      <c r="D32" s="248"/>
      <c r="E32" s="248"/>
      <c r="F32" s="241"/>
      <c r="G32" s="241"/>
      <c r="H32" s="241"/>
      <c r="I32" s="241"/>
      <c r="J32" s="241"/>
      <c r="K32" s="241"/>
    </row>
    <row r="33" spans="1:11" ht="60" customHeight="1" x14ac:dyDescent="0.2">
      <c r="A33" s="414" t="s">
        <v>237</v>
      </c>
      <c r="B33" s="414"/>
      <c r="C33" s="410" t="s">
        <v>807</v>
      </c>
      <c r="D33" s="411"/>
      <c r="E33" s="412"/>
      <c r="F33" s="413" t="s">
        <v>516</v>
      </c>
      <c r="G33" s="414"/>
      <c r="H33" s="414"/>
      <c r="I33" s="410" t="s">
        <v>798</v>
      </c>
      <c r="J33" s="411"/>
      <c r="K33" s="412"/>
    </row>
    <row r="34" spans="1:11" ht="15.75" thickBot="1" x14ac:dyDescent="0.25">
      <c r="A34" s="249"/>
      <c r="B34" s="249"/>
      <c r="C34" s="249"/>
      <c r="D34" s="249"/>
      <c r="E34" s="249"/>
      <c r="F34" s="249"/>
      <c r="G34" s="249"/>
      <c r="H34" s="249"/>
      <c r="I34" s="249"/>
      <c r="J34" s="249"/>
      <c r="K34" s="249"/>
    </row>
    <row r="35" spans="1:11" ht="15" x14ac:dyDescent="0.2">
      <c r="A35" s="404"/>
      <c r="B35" s="405"/>
      <c r="C35" s="405"/>
      <c r="D35" s="405"/>
      <c r="E35" s="405"/>
      <c r="F35" s="405"/>
      <c r="G35" s="405"/>
      <c r="H35" s="406"/>
      <c r="I35" s="249"/>
      <c r="J35" s="249"/>
      <c r="K35" s="249"/>
    </row>
    <row r="36" spans="1:11" ht="15" x14ac:dyDescent="0.2">
      <c r="A36" s="424" t="s">
        <v>3</v>
      </c>
      <c r="B36" s="402" t="s">
        <v>4</v>
      </c>
      <c r="C36" s="403"/>
      <c r="D36" s="418" t="s">
        <v>963</v>
      </c>
      <c r="E36" s="419"/>
      <c r="F36" s="419"/>
      <c r="G36" s="420"/>
      <c r="H36" s="428"/>
      <c r="I36" s="249"/>
      <c r="J36" s="249"/>
      <c r="K36" s="249"/>
    </row>
    <row r="37" spans="1:11" ht="15" x14ac:dyDescent="0.2">
      <c r="A37" s="424"/>
      <c r="B37" s="402" t="s">
        <v>5</v>
      </c>
      <c r="C37" s="403"/>
      <c r="D37" s="418" t="s">
        <v>808</v>
      </c>
      <c r="E37" s="419"/>
      <c r="F37" s="419"/>
      <c r="G37" s="420"/>
      <c r="H37" s="428"/>
      <c r="I37" s="249"/>
      <c r="J37" s="249"/>
      <c r="K37" s="249"/>
    </row>
    <row r="38" spans="1:11" ht="15" x14ac:dyDescent="0.2">
      <c r="A38" s="424"/>
      <c r="B38" s="250"/>
      <c r="C38" s="251" t="s">
        <v>6</v>
      </c>
      <c r="D38" s="169" t="s">
        <v>809</v>
      </c>
      <c r="E38" s="251" t="s">
        <v>7</v>
      </c>
      <c r="F38" s="169">
        <v>2000</v>
      </c>
      <c r="G38" s="252"/>
      <c r="H38" s="428"/>
      <c r="I38" s="249"/>
      <c r="J38" s="249"/>
      <c r="K38" s="249"/>
    </row>
    <row r="39" spans="1:11" ht="15" x14ac:dyDescent="0.2">
      <c r="A39" s="424"/>
      <c r="B39" s="429"/>
      <c r="C39" s="429"/>
      <c r="D39" s="429"/>
      <c r="E39" s="429"/>
      <c r="F39" s="429"/>
      <c r="G39" s="429"/>
      <c r="H39" s="428"/>
      <c r="I39" s="249"/>
      <c r="J39" s="249"/>
      <c r="K39" s="249"/>
    </row>
    <row r="40" spans="1:11" ht="15" x14ac:dyDescent="0.2">
      <c r="A40" s="424" t="s">
        <v>8</v>
      </c>
      <c r="B40" s="402" t="s">
        <v>4</v>
      </c>
      <c r="C40" s="403"/>
      <c r="D40" s="430" t="s">
        <v>810</v>
      </c>
      <c r="E40" s="430"/>
      <c r="F40" s="430"/>
      <c r="G40" s="430"/>
      <c r="H40" s="428"/>
      <c r="I40" s="249"/>
      <c r="J40" s="249"/>
      <c r="K40" s="249"/>
    </row>
    <row r="41" spans="1:11" ht="15" x14ac:dyDescent="0.2">
      <c r="A41" s="424"/>
      <c r="B41" s="402" t="s">
        <v>5</v>
      </c>
      <c r="C41" s="403"/>
      <c r="D41" s="430" t="s">
        <v>811</v>
      </c>
      <c r="E41" s="430"/>
      <c r="F41" s="430"/>
      <c r="G41" s="430"/>
      <c r="H41" s="428"/>
      <c r="I41" s="249"/>
      <c r="J41" s="249"/>
      <c r="K41" s="249"/>
    </row>
    <row r="42" spans="1:11" ht="15" x14ac:dyDescent="0.2">
      <c r="A42" s="424"/>
      <c r="B42" s="250"/>
      <c r="C42" s="251" t="s">
        <v>6</v>
      </c>
      <c r="D42" s="169" t="s">
        <v>809</v>
      </c>
      <c r="E42" s="251" t="s">
        <v>7</v>
      </c>
      <c r="F42" s="169">
        <v>1225</v>
      </c>
      <c r="G42" s="252"/>
      <c r="H42" s="428"/>
      <c r="I42" s="249"/>
      <c r="J42" s="249"/>
      <c r="K42" s="249"/>
    </row>
    <row r="43" spans="1:11" ht="15.75" thickBot="1" x14ac:dyDescent="0.25">
      <c r="A43" s="425"/>
      <c r="B43" s="426"/>
      <c r="C43" s="426"/>
      <c r="D43" s="426"/>
      <c r="E43" s="426"/>
      <c r="F43" s="426"/>
      <c r="G43" s="426"/>
      <c r="H43" s="427"/>
      <c r="I43" s="249"/>
      <c r="J43" s="249"/>
      <c r="K43" s="249"/>
    </row>
    <row r="44" spans="1:11" ht="15" x14ac:dyDescent="0.2">
      <c r="A44" s="404"/>
      <c r="B44" s="405"/>
      <c r="C44" s="405"/>
      <c r="D44" s="405"/>
      <c r="E44" s="405"/>
      <c r="F44" s="405"/>
      <c r="G44" s="405"/>
      <c r="H44" s="406"/>
      <c r="I44" s="249"/>
      <c r="J44" s="249"/>
      <c r="K44" s="249"/>
    </row>
    <row r="45" spans="1:11" ht="15.75" x14ac:dyDescent="0.25">
      <c r="A45" s="253" t="s">
        <v>9</v>
      </c>
      <c r="B45" s="418" t="s">
        <v>812</v>
      </c>
      <c r="C45" s="419"/>
      <c r="D45" s="433"/>
      <c r="E45" s="433"/>
      <c r="F45" s="434"/>
      <c r="G45" s="431"/>
      <c r="H45" s="432"/>
      <c r="I45" s="249"/>
      <c r="J45" s="249"/>
      <c r="K45" s="249"/>
    </row>
    <row r="46" spans="1:11" ht="15.75" x14ac:dyDescent="0.25">
      <c r="A46" s="253" t="s">
        <v>10</v>
      </c>
      <c r="B46" s="435" t="s">
        <v>813</v>
      </c>
      <c r="C46" s="419"/>
      <c r="D46" s="419"/>
      <c r="E46" s="419"/>
      <c r="F46" s="420"/>
      <c r="G46" s="431"/>
      <c r="H46" s="432"/>
      <c r="I46" s="249"/>
      <c r="J46" s="249"/>
      <c r="K46" s="249"/>
    </row>
    <row r="47" spans="1:11" ht="15.75" x14ac:dyDescent="0.25">
      <c r="A47" s="253" t="s">
        <v>11</v>
      </c>
      <c r="B47" s="418" t="s">
        <v>814</v>
      </c>
      <c r="C47" s="419"/>
      <c r="D47" s="419"/>
      <c r="E47" s="419"/>
      <c r="F47" s="420"/>
      <c r="G47" s="431"/>
      <c r="H47" s="432"/>
      <c r="I47" s="249"/>
      <c r="J47" s="249"/>
      <c r="K47" s="249"/>
    </row>
    <row r="48" spans="1:11" ht="15.75" thickBot="1" x14ac:dyDescent="0.25">
      <c r="A48" s="421"/>
      <c r="B48" s="422"/>
      <c r="C48" s="422"/>
      <c r="D48" s="422"/>
      <c r="E48" s="422"/>
      <c r="F48" s="422"/>
      <c r="G48" s="422"/>
      <c r="H48" s="423"/>
      <c r="I48" s="249"/>
      <c r="J48" s="249"/>
      <c r="K48" s="249"/>
    </row>
    <row r="49" spans="1:11" ht="15" x14ac:dyDescent="0.2">
      <c r="A49" s="249"/>
      <c r="B49" s="249"/>
      <c r="C49" s="249"/>
      <c r="D49" s="249"/>
      <c r="E49" s="249"/>
      <c r="F49" s="249"/>
      <c r="G49" s="249"/>
      <c r="H49" s="249"/>
      <c r="I49" s="249"/>
      <c r="J49" s="249"/>
      <c r="K49" s="249"/>
    </row>
    <row r="50" spans="1:11" ht="15" x14ac:dyDescent="0.2">
      <c r="A50" s="249"/>
      <c r="B50" s="249"/>
      <c r="C50" s="249"/>
      <c r="D50" s="249"/>
      <c r="E50" s="249"/>
      <c r="F50" s="249"/>
      <c r="G50" s="249"/>
      <c r="H50" s="249"/>
      <c r="I50" s="249"/>
      <c r="J50" s="249"/>
      <c r="K50" s="249"/>
    </row>
    <row r="51" spans="1:11" ht="15" x14ac:dyDescent="0.2">
      <c r="A51" s="249"/>
      <c r="B51" s="249"/>
      <c r="C51" s="249"/>
      <c r="D51" s="249"/>
      <c r="E51" s="249"/>
      <c r="F51" s="249"/>
      <c r="G51" s="249"/>
      <c r="H51" s="249"/>
      <c r="I51" s="249"/>
      <c r="J51" s="249"/>
      <c r="K51" s="249"/>
    </row>
  </sheetData>
  <sheetProtection sheet="1"/>
  <mergeCells count="45">
    <mergeCell ref="A17:B17"/>
    <mergeCell ref="A23:B23"/>
    <mergeCell ref="A25:B25"/>
    <mergeCell ref="A8:I8"/>
    <mergeCell ref="A11:I11"/>
    <mergeCell ref="A10:I10"/>
    <mergeCell ref="A12:I12"/>
    <mergeCell ref="C20:E20"/>
    <mergeCell ref="C21:E21"/>
    <mergeCell ref="C17:E17"/>
    <mergeCell ref="A19:B19"/>
    <mergeCell ref="C19:E19"/>
    <mergeCell ref="A21:B21"/>
    <mergeCell ref="C23:E23"/>
    <mergeCell ref="A48:H48"/>
    <mergeCell ref="A40:A43"/>
    <mergeCell ref="B43:H43"/>
    <mergeCell ref="A33:B33"/>
    <mergeCell ref="A35:H35"/>
    <mergeCell ref="A36:A39"/>
    <mergeCell ref="H36:H42"/>
    <mergeCell ref="B39:G39"/>
    <mergeCell ref="D40:G40"/>
    <mergeCell ref="G45:H47"/>
    <mergeCell ref="B47:F47"/>
    <mergeCell ref="B41:C41"/>
    <mergeCell ref="D41:G41"/>
    <mergeCell ref="B45:F45"/>
    <mergeCell ref="B46:F46"/>
    <mergeCell ref="D37:G37"/>
    <mergeCell ref="B40:C40"/>
    <mergeCell ref="A44:H44"/>
    <mergeCell ref="C25:E25"/>
    <mergeCell ref="C33:E33"/>
    <mergeCell ref="I33:K33"/>
    <mergeCell ref="F33:H33"/>
    <mergeCell ref="C27:E27"/>
    <mergeCell ref="C29:E29"/>
    <mergeCell ref="C31:E31"/>
    <mergeCell ref="B37:C37"/>
    <mergeCell ref="A27:B27"/>
    <mergeCell ref="A29:B29"/>
    <mergeCell ref="A31:B31"/>
    <mergeCell ref="B36:C36"/>
    <mergeCell ref="D36:G36"/>
  </mergeCells>
  <phoneticPr fontId="9" type="noConversion"/>
  <dataValidations count="4">
    <dataValidation type="list" allowBlank="1" showInputMessage="1" showErrorMessage="1" sqref="C33:E33" xr:uid="{ADD89FE9-A813-4A7A-8E8E-54ADDB2FE770}">
      <formula1>"Yes, No"</formula1>
    </dataValidation>
    <dataValidation type="list" allowBlank="1" showInputMessage="1" showErrorMessage="1" sqref="C23:E23" xr:uid="{36105D9C-7792-4FB9-A367-F0784C5D0AA4}">
      <formula1>"Scheme pipeline, Non-scheme pipeline"</formula1>
    </dataValidation>
    <dataValidation type="date" operator="greaterThan" allowBlank="1" showInputMessage="1" showErrorMessage="1" sqref="C25:E25" xr:uid="{88F680C9-D94F-4472-AB7B-F943830FD403}">
      <formula1>40179</formula1>
    </dataValidation>
    <dataValidation type="list" allowBlank="1" showInputMessage="1" showErrorMessage="1" sqref="D38 D42" xr:uid="{678165AB-B75A-4FDD-9BFF-68D3893F10E1}">
      <formula1>"NSW, VIC, QLD, SA, TAS, NT, ACT, WA"</formula1>
    </dataValidation>
  </dataValidations>
  <pageMargins left="0.75" right="0.75" top="1" bottom="1" header="0.5" footer="0.5"/>
  <pageSetup paperSize="9" scale="80" orientation="portrait" verticalDpi="2" r:id="rId1"/>
  <headerFooter alignWithMargins="0">
    <oddHeader>&amp;C&amp;"Arial,Bold"&amp;12Non- Scheme Gas Pipeline - Financial Guideline Reporting template</oddHeader>
    <oddFooter>&amp;C&amp;A_x000D_&amp;1#&amp;"Aptos"&amp;10&amp;K008000 APA-INTERNAL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F54FA-96D9-4819-AFA8-E573C35C78A7}">
  <sheetPr codeName="Sheet9">
    <tabColor rgb="FF17415D"/>
    <pageSetUpPr fitToPage="1"/>
  </sheetPr>
  <dimension ref="A1:H50"/>
  <sheetViews>
    <sheetView showGridLines="0" zoomScale="80" zoomScaleNormal="80" workbookViewId="0"/>
  </sheetViews>
  <sheetFormatPr defaultColWidth="9.28515625" defaultRowHeight="23.25" x14ac:dyDescent="0.35"/>
  <cols>
    <col min="1" max="1" width="6.28515625" style="1" customWidth="1"/>
    <col min="2" max="2" width="10.7109375" style="1" customWidth="1"/>
    <col min="3" max="3" width="26.7109375" style="1" customWidth="1"/>
    <col min="4" max="4" width="135.7109375" style="1" customWidth="1"/>
    <col min="5" max="5" width="61.42578125" style="1" customWidth="1"/>
    <col min="6" max="6" width="27.7109375" style="1" customWidth="1"/>
    <col min="7" max="7" width="19.42578125" style="1" bestFit="1" customWidth="1"/>
    <col min="8" max="8" width="8.7109375" style="1" customWidth="1"/>
    <col min="9" max="16384" width="9.28515625" style="1"/>
  </cols>
  <sheetData>
    <row r="1" spans="1:8" ht="26.25" x14ac:dyDescent="0.35">
      <c r="A1" s="1" t="s">
        <v>12</v>
      </c>
      <c r="C1" s="107" t="s">
        <v>509</v>
      </c>
      <c r="D1" s="107"/>
      <c r="E1" s="107"/>
      <c r="F1" s="107"/>
      <c r="G1" s="3"/>
      <c r="H1" s="3"/>
    </row>
    <row r="2" spans="1:8" ht="20.25" customHeight="1" x14ac:dyDescent="0.35">
      <c r="B2" s="3"/>
      <c r="C2" s="107" t="str">
        <f>IF(Tradingname=0," ",Tradingname)</f>
        <v>EAST AUSTRALIAN PIPELINE PTY LIMITED</v>
      </c>
      <c r="D2" s="107"/>
      <c r="E2" s="107"/>
      <c r="F2" s="107"/>
      <c r="G2" s="3"/>
    </row>
    <row r="3" spans="1:8" ht="33.75" customHeight="1" x14ac:dyDescent="0.4">
      <c r="B3" s="3"/>
      <c r="C3" s="107" t="s">
        <v>110</v>
      </c>
      <c r="D3" s="109">
        <f>IF(Yearending=0, "01/01/2000", Yearending)</f>
        <v>45838</v>
      </c>
      <c r="E3" s="107"/>
      <c r="F3" s="108"/>
    </row>
    <row r="4" spans="1:8" ht="15" customHeight="1" x14ac:dyDescent="0.35">
      <c r="B4" s="3"/>
      <c r="C4" s="3"/>
      <c r="D4" s="3"/>
      <c r="E4" s="3"/>
      <c r="F4" s="3"/>
      <c r="G4" s="3"/>
    </row>
    <row r="5" spans="1:8" s="3" customFormat="1" ht="15" customHeight="1" thickBot="1" x14ac:dyDescent="0.25"/>
    <row r="6" spans="1:8" s="3" customFormat="1" ht="15" customHeight="1" x14ac:dyDescent="0.35">
      <c r="C6" s="154"/>
      <c r="D6" s="155"/>
      <c r="E6" s="155"/>
      <c r="F6" s="156"/>
    </row>
    <row r="7" spans="1:8" s="3" customFormat="1" ht="26.25" x14ac:dyDescent="0.4">
      <c r="C7" s="157"/>
      <c r="D7" s="460" t="s">
        <v>406</v>
      </c>
      <c r="E7" s="460"/>
      <c r="F7" s="158"/>
    </row>
    <row r="8" spans="1:8" s="3" customFormat="1" ht="25.5" x14ac:dyDescent="0.35">
      <c r="C8" s="157"/>
      <c r="D8" s="159"/>
      <c r="E8" s="159"/>
      <c r="F8" s="158"/>
    </row>
    <row r="9" spans="1:8" s="3" customFormat="1" ht="26.25" x14ac:dyDescent="0.4">
      <c r="C9" s="157"/>
      <c r="D9" s="164" t="s">
        <v>409</v>
      </c>
      <c r="E9" s="168" t="s">
        <v>535</v>
      </c>
      <c r="F9" s="158"/>
    </row>
    <row r="10" spans="1:8" s="3" customFormat="1" ht="26.25" x14ac:dyDescent="0.4">
      <c r="C10" s="157"/>
      <c r="D10" s="164"/>
      <c r="E10" s="168" t="s">
        <v>534</v>
      </c>
      <c r="F10" s="158"/>
    </row>
    <row r="11" spans="1:8" s="3" customFormat="1" ht="26.25" x14ac:dyDescent="0.4">
      <c r="C11" s="157"/>
      <c r="D11" s="164"/>
      <c r="E11" s="168" t="s">
        <v>533</v>
      </c>
      <c r="F11" s="158"/>
    </row>
    <row r="12" spans="1:8" s="3" customFormat="1" ht="25.5" x14ac:dyDescent="0.35">
      <c r="C12" s="157"/>
      <c r="D12" s="159"/>
      <c r="E12" s="159"/>
      <c r="F12" s="158"/>
    </row>
    <row r="13" spans="1:8" s="3" customFormat="1" ht="26.25" x14ac:dyDescent="0.4">
      <c r="C13" s="157"/>
      <c r="D13" s="164" t="s">
        <v>412</v>
      </c>
      <c r="E13" s="165"/>
      <c r="F13" s="158"/>
    </row>
    <row r="14" spans="1:8" s="3" customFormat="1" ht="25.5" x14ac:dyDescent="0.35">
      <c r="C14" s="157"/>
      <c r="D14" s="103"/>
      <c r="E14" s="104"/>
      <c r="F14" s="158"/>
    </row>
    <row r="15" spans="1:8" s="3" customFormat="1" ht="26.25" x14ac:dyDescent="0.4">
      <c r="C15" s="157"/>
      <c r="D15" s="164" t="s">
        <v>411</v>
      </c>
      <c r="E15" s="167" t="s">
        <v>520</v>
      </c>
      <c r="F15" s="158"/>
    </row>
    <row r="16" spans="1:8" s="3" customFormat="1" ht="26.25" x14ac:dyDescent="0.4">
      <c r="C16" s="157"/>
      <c r="D16" s="164"/>
      <c r="E16" s="167" t="s">
        <v>664</v>
      </c>
      <c r="F16" s="158"/>
    </row>
    <row r="17" spans="3:6" s="3" customFormat="1" ht="26.25" x14ac:dyDescent="0.4">
      <c r="C17" s="157"/>
      <c r="D17" s="164"/>
      <c r="E17" s="167" t="s">
        <v>425</v>
      </c>
      <c r="F17" s="158"/>
    </row>
    <row r="18" spans="3:6" s="3" customFormat="1" ht="26.25" x14ac:dyDescent="0.4">
      <c r="C18" s="157"/>
      <c r="D18" s="164"/>
      <c r="E18" s="167" t="s">
        <v>426</v>
      </c>
      <c r="F18" s="158"/>
    </row>
    <row r="19" spans="3:6" s="3" customFormat="1" ht="26.25" x14ac:dyDescent="0.4">
      <c r="C19" s="157"/>
      <c r="D19" s="164"/>
      <c r="E19" s="167" t="s">
        <v>488</v>
      </c>
      <c r="F19" s="158"/>
    </row>
    <row r="20" spans="3:6" s="3" customFormat="1" ht="25.5" customHeight="1" x14ac:dyDescent="0.35">
      <c r="C20" s="105"/>
      <c r="D20" s="103"/>
      <c r="E20" s="104"/>
      <c r="F20" s="106"/>
    </row>
    <row r="21" spans="3:6" s="3" customFormat="1" ht="25.5" customHeight="1" x14ac:dyDescent="0.4">
      <c r="C21" s="157"/>
      <c r="D21" s="164" t="s">
        <v>652</v>
      </c>
      <c r="E21" s="167" t="s">
        <v>648</v>
      </c>
      <c r="F21" s="158"/>
    </row>
    <row r="22" spans="3:6" s="3" customFormat="1" ht="25.5" customHeight="1" x14ac:dyDescent="0.4">
      <c r="C22" s="157"/>
      <c r="D22" s="164" t="s">
        <v>654</v>
      </c>
      <c r="E22" s="167" t="s">
        <v>649</v>
      </c>
      <c r="F22" s="158"/>
    </row>
    <row r="23" spans="3:6" s="3" customFormat="1" ht="25.5" customHeight="1" x14ac:dyDescent="0.4">
      <c r="C23" s="157"/>
      <c r="D23" s="164"/>
      <c r="E23" s="167" t="s">
        <v>650</v>
      </c>
      <c r="F23" s="158"/>
    </row>
    <row r="24" spans="3:6" s="3" customFormat="1" ht="25.5" customHeight="1" x14ac:dyDescent="0.4">
      <c r="C24" s="157"/>
      <c r="D24" s="164"/>
      <c r="E24" s="167" t="s">
        <v>651</v>
      </c>
      <c r="F24" s="158"/>
    </row>
    <row r="25" spans="3:6" s="3" customFormat="1" ht="25.5" x14ac:dyDescent="0.35">
      <c r="C25" s="105"/>
      <c r="D25" s="103"/>
      <c r="E25" s="104"/>
      <c r="F25" s="106"/>
    </row>
    <row r="26" spans="3:6" s="3" customFormat="1" ht="26.25" x14ac:dyDescent="0.4">
      <c r="C26" s="157"/>
      <c r="D26" s="164" t="s">
        <v>653</v>
      </c>
      <c r="E26" s="167" t="s">
        <v>413</v>
      </c>
      <c r="F26" s="158"/>
    </row>
    <row r="27" spans="3:6" s="3" customFormat="1" ht="25.5" x14ac:dyDescent="0.35">
      <c r="C27" s="105"/>
      <c r="D27" s="103"/>
      <c r="E27" s="104"/>
      <c r="F27" s="106"/>
    </row>
    <row r="28" spans="3:6" s="3" customFormat="1" ht="26.25" x14ac:dyDescent="0.4">
      <c r="C28" s="105"/>
      <c r="D28" s="164" t="s">
        <v>489</v>
      </c>
      <c r="E28" s="166"/>
      <c r="F28" s="106"/>
    </row>
    <row r="29" spans="3:6" s="3" customFormat="1" ht="25.5" x14ac:dyDescent="0.35">
      <c r="C29" s="105"/>
      <c r="D29" s="103"/>
      <c r="E29" s="104"/>
      <c r="F29" s="106"/>
    </row>
    <row r="30" spans="3:6" s="3" customFormat="1" ht="26.25" x14ac:dyDescent="0.4">
      <c r="C30" s="157"/>
      <c r="D30" s="164" t="s">
        <v>512</v>
      </c>
      <c r="E30" s="165"/>
      <c r="F30" s="158"/>
    </row>
    <row r="31" spans="3:6" s="3" customFormat="1" ht="26.25" thickBot="1" x14ac:dyDescent="0.4">
      <c r="C31" s="160"/>
      <c r="D31" s="161"/>
      <c r="E31" s="162"/>
      <c r="F31" s="163"/>
    </row>
    <row r="32" spans="3:6" s="3" customFormat="1" x14ac:dyDescent="0.2">
      <c r="C32" s="2"/>
      <c r="D32" s="2"/>
      <c r="E32" s="2"/>
      <c r="F32" s="2"/>
    </row>
    <row r="33" spans="2:6" s="3" customFormat="1" x14ac:dyDescent="0.35">
      <c r="B33" s="2"/>
      <c r="C33" s="2"/>
      <c r="D33" s="1"/>
      <c r="E33" s="1"/>
      <c r="F33" s="2"/>
    </row>
    <row r="34" spans="2:6" s="3" customFormat="1" x14ac:dyDescent="0.35">
      <c r="B34" s="2"/>
      <c r="C34" s="2"/>
      <c r="D34" s="1"/>
      <c r="E34" s="2"/>
    </row>
    <row r="35" spans="2:6" s="3" customFormat="1" x14ac:dyDescent="0.35">
      <c r="B35" s="2"/>
      <c r="C35" s="2"/>
      <c r="D35" s="1"/>
      <c r="E35" s="1"/>
      <c r="F35" s="2"/>
    </row>
    <row r="36" spans="2:6" s="3" customFormat="1" x14ac:dyDescent="0.35">
      <c r="B36" s="2"/>
      <c r="C36" s="2"/>
      <c r="D36" s="1"/>
      <c r="E36" s="1"/>
      <c r="F36" s="2"/>
    </row>
    <row r="37" spans="2:6" s="3" customFormat="1" x14ac:dyDescent="0.35">
      <c r="B37" s="2"/>
      <c r="C37" s="2"/>
      <c r="D37" s="1"/>
      <c r="E37" s="1"/>
      <c r="F37" s="2"/>
    </row>
    <row r="38" spans="2:6" s="3" customFormat="1" x14ac:dyDescent="0.35">
      <c r="B38" s="2"/>
      <c r="C38" s="2"/>
      <c r="D38" s="1"/>
      <c r="E38" s="1"/>
      <c r="F38" s="2"/>
    </row>
    <row r="39" spans="2:6" s="3" customFormat="1" x14ac:dyDescent="0.35">
      <c r="B39" s="2"/>
      <c r="C39" s="2"/>
      <c r="D39" s="1"/>
      <c r="E39" s="1"/>
      <c r="F39" s="2"/>
    </row>
    <row r="40" spans="2:6" s="3" customFormat="1" x14ac:dyDescent="0.35">
      <c r="B40" s="2"/>
      <c r="C40" s="2"/>
      <c r="D40" s="1"/>
      <c r="E40" s="1"/>
      <c r="F40" s="2"/>
    </row>
    <row r="41" spans="2:6" s="3" customFormat="1" x14ac:dyDescent="0.35">
      <c r="B41" s="2"/>
      <c r="C41" s="2"/>
      <c r="D41" s="1"/>
      <c r="E41" s="1"/>
      <c r="F41" s="2"/>
    </row>
    <row r="42" spans="2:6" s="3" customFormat="1" x14ac:dyDescent="0.35">
      <c r="B42" s="2"/>
      <c r="C42" s="2"/>
      <c r="D42" s="1"/>
      <c r="E42" s="1"/>
      <c r="F42" s="2"/>
    </row>
    <row r="43" spans="2:6" s="3" customFormat="1" x14ac:dyDescent="0.35">
      <c r="B43" s="2"/>
      <c r="C43" s="2"/>
      <c r="D43" s="1"/>
      <c r="E43" s="1"/>
      <c r="F43" s="2"/>
    </row>
    <row r="44" spans="2:6" s="3" customFormat="1" x14ac:dyDescent="0.35">
      <c r="B44" s="2"/>
      <c r="C44" s="2"/>
      <c r="D44" s="1"/>
      <c r="E44" s="1"/>
      <c r="F44" s="2"/>
    </row>
    <row r="45" spans="2:6" s="3" customFormat="1" x14ac:dyDescent="0.35">
      <c r="B45" s="2"/>
      <c r="C45" s="2"/>
      <c r="D45" s="1"/>
      <c r="E45" s="1"/>
      <c r="F45" s="2"/>
    </row>
    <row r="46" spans="2:6" s="3" customFormat="1" x14ac:dyDescent="0.35">
      <c r="B46" s="2"/>
      <c r="C46" s="2"/>
      <c r="D46" s="1"/>
      <c r="E46" s="1"/>
      <c r="F46" s="2"/>
    </row>
    <row r="47" spans="2:6" s="3" customFormat="1" x14ac:dyDescent="0.35">
      <c r="B47" s="2"/>
      <c r="C47" s="1"/>
      <c r="D47" s="1"/>
      <c r="E47" s="1"/>
      <c r="F47" s="1"/>
    </row>
    <row r="48" spans="2:6" s="3" customFormat="1" x14ac:dyDescent="0.35">
      <c r="B48" s="2"/>
      <c r="C48" s="1"/>
      <c r="D48" s="1"/>
      <c r="E48" s="1"/>
      <c r="F48" s="1"/>
    </row>
    <row r="49" spans="2:6" s="3" customFormat="1" x14ac:dyDescent="0.35">
      <c r="B49" s="2"/>
      <c r="C49" s="1"/>
      <c r="D49" s="1"/>
      <c r="E49" s="1"/>
      <c r="F49" s="1"/>
    </row>
    <row r="50" spans="2:6" s="3" customFormat="1" x14ac:dyDescent="0.35">
      <c r="B50" s="2"/>
      <c r="C50" s="1"/>
      <c r="D50" s="1"/>
      <c r="E50" s="1"/>
      <c r="F50" s="1"/>
    </row>
  </sheetData>
  <sheetProtection sheet="1"/>
  <mergeCells count="1">
    <mergeCell ref="D7:E7"/>
  </mergeCells>
  <phoneticPr fontId="31" type="noConversion"/>
  <hyperlinks>
    <hyperlink ref="D13" location="'1. Pipeline information'!A1" display="1. PIPELINE INFORMATION" xr:uid="{152A462F-D365-48D3-9726-BAB065BE0B63}"/>
    <hyperlink ref="E26" location="'4.1 Pipelines capex'!A1" display="4.1 Pipelines capex" xr:uid="{54C41570-9E64-46D5-AA7D-17F879710EE6}"/>
    <hyperlink ref="D28" location="'5. Historical demand'!A1" display="5. Historical demand" xr:uid="{474A57C1-2DFF-4A21-8D40-78FC75D95F5B}"/>
    <hyperlink ref="D30" location="'6. Pricing template'!A1" display="6. PRICING TEMPLATE" xr:uid="{EEA41391-1787-4B72-B8A2-1784F36E39F1}"/>
    <hyperlink ref="D15" location="'2. Revenue and expenses'!A1" display="2. REVENUE AND EXPENSES" xr:uid="{5C84B276-18FC-4BD1-A9DE-AADB56F2CED2}"/>
    <hyperlink ref="E9" location="'Financial summary'!A1" display="Financial summary" xr:uid="{71B014E7-5EA5-4E35-B594-09DDEF5ABC19}"/>
    <hyperlink ref="E10" location="'Data visualisation'!A1" display="Data visualisation" xr:uid="{FED5CC8A-A6D0-43B6-8AB2-27BB4A399C67}"/>
    <hyperlink ref="E11" location="'Pricing benchmarks summary'!A1" display="Pricing benchmarks summary" xr:uid="{12586D4D-4E58-4BD6-B7E5-7E8F293D86D5}"/>
    <hyperlink ref="E15" location="'2.1 Profit &amp; Loss by component'!A1" display="2.1 Profit &amp; Loss by component" xr:uid="{3FC44BAF-F8CA-49D1-AD40-768F0E49BCBE}"/>
    <hyperlink ref="E17" location="'2.3 Revenue contributions '!A1" display="2.3 Revenue contributions " xr:uid="{83A5E402-BE86-46BF-9FA8-4D7F0E1CA29A}"/>
    <hyperlink ref="E18" location="'2.4 Indirect revenue'!A1" display="2.4 Indirect revenue" xr:uid="{67724CE5-A8EE-464E-8E77-FFDBD422CA2A}"/>
    <hyperlink ref="E19" location="'2.5 Shared expenses'!A1" display="2.5 Shared expenses" xr:uid="{AF79BE29-4599-4CB9-9DFE-C2BD03162C55}"/>
    <hyperlink ref="D26" location="'4. Recovered Capital'!A1" display="4. ASSET - RECOVERED CAPITAL METHOD (RCM)" xr:uid="{36115B3C-CB7D-47EB-9702-2CE30F1E51EA}"/>
    <hyperlink ref="D21" location="'3.1 Depreciated Book Value'!Print_Area" display="3.1 ASSET VALUE - DEPRICIATED BOOK VALUE METHOD (DBVM)" xr:uid="{CBB6C9AA-018B-4AF2-9491-26CCD470FE29}"/>
    <hyperlink ref="D22" location="'3.2 Regulatory Asset Base'!Print_Area" display="3.2 ASSET VALUE - REGULATORY ASSET BASE (RAB)" xr:uid="{01ECFA61-4365-41D2-9C78-6DE788ED6EF3}"/>
    <hyperlink ref="E21" location="'3.3 Asset useful life'!Print_Area" display="3.3 Asset useful life" xr:uid="{9AE5694E-F8C0-4EDE-86C4-83AC8806E63A}"/>
    <hyperlink ref="E22" location="'3.4 Asset impairment'!Print_Area" display="3.4 Asset impairment" xr:uid="{8BDCB937-0CC6-4FE3-AC90-4E225267FF2A}"/>
    <hyperlink ref="E23" location="'3.5 Depreciation amortisation'!Print_Area" display="3.5 Depreciation amortisation" xr:uid="{F06EAF60-0D63-40B5-93DD-5E9D562DEAD3}"/>
    <hyperlink ref="E24" location="'3.6 Shared supporting assets'!Print_Area" display="3.6 Shared supporting assets" xr:uid="{2AD36B2F-A986-4F50-913C-4299F3FC7530}"/>
    <hyperlink ref="E16" location="'2.2 Allocation to services'!Print_Area" display="2.2 Allocation to pipeline services" xr:uid="{EE081AB7-CE1C-4642-A74E-4D076F8EF18E}"/>
  </hyperlinks>
  <pageMargins left="0.25" right="0.25" top="0.75" bottom="0.75" header="0.3" footer="0.3"/>
  <pageSetup paperSize="9" scale="10" orientation="portrait" r:id="rId1"/>
  <headerFooter alignWithMargins="0">
    <oddFooter>&amp;L&amp;D&amp;C&amp; Template: &amp;A
&amp;F_x000D_&amp;1#&amp;"Aptos"&amp;10&amp;K008000 APA-INTERNAL&amp;R&amp;P o&amp;Of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80937-1546-49A9-BCAC-B0914D4D8DF3}">
  <sheetPr codeName="Sheet4">
    <tabColor rgb="FF17415D"/>
  </sheetPr>
  <dimension ref="A1:G48"/>
  <sheetViews>
    <sheetView showGridLines="0" topLeftCell="A2" zoomScale="80" zoomScaleNormal="80" workbookViewId="0">
      <pane xSplit="1" ySplit="5" topLeftCell="B7" activePane="bottomRight" state="frozen"/>
      <selection activeCell="A2" sqref="A2"/>
      <selection pane="topRight" activeCell="B2" sqref="B2"/>
      <selection pane="bottomLeft" activeCell="A7" sqref="A7"/>
      <selection pane="bottomRight"/>
    </sheetView>
  </sheetViews>
  <sheetFormatPr defaultRowHeight="12.75" x14ac:dyDescent="0.2"/>
  <cols>
    <col min="1" max="1" width="11.7109375" customWidth="1"/>
    <col min="2" max="2" width="69.28515625" customWidth="1"/>
    <col min="3" max="3" width="38.7109375" customWidth="1"/>
    <col min="4" max="4" width="40.28515625" customWidth="1"/>
    <col min="5" max="5" width="55" customWidth="1"/>
    <col min="6" max="6" width="39.7109375" customWidth="1"/>
    <col min="7" max="7" width="38.42578125" customWidth="1"/>
    <col min="8" max="8" width="37.28515625" customWidth="1"/>
  </cols>
  <sheetData>
    <row r="1" spans="1:7" ht="20.25" x14ac:dyDescent="0.2">
      <c r="A1" s="4"/>
      <c r="B1" s="146" t="s">
        <v>510</v>
      </c>
      <c r="C1" s="146"/>
    </row>
    <row r="2" spans="1:7" ht="20.25" customHeight="1" x14ac:dyDescent="0.2">
      <c r="A2" s="4"/>
      <c r="B2" s="146" t="str">
        <f>IF(Tradingname=0," ",Tradingname)</f>
        <v>EAST AUSTRALIAN PIPELINE PTY LIMITED</v>
      </c>
      <c r="C2" s="146"/>
    </row>
    <row r="3" spans="1:7" ht="20.25" x14ac:dyDescent="0.3">
      <c r="B3" s="146" t="s">
        <v>110</v>
      </c>
      <c r="C3" s="110">
        <f>IF(Yearending=0, "01/01/2000", Yearending)</f>
        <v>45838</v>
      </c>
    </row>
    <row r="4" spans="1:7" ht="20.25" x14ac:dyDescent="0.2">
      <c r="B4" s="102" t="s">
        <v>535</v>
      </c>
      <c r="C4" s="102"/>
      <c r="F4" s="15"/>
      <c r="G4" s="15"/>
    </row>
    <row r="5" spans="1:7" x14ac:dyDescent="0.2">
      <c r="C5" s="15"/>
    </row>
    <row r="6" spans="1:7" ht="15.75" x14ac:dyDescent="0.25">
      <c r="B6" s="117" t="s">
        <v>668</v>
      </c>
      <c r="C6" s="116"/>
    </row>
    <row r="9" spans="1:7" x14ac:dyDescent="0.2">
      <c r="B9" s="32" t="s">
        <v>671</v>
      </c>
      <c r="C9" s="32" t="s">
        <v>18</v>
      </c>
    </row>
    <row r="10" spans="1:7" x14ac:dyDescent="0.2">
      <c r="B10" s="130" t="s">
        <v>32</v>
      </c>
      <c r="C10" s="132">
        <f>'2.1 Profit &amp; Loss by component'!$F$18</f>
        <v>157672035.13785657</v>
      </c>
    </row>
    <row r="11" spans="1:7" x14ac:dyDescent="0.2">
      <c r="B11" s="130" t="s">
        <v>38</v>
      </c>
      <c r="C11" s="132">
        <f>'2.1 Profit &amp; Loss by component'!$F$21</f>
        <v>0</v>
      </c>
    </row>
    <row r="12" spans="1:7" x14ac:dyDescent="0.2">
      <c r="B12" s="131" t="s">
        <v>15</v>
      </c>
      <c r="C12" s="132">
        <f>'2.1 Profit &amp; Loss by component'!$F$22</f>
        <v>157672035.13785657</v>
      </c>
    </row>
    <row r="13" spans="1:7" x14ac:dyDescent="0.2">
      <c r="B13" s="30" t="s">
        <v>461</v>
      </c>
      <c r="C13" s="132">
        <f>'2.1 Profit &amp; Loss by component'!$F$32</f>
        <v>71107208.472192883</v>
      </c>
    </row>
    <row r="14" spans="1:7" x14ac:dyDescent="0.2">
      <c r="B14" s="31" t="s">
        <v>480</v>
      </c>
      <c r="C14" s="132">
        <f>'2.1 Profit &amp; Loss by component'!$F$43</f>
        <v>21397258.271556877</v>
      </c>
    </row>
    <row r="15" spans="1:7" x14ac:dyDescent="0.2">
      <c r="B15" s="131" t="s">
        <v>465</v>
      </c>
      <c r="C15" s="132">
        <f>'2.1 Profit &amp; Loss by component'!$F$44</f>
        <v>92504466.743749768</v>
      </c>
    </row>
    <row r="16" spans="1:7" x14ac:dyDescent="0.2">
      <c r="B16" s="131" t="s">
        <v>676</v>
      </c>
      <c r="C16" s="132">
        <f>'2.1 Profit &amp; Loss by component'!$F$45</f>
        <v>65167568.394106805</v>
      </c>
    </row>
    <row r="17" spans="2:5" x14ac:dyDescent="0.2">
      <c r="B17" s="17"/>
      <c r="C17" s="17"/>
      <c r="D17" s="17"/>
      <c r="E17" s="17"/>
    </row>
    <row r="19" spans="2:5" x14ac:dyDescent="0.2">
      <c r="B19" s="32" t="s">
        <v>639</v>
      </c>
      <c r="C19" s="32" t="s">
        <v>672</v>
      </c>
    </row>
    <row r="20" spans="2:5" ht="15.75" x14ac:dyDescent="0.2">
      <c r="B20" s="93" t="s">
        <v>219</v>
      </c>
      <c r="C20" s="18">
        <f>'3.1 Depreciated Book Value'!$D$125</f>
        <v>876668478.47701991</v>
      </c>
    </row>
    <row r="21" spans="2:5" ht="15.75" x14ac:dyDescent="0.2">
      <c r="B21" s="93" t="s">
        <v>518</v>
      </c>
      <c r="C21" s="94">
        <f>IFERROR(C16/C20,0)</f>
        <v>7.4335475717477895E-2</v>
      </c>
    </row>
    <row r="22" spans="2:5" x14ac:dyDescent="0.2">
      <c r="B22" s="32" t="s">
        <v>640</v>
      </c>
      <c r="C22" s="32" t="s">
        <v>672</v>
      </c>
    </row>
    <row r="23" spans="2:5" ht="15.75" x14ac:dyDescent="0.2">
      <c r="B23" s="93" t="s">
        <v>219</v>
      </c>
      <c r="C23" s="18">
        <f>'3.2 Regulatory Asset Base'!$H$95</f>
        <v>0</v>
      </c>
    </row>
    <row r="24" spans="2:5" ht="15.75" x14ac:dyDescent="0.2">
      <c r="B24" s="93" t="s">
        <v>518</v>
      </c>
      <c r="C24" s="94">
        <f>IFERROR(C16/C23,0)</f>
        <v>0</v>
      </c>
    </row>
    <row r="25" spans="2:5" x14ac:dyDescent="0.2">
      <c r="B25" s="32" t="s">
        <v>517</v>
      </c>
      <c r="C25" s="32" t="s">
        <v>672</v>
      </c>
    </row>
    <row r="26" spans="2:5" ht="15.75" x14ac:dyDescent="0.2">
      <c r="B26" s="93" t="s">
        <v>64</v>
      </c>
      <c r="C26" s="132">
        <f>'4. Recovered Capital'!$E$29</f>
        <v>0</v>
      </c>
    </row>
    <row r="27" spans="2:5" ht="15.75" x14ac:dyDescent="0.2">
      <c r="B27" s="93" t="s">
        <v>518</v>
      </c>
      <c r="C27" s="94">
        <f>IFERROR(C16/INDEX('4. Recovered Capital'!$F$12:$BH$39,27,MATCH(VALUE(RIGHT(TEXT(C3,"dd/mm/yyyy"),4)),'4. Recovered Capital'!$F$12:$BH$12,0)),0)</f>
        <v>0</v>
      </c>
    </row>
    <row r="41" ht="27" customHeight="1" x14ac:dyDescent="0.2"/>
    <row r="48" ht="31.9" customHeight="1" x14ac:dyDescent="0.2"/>
  </sheetData>
  <sheetProtection sheet="1"/>
  <pageMargins left="0.7" right="0.7" top="0.75" bottom="0.75" header="0.3" footer="0.3"/>
  <pageSetup paperSize="9" orientation="portrait" r:id="rId1"/>
  <headerFooter>
    <oddFooter>&amp;C_x000D_&amp;1#&amp;"Aptos"&amp;10&amp;K008000 APA-INTERNAL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0E1B1-8B9C-432C-BB13-C6B9E15801D7}">
  <sheetPr codeName="Sheet18">
    <tabColor rgb="FF17415D"/>
  </sheetPr>
  <dimension ref="B1:E60"/>
  <sheetViews>
    <sheetView zoomScale="80" zoomScaleNormal="8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28515625" style="216" customWidth="1"/>
    <col min="2" max="2" width="21" style="216" customWidth="1"/>
    <col min="3" max="5" width="42.28515625" style="216" customWidth="1"/>
    <col min="6" max="6" width="34.7109375" style="216" customWidth="1"/>
    <col min="7" max="7" width="44" style="216" customWidth="1"/>
    <col min="8" max="8" width="9.28515625" style="216"/>
    <col min="9" max="9" width="70.7109375" style="216" customWidth="1"/>
    <col min="10" max="10" width="108.7109375" style="216" bestFit="1" customWidth="1"/>
    <col min="11" max="16384" width="9.28515625" style="216"/>
  </cols>
  <sheetData>
    <row r="1" spans="2:5" ht="20.25" customHeight="1" x14ac:dyDescent="0.3">
      <c r="B1" s="146" t="s">
        <v>510</v>
      </c>
      <c r="C1" s="146"/>
      <c r="D1" s="215"/>
      <c r="E1" s="215"/>
    </row>
    <row r="2" spans="2:5" ht="20.25" x14ac:dyDescent="0.3">
      <c r="B2" s="146" t="str">
        <f>IF(Tradingname=0," ",Tradingname)</f>
        <v>EAST AUSTRALIAN PIPELINE PTY LIMITED</v>
      </c>
      <c r="C2" s="146"/>
      <c r="D2" s="217"/>
    </row>
    <row r="3" spans="2:5" ht="22.9" customHeight="1" x14ac:dyDescent="0.3">
      <c r="B3" s="146" t="s">
        <v>110</v>
      </c>
      <c r="C3" s="110">
        <f>IF(Yearending=0, "01/01/2000", Yearending)</f>
        <v>45838</v>
      </c>
    </row>
    <row r="4" spans="2:5" ht="20.25" x14ac:dyDescent="0.2">
      <c r="B4" s="102" t="s">
        <v>534</v>
      </c>
      <c r="C4" s="102"/>
    </row>
    <row r="7" spans="2:5" ht="15.75" x14ac:dyDescent="0.25">
      <c r="B7" s="218" t="s">
        <v>536</v>
      </c>
    </row>
    <row r="59" spans="2:5" ht="15.75" x14ac:dyDescent="0.25">
      <c r="B59" s="218" t="s">
        <v>395</v>
      </c>
      <c r="C59" s="219"/>
      <c r="D59" s="219"/>
      <c r="E59" s="219"/>
    </row>
    <row r="60" spans="2:5" ht="15.75" x14ac:dyDescent="0.25">
      <c r="B60" s="218"/>
      <c r="C60" s="219"/>
      <c r="D60" s="219"/>
      <c r="E60" s="219"/>
    </row>
  </sheetData>
  <sheetProtection sheet="1" objects="1" scenarios="1"/>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0765A-F726-4BD9-AFA6-9E2309548E74}">
  <sheetPr codeName="Sheet19">
    <tabColor rgb="FF17415D"/>
  </sheetPr>
  <dimension ref="A1:G42"/>
  <sheetViews>
    <sheetView showGridLines="0" zoomScale="80" zoomScaleNormal="80" workbookViewId="0">
      <pane xSplit="1" ySplit="4" topLeftCell="B5" activePane="bottomRight" state="frozen"/>
      <selection pane="topRight" activeCell="B1" sqref="B1"/>
      <selection pane="bottomLeft" activeCell="A5" sqref="A5"/>
      <selection pane="bottomRight"/>
    </sheetView>
  </sheetViews>
  <sheetFormatPr defaultRowHeight="12.75" x14ac:dyDescent="0.2"/>
  <cols>
    <col min="1" max="1" width="11.7109375" customWidth="1"/>
    <col min="2" max="2" width="60.28515625" customWidth="1"/>
    <col min="3" max="3" width="38.7109375" customWidth="1"/>
    <col min="4" max="4" width="40.28515625" customWidth="1"/>
    <col min="5" max="5" width="55" customWidth="1"/>
    <col min="6" max="6" width="39.7109375" customWidth="1"/>
    <col min="7" max="7" width="38.42578125" customWidth="1"/>
    <col min="8" max="8" width="37.28515625" customWidth="1"/>
  </cols>
  <sheetData>
    <row r="1" spans="1:7" ht="20.25" x14ac:dyDescent="0.2">
      <c r="A1" s="4"/>
      <c r="B1" s="146" t="s">
        <v>510</v>
      </c>
      <c r="C1" s="146"/>
    </row>
    <row r="2" spans="1:7" ht="20.25" customHeight="1" x14ac:dyDescent="0.2">
      <c r="A2" s="4"/>
      <c r="B2" s="146" t="str">
        <f>IF(Tradingname=0," ",Tradingname)</f>
        <v>EAST AUSTRALIAN PIPELINE PTY LIMITED</v>
      </c>
      <c r="C2" s="146"/>
    </row>
    <row r="3" spans="1:7" ht="20.25" x14ac:dyDescent="0.3">
      <c r="B3" s="146" t="s">
        <v>110</v>
      </c>
      <c r="C3" s="110">
        <f>IF(Yearending=0, "01/01/2000", Yearending)</f>
        <v>45838</v>
      </c>
    </row>
    <row r="4" spans="1:7" ht="20.25" x14ac:dyDescent="0.2">
      <c r="B4" s="102" t="s">
        <v>533</v>
      </c>
      <c r="C4" s="102"/>
      <c r="F4" s="15"/>
      <c r="G4" s="15"/>
    </row>
    <row r="5" spans="1:7" x14ac:dyDescent="0.2">
      <c r="C5" s="15"/>
    </row>
    <row r="6" spans="1:7" ht="15.75" x14ac:dyDescent="0.25">
      <c r="B6" s="117" t="s">
        <v>668</v>
      </c>
      <c r="C6" s="116"/>
    </row>
    <row r="9" spans="1:7" x14ac:dyDescent="0.2">
      <c r="B9" s="32" t="s">
        <v>410</v>
      </c>
      <c r="C9" s="461" t="s">
        <v>529</v>
      </c>
      <c r="D9" s="462"/>
      <c r="E9" s="463" t="s">
        <v>525</v>
      </c>
    </row>
    <row r="10" spans="1:7" x14ac:dyDescent="0.2">
      <c r="B10" s="123"/>
      <c r="C10" s="120" t="s">
        <v>428</v>
      </c>
      <c r="D10" s="120" t="s">
        <v>429</v>
      </c>
      <c r="E10" s="464"/>
    </row>
    <row r="11" spans="1:7" x14ac:dyDescent="0.2">
      <c r="B11" s="123" t="s">
        <v>571</v>
      </c>
      <c r="C11" s="149">
        <f>IFERROR('6. Pricing template'!$G37,)</f>
        <v>0.5103784489089177</v>
      </c>
      <c r="D11" s="149">
        <f>IFERROR('6. Pricing template'!$G38,)</f>
        <v>0.94037112416257429</v>
      </c>
      <c r="E11" s="150" t="s">
        <v>530</v>
      </c>
    </row>
    <row r="12" spans="1:7" ht="12.75" customHeight="1" x14ac:dyDescent="0.2">
      <c r="B12" s="123" t="s">
        <v>661</v>
      </c>
      <c r="C12" s="149">
        <f>IFERROR('6. Pricing template'!$G39,)</f>
        <v>0</v>
      </c>
      <c r="D12" s="149">
        <f>IFERROR('6. Pricing template'!$G40,)</f>
        <v>0</v>
      </c>
      <c r="E12" s="150" t="s">
        <v>530</v>
      </c>
    </row>
    <row r="13" spans="1:7" x14ac:dyDescent="0.2">
      <c r="B13" s="123" t="s">
        <v>573</v>
      </c>
      <c r="C13" s="149">
        <f>IFERROR('6. Pricing template'!$G41,)</f>
        <v>0</v>
      </c>
      <c r="D13" s="149">
        <f>IFERROR('6. Pricing template'!$G42,)</f>
        <v>0</v>
      </c>
      <c r="E13" s="150" t="s">
        <v>530</v>
      </c>
    </row>
    <row r="14" spans="1:7" x14ac:dyDescent="0.2">
      <c r="B14" s="123" t="s">
        <v>574</v>
      </c>
      <c r="C14" s="149">
        <f>IFERROR('6. Pricing template'!$G43,)</f>
        <v>0</v>
      </c>
      <c r="D14" s="149">
        <f>IFERROR('6. Pricing template'!$G44,)</f>
        <v>0</v>
      </c>
      <c r="E14" s="150" t="s">
        <v>530</v>
      </c>
    </row>
    <row r="15" spans="1:7" x14ac:dyDescent="0.2">
      <c r="B15" s="205" t="s">
        <v>575</v>
      </c>
      <c r="C15" s="149">
        <f>IFERROR('6. Pricing template'!$G45,)</f>
        <v>0</v>
      </c>
      <c r="D15" s="149">
        <f>IFERROR('6. Pricing template'!$G46,)</f>
        <v>0</v>
      </c>
      <c r="E15" s="150" t="s">
        <v>530</v>
      </c>
    </row>
    <row r="16" spans="1:7" ht="12.75" customHeight="1" x14ac:dyDescent="0.2">
      <c r="B16" s="123" t="s">
        <v>662</v>
      </c>
      <c r="C16" s="149">
        <f>IFERROR('6. Pricing template'!$G47,)</f>
        <v>0</v>
      </c>
      <c r="D16" s="149">
        <f>IFERROR('6. Pricing template'!$G48,)</f>
        <v>0</v>
      </c>
      <c r="E16" s="150" t="s">
        <v>530</v>
      </c>
    </row>
    <row r="17" spans="2:5" x14ac:dyDescent="0.2">
      <c r="B17" s="123" t="s">
        <v>577</v>
      </c>
      <c r="C17" s="149">
        <f>IFERROR('6. Pricing template'!$G49,)</f>
        <v>0</v>
      </c>
      <c r="D17" s="149">
        <f>IFERROR('6. Pricing template'!$G50,)</f>
        <v>0</v>
      </c>
      <c r="E17" s="150" t="s">
        <v>530</v>
      </c>
    </row>
    <row r="18" spans="2:5" x14ac:dyDescent="0.2">
      <c r="B18" s="123" t="s">
        <v>578</v>
      </c>
      <c r="C18" s="149">
        <f>IFERROR('6. Pricing template'!$G51,)</f>
        <v>0</v>
      </c>
      <c r="D18" s="149">
        <f>IFERROR('6. Pricing template'!$G52,)</f>
        <v>0</v>
      </c>
      <c r="E18" s="150" t="s">
        <v>531</v>
      </c>
    </row>
    <row r="19" spans="2:5" x14ac:dyDescent="0.2">
      <c r="B19" s="123" t="s">
        <v>579</v>
      </c>
      <c r="C19" s="149">
        <f>IFERROR('6. Pricing template'!$G53,)</f>
        <v>0</v>
      </c>
      <c r="D19" s="149">
        <f>IFERROR('6. Pricing template'!$G54,)</f>
        <v>0</v>
      </c>
      <c r="E19" s="150" t="s">
        <v>532</v>
      </c>
    </row>
    <row r="20" spans="2:5" x14ac:dyDescent="0.2">
      <c r="B20" s="123" t="s">
        <v>519</v>
      </c>
      <c r="C20" s="149">
        <f>IFERROR('6. Pricing template'!$G55,)</f>
        <v>0</v>
      </c>
      <c r="D20" s="149">
        <f>IFERROR('6. Pricing template'!$G56,)</f>
        <v>0</v>
      </c>
      <c r="E20" s="150"/>
    </row>
    <row r="35" ht="27" customHeight="1" x14ac:dyDescent="0.2"/>
    <row r="42" ht="31.9" customHeight="1" x14ac:dyDescent="0.2"/>
  </sheetData>
  <sheetProtection sheet="1" objects="1" scenarios="1"/>
  <mergeCells count="2">
    <mergeCell ref="C9:D9"/>
    <mergeCell ref="E9:E10"/>
  </mergeCells>
  <pageMargins left="0.7" right="0.7" top="0.75" bottom="0.75" header="0.3" footer="0.3"/>
  <pageSetup paperSize="9" orientation="portrait" r:id="rId1"/>
  <headerFooter>
    <oddFooter>&amp;C_x000D_&amp;1#&amp;"Aptos"&amp;10&amp;K008000 APA-INTERNAL</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76AD6-2653-4FEA-9072-0FA9A4501ACD}">
  <sheetPr codeName="Sheet5">
    <tabColor rgb="FF17415D"/>
  </sheetPr>
  <dimension ref="B1:H42"/>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 style="4" customWidth="1"/>
    <col min="2" max="4" width="42.7109375" style="4" customWidth="1"/>
    <col min="5" max="5" width="10.7109375" style="4" customWidth="1"/>
    <col min="6" max="8" width="19.7109375" style="4" customWidth="1"/>
    <col min="9" max="9" width="18.28515625" style="4" customWidth="1"/>
    <col min="10" max="16384" width="9.28515625" style="4"/>
  </cols>
  <sheetData>
    <row r="1" spans="2:8" ht="22.9" customHeight="1" x14ac:dyDescent="0.45">
      <c r="B1" s="146" t="s">
        <v>510</v>
      </c>
      <c r="C1" s="146"/>
      <c r="D1" s="254"/>
    </row>
    <row r="2" spans="2:8" ht="20.25" x14ac:dyDescent="0.2">
      <c r="B2" s="146" t="str">
        <f>IF(Tradingname=0," ",Tradingname)</f>
        <v>EAST AUSTRALIAN PIPELINE PTY LIMITED</v>
      </c>
      <c r="C2" s="146"/>
    </row>
    <row r="3" spans="2:8" ht="20.25" x14ac:dyDescent="0.3">
      <c r="B3" s="146" t="s">
        <v>110</v>
      </c>
      <c r="C3" s="110">
        <f>IF(Yearending=0, "01/01/2000", Yearending)</f>
        <v>45838</v>
      </c>
    </row>
    <row r="4" spans="2:8" ht="20.25" x14ac:dyDescent="0.2">
      <c r="B4" s="102" t="s">
        <v>65</v>
      </c>
      <c r="C4" s="102"/>
    </row>
    <row r="5" spans="2:8" ht="20.25" x14ac:dyDescent="0.3">
      <c r="B5" s="255"/>
    </row>
    <row r="6" spans="2:8" ht="20.25" x14ac:dyDescent="0.3">
      <c r="B6" s="255"/>
    </row>
    <row r="7" spans="2:8" ht="15.75" x14ac:dyDescent="0.25">
      <c r="B7" s="225" t="s">
        <v>112</v>
      </c>
    </row>
    <row r="8" spans="2:8" x14ac:dyDescent="0.2">
      <c r="B8" s="226"/>
      <c r="C8" s="227"/>
      <c r="D8" s="227"/>
      <c r="E8" s="256"/>
      <c r="F8" s="257"/>
      <c r="G8" s="258"/>
      <c r="H8" s="258"/>
    </row>
    <row r="9" spans="2:8" ht="13.9" customHeight="1" x14ac:dyDescent="0.2">
      <c r="B9" s="33" t="s">
        <v>23</v>
      </c>
      <c r="C9" s="133" t="s">
        <v>933</v>
      </c>
    </row>
    <row r="10" spans="2:8" ht="13.9" customHeight="1" x14ac:dyDescent="0.2">
      <c r="B10" s="33" t="s">
        <v>496</v>
      </c>
      <c r="C10" s="134">
        <v>2001</v>
      </c>
    </row>
    <row r="11" spans="2:8" ht="13.9" customHeight="1" x14ac:dyDescent="0.2">
      <c r="B11" s="33" t="s">
        <v>24</v>
      </c>
      <c r="C11" s="80">
        <v>33</v>
      </c>
    </row>
    <row r="12" spans="2:8" ht="13.9" customHeight="1" x14ac:dyDescent="0.2">
      <c r="B12" s="33" t="s">
        <v>25</v>
      </c>
      <c r="C12" s="80" t="s">
        <v>804</v>
      </c>
    </row>
    <row r="13" spans="2:8" ht="13.9" customHeight="1" x14ac:dyDescent="0.2">
      <c r="B13" s="33" t="s">
        <v>563</v>
      </c>
      <c r="C13" s="151" t="s">
        <v>964</v>
      </c>
    </row>
    <row r="14" spans="2:8" ht="13.9" customHeight="1" x14ac:dyDescent="0.2">
      <c r="B14" s="33" t="s">
        <v>85</v>
      </c>
      <c r="C14" s="152">
        <v>28112</v>
      </c>
    </row>
    <row r="15" spans="2:8" ht="13.9" customHeight="1" x14ac:dyDescent="0.2">
      <c r="B15" s="33" t="str">
        <f>IF(Cover!C23="Scheme pipeline", "Date opening RAB established","")</f>
        <v/>
      </c>
      <c r="C15" s="152"/>
    </row>
    <row r="16" spans="2:8" ht="13.9" customHeight="1" x14ac:dyDescent="0.2">
      <c r="B16" s="33" t="str">
        <f>IF(Cover!C23="Scheme pipeline", "Open RAB value on date established","")</f>
        <v/>
      </c>
      <c r="C16" s="79"/>
    </row>
    <row r="18" spans="2:4" ht="15.75" x14ac:dyDescent="0.25">
      <c r="B18" s="225" t="s">
        <v>113</v>
      </c>
    </row>
    <row r="20" spans="2:4" ht="51" customHeight="1" x14ac:dyDescent="0.2">
      <c r="B20" s="147" t="s">
        <v>26</v>
      </c>
      <c r="C20" s="118" t="s">
        <v>78</v>
      </c>
      <c r="D20" s="118" t="s">
        <v>31</v>
      </c>
    </row>
    <row r="21" spans="2:4" ht="14.25" x14ac:dyDescent="0.2">
      <c r="B21" s="35" t="s">
        <v>27</v>
      </c>
      <c r="C21" s="259"/>
      <c r="D21" s="259"/>
    </row>
    <row r="22" spans="2:4" x14ac:dyDescent="0.2">
      <c r="B22" s="36" t="s">
        <v>571</v>
      </c>
      <c r="C22" s="75" t="s">
        <v>816</v>
      </c>
      <c r="D22" s="75" t="s">
        <v>807</v>
      </c>
    </row>
    <row r="23" spans="2:4" x14ac:dyDescent="0.2">
      <c r="B23" s="36" t="s">
        <v>572</v>
      </c>
      <c r="C23" s="75" t="s">
        <v>816</v>
      </c>
      <c r="D23" s="75" t="s">
        <v>807</v>
      </c>
    </row>
    <row r="24" spans="2:4" ht="25.5" x14ac:dyDescent="0.2">
      <c r="B24" s="36" t="s">
        <v>573</v>
      </c>
      <c r="C24" s="75" t="s">
        <v>816</v>
      </c>
      <c r="D24" s="75" t="s">
        <v>807</v>
      </c>
    </row>
    <row r="25" spans="2:4" ht="14.25" x14ac:dyDescent="0.2">
      <c r="B25" s="37" t="s">
        <v>134</v>
      </c>
      <c r="C25" s="259"/>
      <c r="D25" s="259"/>
    </row>
    <row r="26" spans="2:4" x14ac:dyDescent="0.2">
      <c r="B26" s="38" t="s">
        <v>574</v>
      </c>
      <c r="C26" s="75" t="s">
        <v>807</v>
      </c>
      <c r="D26" s="75" t="s">
        <v>807</v>
      </c>
    </row>
    <row r="27" spans="2:4" ht="25.5" x14ac:dyDescent="0.2">
      <c r="B27" s="39" t="s">
        <v>575</v>
      </c>
      <c r="C27" s="75" t="s">
        <v>807</v>
      </c>
      <c r="D27" s="75" t="s">
        <v>807</v>
      </c>
    </row>
    <row r="28" spans="2:4" ht="14.25" x14ac:dyDescent="0.2">
      <c r="B28" s="37" t="s">
        <v>28</v>
      </c>
      <c r="C28" s="259"/>
      <c r="D28" s="259"/>
    </row>
    <row r="29" spans="2:4" x14ac:dyDescent="0.2">
      <c r="B29" s="36" t="s">
        <v>576</v>
      </c>
      <c r="C29" s="75" t="s">
        <v>816</v>
      </c>
      <c r="D29" s="75" t="s">
        <v>807</v>
      </c>
    </row>
    <row r="30" spans="2:4" x14ac:dyDescent="0.2">
      <c r="B30" s="36" t="s">
        <v>577</v>
      </c>
      <c r="C30" s="75" t="s">
        <v>816</v>
      </c>
      <c r="D30" s="75" t="s">
        <v>807</v>
      </c>
    </row>
    <row r="31" spans="2:4" ht="14.25" x14ac:dyDescent="0.2">
      <c r="B31" s="35" t="s">
        <v>29</v>
      </c>
      <c r="C31" s="259"/>
      <c r="D31" s="259"/>
    </row>
    <row r="32" spans="2:4" x14ac:dyDescent="0.2">
      <c r="B32" s="36" t="s">
        <v>578</v>
      </c>
      <c r="C32" s="75" t="s">
        <v>816</v>
      </c>
      <c r="D32" s="75" t="s">
        <v>807</v>
      </c>
    </row>
    <row r="33" spans="2:4" x14ac:dyDescent="0.2">
      <c r="B33" s="36" t="s">
        <v>579</v>
      </c>
      <c r="C33" s="75" t="s">
        <v>816</v>
      </c>
      <c r="D33" s="75" t="s">
        <v>807</v>
      </c>
    </row>
    <row r="34" spans="2:4" ht="14.25" x14ac:dyDescent="0.2">
      <c r="B34" s="35" t="s">
        <v>30</v>
      </c>
      <c r="C34" s="259"/>
      <c r="D34" s="259"/>
    </row>
    <row r="35" spans="2:4" x14ac:dyDescent="0.2">
      <c r="B35" s="76" t="s">
        <v>972</v>
      </c>
      <c r="C35" s="74" t="s">
        <v>816</v>
      </c>
      <c r="D35" s="74" t="s">
        <v>807</v>
      </c>
    </row>
    <row r="36" spans="2:4" x14ac:dyDescent="0.2">
      <c r="B36" s="76" t="s">
        <v>973</v>
      </c>
      <c r="C36" s="74" t="s">
        <v>816</v>
      </c>
      <c r="D36" s="74" t="s">
        <v>807</v>
      </c>
    </row>
    <row r="37" spans="2:4" x14ac:dyDescent="0.2">
      <c r="B37" s="76" t="s">
        <v>244</v>
      </c>
      <c r="C37" s="74"/>
      <c r="D37" s="74"/>
    </row>
    <row r="38" spans="2:4" x14ac:dyDescent="0.2">
      <c r="B38" s="76" t="s">
        <v>244</v>
      </c>
      <c r="C38" s="74"/>
      <c r="D38" s="74"/>
    </row>
    <row r="39" spans="2:4" x14ac:dyDescent="0.2">
      <c r="B39" s="76" t="s">
        <v>244</v>
      </c>
      <c r="C39" s="74"/>
      <c r="D39" s="74"/>
    </row>
    <row r="40" spans="2:4" x14ac:dyDescent="0.2">
      <c r="B40" s="76" t="s">
        <v>244</v>
      </c>
      <c r="C40" s="74"/>
      <c r="D40" s="74"/>
    </row>
    <row r="41" spans="2:4" x14ac:dyDescent="0.2">
      <c r="B41" s="76" t="s">
        <v>244</v>
      </c>
      <c r="C41" s="74"/>
      <c r="D41" s="74"/>
    </row>
    <row r="42" spans="2:4" x14ac:dyDescent="0.2">
      <c r="B42" s="76" t="s">
        <v>244</v>
      </c>
      <c r="C42" s="74"/>
      <c r="D42" s="74"/>
    </row>
  </sheetData>
  <sheetProtection sheet="1" insertRows="0"/>
  <dataValidations count="2">
    <dataValidation type="list" allowBlank="1" showInputMessage="1" showErrorMessage="1" sqref="C12" xr:uid="{7363F4A1-4B31-4160-8DDF-50EBE40FF175}">
      <formula1>"Distribution,Transmission"</formula1>
    </dataValidation>
    <dataValidation type="list" allowBlank="1" showInputMessage="1" showErrorMessage="1" sqref="C22:D24 C26:D27 C29:D30 C32:D33" xr:uid="{A6BCB6DE-D8D0-4040-BC3A-735901325C9F}">
      <formula1>"Yes,No"</formula1>
    </dataValidation>
  </dataValidations>
  <pageMargins left="0.75" right="0.75" top="1" bottom="1" header="0.5" footer="0.5"/>
  <pageSetup paperSize="9" scale="59" orientation="landscape" r:id="rId1"/>
  <headerFooter alignWithMargins="0">
    <oddFooter>&amp;C_x000D_&amp;1#&amp;"Aptos"&amp;10&amp;K008000 APA-INTERNAL</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62C0-9D1A-42E4-BCC8-0E1BFFB49033}">
  <sheetPr codeName="Sheet2">
    <tabColor rgb="FF17415D"/>
    <pageSetUpPr fitToPage="1"/>
  </sheetPr>
  <dimension ref="B1:G22"/>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 style="4" customWidth="1"/>
    <col min="2" max="2" width="19.28515625" style="4" customWidth="1"/>
    <col min="3" max="3" width="55.7109375" style="4" customWidth="1"/>
    <col min="4" max="4" width="30.7109375" style="4" customWidth="1"/>
    <col min="5" max="5" width="55.7109375" style="4" customWidth="1"/>
    <col min="6" max="7" width="30.7109375" style="4" customWidth="1"/>
    <col min="8" max="16384" width="9.28515625" style="4"/>
  </cols>
  <sheetData>
    <row r="1" spans="2:7" ht="20.25" x14ac:dyDescent="0.3">
      <c r="B1" s="146" t="s">
        <v>510</v>
      </c>
      <c r="C1" s="146"/>
      <c r="D1" s="215"/>
      <c r="E1" s="215"/>
      <c r="F1" s="215"/>
      <c r="G1" s="215"/>
    </row>
    <row r="2" spans="2:7" ht="18" customHeight="1" x14ac:dyDescent="0.45">
      <c r="B2" s="146" t="str">
        <f>IF(Tradingname=0," ",Tradingname)</f>
        <v>EAST AUSTRALIAN PIPELINE PTY LIMITED</v>
      </c>
      <c r="C2" s="146"/>
      <c r="G2" s="254"/>
    </row>
    <row r="3" spans="2:7" ht="20.25" x14ac:dyDescent="0.3">
      <c r="B3" s="146" t="s">
        <v>110</v>
      </c>
      <c r="C3" s="110">
        <f>IF(Yearending=0, "01/01/2000", Yearending)</f>
        <v>45838</v>
      </c>
    </row>
    <row r="4" spans="2:7" ht="20.25" x14ac:dyDescent="0.2">
      <c r="B4" s="102" t="s">
        <v>405</v>
      </c>
      <c r="C4" s="102"/>
      <c r="E4" s="260"/>
    </row>
    <row r="7" spans="2:7" ht="15.75" x14ac:dyDescent="0.2">
      <c r="B7" s="261" t="s">
        <v>494</v>
      </c>
      <c r="C7" s="261"/>
      <c r="D7" s="202"/>
      <c r="E7" s="202"/>
      <c r="F7" s="202"/>
      <c r="G7" s="202"/>
    </row>
    <row r="8" spans="2:7" x14ac:dyDescent="0.2">
      <c r="B8" s="262"/>
      <c r="C8" s="263"/>
      <c r="D8" s="264"/>
      <c r="E8" s="202"/>
      <c r="F8" s="202"/>
      <c r="G8" s="202"/>
    </row>
    <row r="9" spans="2:7" ht="25.5" x14ac:dyDescent="0.2">
      <c r="B9" s="55" t="s">
        <v>515</v>
      </c>
      <c r="C9" s="265" t="s">
        <v>13</v>
      </c>
      <c r="D9" s="231" t="s">
        <v>18</v>
      </c>
      <c r="E9" s="265" t="s">
        <v>13</v>
      </c>
      <c r="F9" s="231" t="s">
        <v>18</v>
      </c>
      <c r="G9" s="55" t="s">
        <v>677</v>
      </c>
    </row>
    <row r="10" spans="2:7" x14ac:dyDescent="0.2">
      <c r="B10" s="266"/>
      <c r="C10" s="267"/>
      <c r="D10" s="122" t="s">
        <v>111</v>
      </c>
      <c r="E10" s="267"/>
      <c r="F10" s="122" t="s">
        <v>111</v>
      </c>
      <c r="G10" s="122" t="s">
        <v>111</v>
      </c>
    </row>
    <row r="11" spans="2:7" x14ac:dyDescent="0.2">
      <c r="B11" s="384" t="s">
        <v>965</v>
      </c>
      <c r="C11" s="269" t="s">
        <v>66</v>
      </c>
      <c r="D11" s="122"/>
      <c r="E11" s="269" t="s">
        <v>459</v>
      </c>
      <c r="F11" s="122"/>
      <c r="G11" s="122"/>
    </row>
    <row r="12" spans="2:7" x14ac:dyDescent="0.2">
      <c r="B12" s="385"/>
      <c r="C12" s="123" t="s">
        <v>571</v>
      </c>
      <c r="D12" s="311">
        <f>IF('2.2 Allocation to services'!G13+'2.2 Allocation to services'!G25+'2.2 Allocation to services'!G37=0, ,'2.2 Allocation to services'!G13+'2.2 Allocation to services'!G25+'2.2 Allocation to services'!G37)</f>
        <v>143686500.004015</v>
      </c>
      <c r="E12" s="123" t="s">
        <v>571</v>
      </c>
      <c r="F12" s="311">
        <f>IF('2.2 Allocation to services'!G56+'2.2 Allocation to services'!G68+'2.2 Allocation to services'!G80=0, ,'2.2 Allocation to services'!G56+'2.2 Allocation to services'!G68+'2.2 Allocation to services'!G80)</f>
        <v>84299305.514297411</v>
      </c>
      <c r="G12" s="311">
        <f>D12-ABS(F12)</f>
        <v>59387194.489717588</v>
      </c>
    </row>
    <row r="13" spans="2:7" x14ac:dyDescent="0.2">
      <c r="B13" s="268"/>
      <c r="C13" s="123" t="s">
        <v>661</v>
      </c>
      <c r="D13" s="311">
        <f>IF('2.2 Allocation to services'!G14+'2.2 Allocation to services'!G26+'2.2 Allocation to services'!G38=0, ,'2.2 Allocation to services'!G14+'2.2 Allocation to services'!G26+'2.2 Allocation to services'!G38)</f>
        <v>0</v>
      </c>
      <c r="E13" s="123" t="s">
        <v>661</v>
      </c>
      <c r="F13" s="311">
        <f>IF('2.2 Allocation to services'!G57+'2.2 Allocation to services'!G69+'2.2 Allocation to services'!G81=0, ,'2.2 Allocation to services'!G57+'2.2 Allocation to services'!G69+'2.2 Allocation to services'!G81)</f>
        <v>0</v>
      </c>
      <c r="G13" s="311">
        <f t="shared" ref="G13:G22" si="0">D13-ABS(F13)</f>
        <v>0</v>
      </c>
    </row>
    <row r="14" spans="2:7" x14ac:dyDescent="0.2">
      <c r="B14" s="268"/>
      <c r="C14" s="123" t="s">
        <v>573</v>
      </c>
      <c r="D14" s="311">
        <f>IF('2.2 Allocation to services'!G15+'2.2 Allocation to services'!G27+'2.2 Allocation to services'!G39=0, ,'2.2 Allocation to services'!G15+'2.2 Allocation to services'!G27+'2.2 Allocation to services'!G39)</f>
        <v>602564.04322710761</v>
      </c>
      <c r="E14" s="123" t="s">
        <v>573</v>
      </c>
      <c r="F14" s="311">
        <f>IF('2.2 Allocation to services'!G58+'2.2 Allocation to services'!G70+'2.2 Allocation to services'!G82=0, ,'2.2 Allocation to services'!G58+'2.2 Allocation to services'!G70+'2.2 Allocation to services'!G82)</f>
        <v>353517.76520767692</v>
      </c>
      <c r="G14" s="311">
        <f t="shared" si="0"/>
        <v>249046.2780194307</v>
      </c>
    </row>
    <row r="15" spans="2:7" x14ac:dyDescent="0.2">
      <c r="B15" s="268"/>
      <c r="C15" s="123" t="s">
        <v>574</v>
      </c>
      <c r="D15" s="311">
        <f>IF('2.2 Allocation to services'!G16+'2.2 Allocation to services'!G28+'2.2 Allocation to services'!G40=0, ,'2.2 Allocation to services'!G16+'2.2 Allocation to services'!G28+'2.2 Allocation to services'!G40)</f>
        <v>0</v>
      </c>
      <c r="E15" s="123" t="s">
        <v>574</v>
      </c>
      <c r="F15" s="311">
        <f>IF('2.2 Allocation to services'!G59+'2.2 Allocation to services'!G71+'2.2 Allocation to services'!G83=0, ,'2.2 Allocation to services'!G59+'2.2 Allocation to services'!G71+'2.2 Allocation to services'!G83)</f>
        <v>0</v>
      </c>
      <c r="G15" s="311">
        <f t="shared" si="0"/>
        <v>0</v>
      </c>
    </row>
    <row r="16" spans="2:7" x14ac:dyDescent="0.2">
      <c r="B16" s="268"/>
      <c r="C16" s="205" t="s">
        <v>575</v>
      </c>
      <c r="D16" s="311">
        <f>IF('2.2 Allocation to services'!G17+'2.2 Allocation to services'!G29+'2.2 Allocation to services'!G41=0, ,'2.2 Allocation to services'!G17+'2.2 Allocation to services'!G29+'2.2 Allocation to services'!G41)</f>
        <v>0</v>
      </c>
      <c r="E16" s="205" t="s">
        <v>575</v>
      </c>
      <c r="F16" s="311">
        <f>IF('2.2 Allocation to services'!G60+'2.2 Allocation to services'!G72+'2.2 Allocation to services'!G84=0, ,'2.2 Allocation to services'!G60+'2.2 Allocation to services'!G72+'2.2 Allocation to services'!G84)</f>
        <v>0</v>
      </c>
      <c r="G16" s="311">
        <f t="shared" si="0"/>
        <v>0</v>
      </c>
    </row>
    <row r="17" spans="2:7" x14ac:dyDescent="0.2">
      <c r="B17" s="268"/>
      <c r="C17" s="123" t="s">
        <v>662</v>
      </c>
      <c r="D17" s="311">
        <f>IF('2.2 Allocation to services'!G18+'2.2 Allocation to services'!G30+'2.2 Allocation to services'!G42=0, ,'2.2 Allocation to services'!G18+'2.2 Allocation to services'!G30+'2.2 Allocation to services'!G42)</f>
        <v>9340042.8545822036</v>
      </c>
      <c r="E17" s="123" t="s">
        <v>662</v>
      </c>
      <c r="F17" s="311">
        <f>IF('2.2 Allocation to services'!G61+'2.2 Allocation to services'!G73+'2.2 Allocation to services'!G85=0, ,'2.2 Allocation to services'!G61+'2.2 Allocation to services'!G73+'2.2 Allocation to services'!G85)</f>
        <v>5479701.4757340075</v>
      </c>
      <c r="G17" s="311">
        <f t="shared" si="0"/>
        <v>3860341.378848196</v>
      </c>
    </row>
    <row r="18" spans="2:7" x14ac:dyDescent="0.2">
      <c r="B18" s="268"/>
      <c r="C18" s="123" t="s">
        <v>577</v>
      </c>
      <c r="D18" s="311">
        <f>IF('2.2 Allocation to services'!G19+'2.2 Allocation to services'!G31+'2.2 Allocation to services'!G43=0, ,'2.2 Allocation to services'!G19+'2.2 Allocation to services'!G31+'2.2 Allocation to services'!G43)</f>
        <v>1060236.701294173</v>
      </c>
      <c r="E18" s="123" t="s">
        <v>577</v>
      </c>
      <c r="F18" s="311">
        <f>IF('2.2 Allocation to services'!G62+'2.2 Allocation to services'!G74+'2.2 Allocation to services'!G86=0, ,'2.2 Allocation to services'!G62+'2.2 Allocation to services'!G74+'2.2 Allocation to services'!G86)</f>
        <v>622029.3318952783</v>
      </c>
      <c r="G18" s="311">
        <f t="shared" si="0"/>
        <v>438207.36939889472</v>
      </c>
    </row>
    <row r="19" spans="2:7" x14ac:dyDescent="0.2">
      <c r="B19" s="268"/>
      <c r="C19" s="123" t="s">
        <v>578</v>
      </c>
      <c r="D19" s="311">
        <f>IF('2.2 Allocation to services'!G20+'2.2 Allocation to services'!G32+'2.2 Allocation to services'!G44=0, ,'2.2 Allocation to services'!G20+'2.2 Allocation to services'!G32+'2.2 Allocation to services'!G44)</f>
        <v>120328.39673682567</v>
      </c>
      <c r="E19" s="123" t="s">
        <v>578</v>
      </c>
      <c r="F19" s="311">
        <f>IF('2.2 Allocation to services'!G63+'2.2 Allocation to services'!G75+'2.2 Allocation to services'!G87=0, ,'2.2 Allocation to services'!G63+'2.2 Allocation to services'!G75+'2.2 Allocation to services'!G87)</f>
        <v>70595.360582099311</v>
      </c>
      <c r="G19" s="311">
        <f t="shared" si="0"/>
        <v>49733.03615472636</v>
      </c>
    </row>
    <row r="20" spans="2:7" x14ac:dyDescent="0.2">
      <c r="B20" s="268"/>
      <c r="C20" s="123" t="s">
        <v>579</v>
      </c>
      <c r="D20" s="311">
        <f>IF('2.2 Allocation to services'!G21+'2.2 Allocation to services'!G33+'2.2 Allocation to services'!G45=0, ,'2.2 Allocation to services'!G21+'2.2 Allocation to services'!G33+'2.2 Allocation to services'!G45)</f>
        <v>140687.36742079505</v>
      </c>
      <c r="E20" s="123" t="s">
        <v>579</v>
      </c>
      <c r="F20" s="311">
        <f>IF('2.2 Allocation to services'!G64+'2.2 Allocation to services'!G76+'2.2 Allocation to services'!G88=0, ,'2.2 Allocation to services'!G64+'2.2 Allocation to services'!G76+'2.2 Allocation to services'!G88)</f>
        <v>82539.747073499704</v>
      </c>
      <c r="G20" s="311">
        <f t="shared" si="0"/>
        <v>58147.620347295349</v>
      </c>
    </row>
    <row r="21" spans="2:7" x14ac:dyDescent="0.2">
      <c r="B21" s="268"/>
      <c r="C21" s="123" t="s">
        <v>519</v>
      </c>
      <c r="D21" s="311">
        <f>IF('2.2 Allocation to services'!G22+'2.2 Allocation to services'!G34+'2.2 Allocation to services'!G46=0, ,'2.2 Allocation to services'!G22+'2.2 Allocation to services'!G34+'2.2 Allocation to services'!G46)</f>
        <v>2721675.7705804813</v>
      </c>
      <c r="E21" s="123" t="s">
        <v>519</v>
      </c>
      <c r="F21" s="311">
        <f>IF('2.2 Allocation to services'!G65+'2.2 Allocation to services'!G77+'2.2 Allocation to services'!G89=0, ,'2.2 Allocation to services'!G65+'2.2 Allocation to services'!G77+'2.2 Allocation to services'!G89)</f>
        <v>1596777.5489598098</v>
      </c>
      <c r="G21" s="311">
        <f t="shared" si="0"/>
        <v>1124898.2216206715</v>
      </c>
    </row>
    <row r="22" spans="2:7" x14ac:dyDescent="0.2">
      <c r="B22" s="268"/>
      <c r="C22" s="270" t="s">
        <v>454</v>
      </c>
      <c r="D22" s="311">
        <f t="array" ref="D22">SUM(IF(ISNA(D12:D21),0,D12:D21))</f>
        <v>157672035.13785657</v>
      </c>
      <c r="E22" s="270" t="s">
        <v>460</v>
      </c>
      <c r="F22" s="311">
        <f t="array" ref="F22">SUM(IF(ISNA(F12:F21),0,F12:F21))</f>
        <v>92504466.743749782</v>
      </c>
      <c r="G22" s="311">
        <f t="shared" si="0"/>
        <v>65167568.39410679</v>
      </c>
    </row>
  </sheetData>
  <sheetProtection sheet="1"/>
  <phoneticPr fontId="31" type="noConversion"/>
  <conditionalFormatting sqref="D12:D22 F12:G22">
    <cfRule type="containsErrors" dxfId="83" priority="1" stopIfTrue="1">
      <formula>ISERROR(D12)</formula>
    </cfRule>
  </conditionalFormatting>
  <pageMargins left="0.75" right="0.75" top="1" bottom="1" header="0.5" footer="0.5"/>
  <pageSetup paperSize="9" scale="64" orientation="landscape" verticalDpi="2" r:id="rId1"/>
  <headerFooter alignWithMargins="0">
    <oddFooter>&amp;C_x000D_&amp;1#&amp;"Aptos"&amp;10&amp;K008000 APA-INTERNAL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98D29-D9E0-46BE-9744-536F00D1224B}">
  <sheetPr codeName="Sheet22">
    <tabColor rgb="FF17415D"/>
    <pageSetUpPr fitToPage="1"/>
  </sheetPr>
  <dimension ref="B1:I115"/>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 style="4" customWidth="1"/>
    <col min="2" max="2" width="18.42578125" style="4" customWidth="1"/>
    <col min="3" max="3" width="43" style="4" bestFit="1" customWidth="1"/>
    <col min="4" max="9" width="20.7109375" style="4" customWidth="1"/>
    <col min="10" max="16384" width="9.28515625" style="4"/>
  </cols>
  <sheetData>
    <row r="1" spans="2:9" ht="20.25" x14ac:dyDescent="0.2">
      <c r="B1" s="146" t="s">
        <v>510</v>
      </c>
      <c r="C1" s="146"/>
    </row>
    <row r="2" spans="2:9" ht="20.25" customHeight="1" x14ac:dyDescent="0.2">
      <c r="B2" s="146" t="str">
        <f>IF(Tradingname=0," ",Tradingname)</f>
        <v>EAST AUSTRALIAN PIPELINE PTY LIMITED</v>
      </c>
      <c r="C2" s="146"/>
    </row>
    <row r="3" spans="2:9" ht="20.25" x14ac:dyDescent="0.3">
      <c r="B3" s="146" t="s">
        <v>110</v>
      </c>
      <c r="C3" s="110">
        <f>IF(Yearending=0, "01/01/2000", Yearending)</f>
        <v>45838</v>
      </c>
    </row>
    <row r="4" spans="2:9" ht="20.25" x14ac:dyDescent="0.2">
      <c r="B4" s="102" t="s">
        <v>580</v>
      </c>
      <c r="C4" s="102"/>
    </row>
    <row r="7" spans="2:9" ht="21" customHeight="1" x14ac:dyDescent="0.2">
      <c r="B7" s="261" t="s">
        <v>524</v>
      </c>
    </row>
    <row r="8" spans="2:9" x14ac:dyDescent="0.2">
      <c r="B8" s="226"/>
      <c r="C8" s="271"/>
    </row>
    <row r="9" spans="2:9" ht="21" customHeight="1" x14ac:dyDescent="0.2">
      <c r="B9" s="465" t="s">
        <v>421</v>
      </c>
      <c r="C9" s="466"/>
      <c r="D9" s="466"/>
      <c r="E9" s="466"/>
      <c r="F9" s="466"/>
      <c r="G9" s="467" t="s">
        <v>131</v>
      </c>
      <c r="H9" s="468"/>
      <c r="I9" s="468"/>
    </row>
    <row r="10" spans="2:9" ht="51" customHeight="1" x14ac:dyDescent="0.2">
      <c r="B10" s="40" t="s">
        <v>515</v>
      </c>
      <c r="C10" s="34" t="s">
        <v>13</v>
      </c>
      <c r="D10" s="231" t="s">
        <v>41</v>
      </c>
      <c r="E10" s="231" t="s">
        <v>42</v>
      </c>
      <c r="F10" s="41" t="s">
        <v>18</v>
      </c>
      <c r="G10" s="231" t="s">
        <v>41</v>
      </c>
      <c r="H10" s="231" t="s">
        <v>42</v>
      </c>
      <c r="I10" s="41" t="s">
        <v>18</v>
      </c>
    </row>
    <row r="11" spans="2:9" x14ac:dyDescent="0.2">
      <c r="B11" s="40"/>
      <c r="C11" s="34"/>
      <c r="D11" s="42" t="s">
        <v>111</v>
      </c>
      <c r="E11" s="42" t="s">
        <v>111</v>
      </c>
      <c r="F11" s="42" t="s">
        <v>111</v>
      </c>
      <c r="G11" s="42" t="s">
        <v>111</v>
      </c>
      <c r="H11" s="42" t="s">
        <v>111</v>
      </c>
      <c r="I11" s="42" t="s">
        <v>111</v>
      </c>
    </row>
    <row r="12" spans="2:9" x14ac:dyDescent="0.2">
      <c r="B12" s="386" t="s">
        <v>952</v>
      </c>
      <c r="C12" s="118" t="s">
        <v>497</v>
      </c>
      <c r="D12" s="42"/>
      <c r="E12" s="42"/>
      <c r="F12" s="42"/>
      <c r="G12" s="42"/>
      <c r="H12" s="42"/>
      <c r="I12" s="42"/>
    </row>
    <row r="13" spans="2:9" x14ac:dyDescent="0.2">
      <c r="B13" s="386" t="s">
        <v>952</v>
      </c>
      <c r="C13" s="127" t="s">
        <v>77</v>
      </c>
      <c r="D13" s="77">
        <v>157367357.37189996</v>
      </c>
      <c r="E13" s="77">
        <v>0</v>
      </c>
      <c r="F13" s="101">
        <f>SUM(D13:E13)</f>
        <v>157367357.37189996</v>
      </c>
      <c r="G13" s="77">
        <v>150818961.47205096</v>
      </c>
      <c r="H13" s="77">
        <v>0</v>
      </c>
      <c r="I13" s="101">
        <f>SUM(G13:H13)</f>
        <v>150818961.47205096</v>
      </c>
    </row>
    <row r="14" spans="2:9" x14ac:dyDescent="0.2">
      <c r="B14" s="386" t="s">
        <v>952</v>
      </c>
      <c r="C14" s="127" t="s">
        <v>33</v>
      </c>
      <c r="D14" s="101">
        <f>'2.3 Revenue contributions '!C17</f>
        <v>0</v>
      </c>
      <c r="E14" s="101">
        <f>'2.3 Revenue contributions '!D17</f>
        <v>0</v>
      </c>
      <c r="F14" s="101">
        <f>SUM(D14:E14)</f>
        <v>0</v>
      </c>
      <c r="G14" s="77">
        <v>0</v>
      </c>
      <c r="H14" s="77">
        <v>0</v>
      </c>
      <c r="I14" s="101">
        <f>SUM(G14:H14)</f>
        <v>0</v>
      </c>
    </row>
    <row r="15" spans="2:9" x14ac:dyDescent="0.2">
      <c r="B15" s="386" t="s">
        <v>952</v>
      </c>
      <c r="C15" s="127" t="s">
        <v>225</v>
      </c>
      <c r="D15" s="101">
        <f>'2.3 Revenue contributions '!D29</f>
        <v>0</v>
      </c>
      <c r="E15" s="101"/>
      <c r="F15" s="101">
        <f>SUM(D15:E15)</f>
        <v>0</v>
      </c>
      <c r="G15" s="77">
        <v>0</v>
      </c>
      <c r="H15" s="101"/>
      <c r="I15" s="101">
        <f>SUM(G15:H15)</f>
        <v>0</v>
      </c>
    </row>
    <row r="16" spans="2:9" x14ac:dyDescent="0.2">
      <c r="B16" s="386" t="s">
        <v>952</v>
      </c>
      <c r="C16" s="127" t="s">
        <v>14</v>
      </c>
      <c r="D16" s="77">
        <v>32919.915956622805</v>
      </c>
      <c r="E16" s="77">
        <v>0</v>
      </c>
      <c r="F16" s="101">
        <f>SUM(D16:E16)</f>
        <v>32919.915956622805</v>
      </c>
      <c r="G16" s="77">
        <v>-11528.033390784889</v>
      </c>
      <c r="H16" s="77">
        <v>0</v>
      </c>
      <c r="I16" s="101">
        <f>SUM(G16:H16)</f>
        <v>-11528.033390784889</v>
      </c>
    </row>
    <row r="17" spans="2:9" x14ac:dyDescent="0.2">
      <c r="B17" s="386" t="s">
        <v>952</v>
      </c>
      <c r="C17" s="127" t="s">
        <v>34</v>
      </c>
      <c r="D17" s="77">
        <v>271757.84999999998</v>
      </c>
      <c r="E17" s="77">
        <v>0</v>
      </c>
      <c r="F17" s="101">
        <f>SUM(D17:E17)</f>
        <v>271757.84999999998</v>
      </c>
      <c r="G17" s="77">
        <v>6673187.0800000001</v>
      </c>
      <c r="H17" s="77">
        <v>0</v>
      </c>
      <c r="I17" s="101">
        <f>SUM(G17:H17)</f>
        <v>6673187.0800000001</v>
      </c>
    </row>
    <row r="18" spans="2:9" x14ac:dyDescent="0.2">
      <c r="B18" s="386"/>
      <c r="C18" s="128" t="s">
        <v>498</v>
      </c>
      <c r="D18" s="101">
        <f t="shared" ref="D18:I18" si="0">SUM(D13:D17)</f>
        <v>157672035.13785657</v>
      </c>
      <c r="E18" s="101">
        <f t="shared" si="0"/>
        <v>0</v>
      </c>
      <c r="F18" s="101">
        <f t="shared" si="0"/>
        <v>157672035.13785657</v>
      </c>
      <c r="G18" s="101">
        <f t="shared" si="0"/>
        <v>157480620.51866019</v>
      </c>
      <c r="H18" s="101">
        <f t="shared" si="0"/>
        <v>0</v>
      </c>
      <c r="I18" s="101">
        <f t="shared" si="0"/>
        <v>157480620.51866019</v>
      </c>
    </row>
    <row r="19" spans="2:9" x14ac:dyDescent="0.2">
      <c r="B19" s="386"/>
      <c r="C19" s="44" t="s">
        <v>502</v>
      </c>
      <c r="D19" s="42"/>
      <c r="E19" s="42"/>
      <c r="F19" s="42"/>
      <c r="G19" s="42"/>
      <c r="H19" s="42"/>
      <c r="I19" s="42"/>
    </row>
    <row r="20" spans="2:9" x14ac:dyDescent="0.2">
      <c r="B20" s="386"/>
      <c r="C20" s="127" t="s">
        <v>473</v>
      </c>
      <c r="D20" s="101">
        <f>'2.4 Indirect revenue'!G42</f>
        <v>0</v>
      </c>
      <c r="E20" s="101">
        <f>'2.4 Indirect revenue'!H42</f>
        <v>0</v>
      </c>
      <c r="F20" s="101">
        <f>SUM(D20:E20)</f>
        <v>0</v>
      </c>
      <c r="G20" s="77">
        <v>0</v>
      </c>
      <c r="H20" s="77">
        <v>0</v>
      </c>
      <c r="I20" s="101">
        <f>SUM(G20:H20)</f>
        <v>0</v>
      </c>
    </row>
    <row r="21" spans="2:9" x14ac:dyDescent="0.2">
      <c r="B21" s="386"/>
      <c r="C21" s="128" t="s">
        <v>499</v>
      </c>
      <c r="D21" s="101">
        <f t="shared" ref="D21:I21" si="1">SUM(D20)</f>
        <v>0</v>
      </c>
      <c r="E21" s="101">
        <f t="shared" si="1"/>
        <v>0</v>
      </c>
      <c r="F21" s="101">
        <f t="shared" si="1"/>
        <v>0</v>
      </c>
      <c r="G21" s="101">
        <f t="shared" si="1"/>
        <v>0</v>
      </c>
      <c r="H21" s="101">
        <f t="shared" si="1"/>
        <v>0</v>
      </c>
      <c r="I21" s="101">
        <f t="shared" si="1"/>
        <v>0</v>
      </c>
    </row>
    <row r="22" spans="2:9" x14ac:dyDescent="0.2">
      <c r="B22" s="386"/>
      <c r="C22" s="128" t="s">
        <v>500</v>
      </c>
      <c r="D22" s="101">
        <f>D18+D21</f>
        <v>157672035.13785657</v>
      </c>
      <c r="E22" s="101">
        <f>E21+E18</f>
        <v>0</v>
      </c>
      <c r="F22" s="101">
        <f>F18+F21</f>
        <v>157672035.13785657</v>
      </c>
      <c r="G22" s="101">
        <f>G18+G21</f>
        <v>157480620.51866019</v>
      </c>
      <c r="H22" s="101">
        <f>H18+H21</f>
        <v>0</v>
      </c>
      <c r="I22" s="101">
        <f>I18+I21</f>
        <v>157480620.51866019</v>
      </c>
    </row>
    <row r="23" spans="2:9" x14ac:dyDescent="0.2">
      <c r="B23" s="386"/>
      <c r="C23" s="44" t="s">
        <v>503</v>
      </c>
      <c r="D23" s="42"/>
      <c r="E23" s="42"/>
      <c r="F23" s="42"/>
      <c r="G23" s="42"/>
      <c r="H23" s="42"/>
      <c r="I23" s="42"/>
    </row>
    <row r="24" spans="2:9" x14ac:dyDescent="0.2">
      <c r="B24" s="386" t="s">
        <v>952</v>
      </c>
      <c r="C24" s="30" t="s">
        <v>79</v>
      </c>
      <c r="D24" s="77">
        <v>0</v>
      </c>
      <c r="E24" s="77">
        <v>0</v>
      </c>
      <c r="F24" s="101">
        <f t="shared" ref="F24:F31" si="2">SUM(D24:E24)</f>
        <v>0</v>
      </c>
      <c r="G24" s="77">
        <v>148600.32000000001</v>
      </c>
      <c r="H24" s="77">
        <v>0</v>
      </c>
      <c r="I24" s="101">
        <f t="shared" ref="I24:I31" si="3">SUM(G24:H24)</f>
        <v>148600.32000000001</v>
      </c>
    </row>
    <row r="25" spans="2:9" x14ac:dyDescent="0.2">
      <c r="B25" s="386" t="s">
        <v>952</v>
      </c>
      <c r="C25" s="30" t="s">
        <v>80</v>
      </c>
      <c r="D25" s="77">
        <v>21888092.689999998</v>
      </c>
      <c r="E25" s="77">
        <v>0</v>
      </c>
      <c r="F25" s="101">
        <f t="shared" si="2"/>
        <v>21888092.689999998</v>
      </c>
      <c r="G25" s="77">
        <v>20966151.873132452</v>
      </c>
      <c r="H25" s="77">
        <v>0</v>
      </c>
      <c r="I25" s="101">
        <f t="shared" si="3"/>
        <v>20966151.873132452</v>
      </c>
    </row>
    <row r="26" spans="2:9" x14ac:dyDescent="0.2">
      <c r="B26" s="386" t="s">
        <v>952</v>
      </c>
      <c r="C26" s="30" t="s">
        <v>16</v>
      </c>
      <c r="D26" s="77">
        <v>37105226.822192892</v>
      </c>
      <c r="E26" s="77">
        <v>0</v>
      </c>
      <c r="F26" s="101">
        <f t="shared" si="2"/>
        <v>37105226.822192892</v>
      </c>
      <c r="G26" s="77">
        <v>26177369.052846268</v>
      </c>
      <c r="H26" s="77">
        <v>0</v>
      </c>
      <c r="I26" s="101">
        <f t="shared" si="3"/>
        <v>26177369.052846268</v>
      </c>
    </row>
    <row r="27" spans="2:9" x14ac:dyDescent="0.2">
      <c r="B27" s="386" t="s">
        <v>952</v>
      </c>
      <c r="C27" s="30" t="s">
        <v>35</v>
      </c>
      <c r="D27" s="77">
        <v>1116228.3899999999</v>
      </c>
      <c r="E27" s="77">
        <v>0</v>
      </c>
      <c r="F27" s="101">
        <f t="shared" si="2"/>
        <v>1116228.3899999999</v>
      </c>
      <c r="G27" s="77">
        <v>1034958.29</v>
      </c>
      <c r="H27" s="77">
        <v>0</v>
      </c>
      <c r="I27" s="101">
        <f t="shared" si="3"/>
        <v>1034958.29</v>
      </c>
    </row>
    <row r="28" spans="2:9" x14ac:dyDescent="0.2">
      <c r="B28" s="387" t="s">
        <v>952</v>
      </c>
      <c r="C28" s="30" t="s">
        <v>36</v>
      </c>
      <c r="D28" s="77">
        <v>174349.95</v>
      </c>
      <c r="E28" s="77">
        <v>0</v>
      </c>
      <c r="F28" s="101">
        <f t="shared" si="2"/>
        <v>174349.95</v>
      </c>
      <c r="G28" s="77">
        <v>34996.35</v>
      </c>
      <c r="H28" s="77">
        <v>0</v>
      </c>
      <c r="I28" s="101">
        <f t="shared" si="3"/>
        <v>34996.35</v>
      </c>
    </row>
    <row r="29" spans="2:9" x14ac:dyDescent="0.2">
      <c r="B29" s="387" t="s">
        <v>952</v>
      </c>
      <c r="C29" s="30" t="s">
        <v>37</v>
      </c>
      <c r="D29" s="77">
        <v>76664.409999999989</v>
      </c>
      <c r="E29" s="77">
        <v>0</v>
      </c>
      <c r="F29" s="101">
        <f t="shared" si="2"/>
        <v>76664.409999999989</v>
      </c>
      <c r="G29" s="77">
        <v>91276.400000000009</v>
      </c>
      <c r="H29" s="77">
        <v>0</v>
      </c>
      <c r="I29" s="101">
        <f t="shared" si="3"/>
        <v>91276.400000000009</v>
      </c>
    </row>
    <row r="30" spans="2:9" x14ac:dyDescent="0.2">
      <c r="B30" s="387" t="s">
        <v>952</v>
      </c>
      <c r="C30" s="30" t="s">
        <v>45</v>
      </c>
      <c r="D30" s="77">
        <v>854399.82</v>
      </c>
      <c r="E30" s="77">
        <v>0</v>
      </c>
      <c r="F30" s="101">
        <f t="shared" si="2"/>
        <v>854399.82</v>
      </c>
      <c r="G30" s="77">
        <v>672968.01</v>
      </c>
      <c r="H30" s="77">
        <v>0</v>
      </c>
      <c r="I30" s="101">
        <f t="shared" si="3"/>
        <v>672968.01</v>
      </c>
    </row>
    <row r="31" spans="2:9" x14ac:dyDescent="0.2">
      <c r="B31" s="387" t="s">
        <v>952</v>
      </c>
      <c r="C31" s="45" t="s">
        <v>462</v>
      </c>
      <c r="D31" s="77">
        <v>9892246.3899999987</v>
      </c>
      <c r="E31" s="77">
        <v>0</v>
      </c>
      <c r="F31" s="101">
        <f t="shared" si="2"/>
        <v>9892246.3899999987</v>
      </c>
      <c r="G31" s="77">
        <v>185409684.30901572</v>
      </c>
      <c r="H31" s="77">
        <v>0</v>
      </c>
      <c r="I31" s="101">
        <f t="shared" si="3"/>
        <v>185409684.30901572</v>
      </c>
    </row>
    <row r="32" spans="2:9" x14ac:dyDescent="0.2">
      <c r="B32" s="387"/>
      <c r="C32" s="98" t="s">
        <v>501</v>
      </c>
      <c r="D32" s="101">
        <f t="shared" ref="D32:I32" si="4">SUM(D24:D31)</f>
        <v>71107208.472192883</v>
      </c>
      <c r="E32" s="101">
        <f t="shared" si="4"/>
        <v>0</v>
      </c>
      <c r="F32" s="101">
        <f>SUM(F24:F31)</f>
        <v>71107208.472192883</v>
      </c>
      <c r="G32" s="101">
        <f t="shared" si="4"/>
        <v>234536004.60499445</v>
      </c>
      <c r="H32" s="101">
        <f t="shared" si="4"/>
        <v>0</v>
      </c>
      <c r="I32" s="101">
        <f t="shared" si="4"/>
        <v>234536004.60499445</v>
      </c>
    </row>
    <row r="33" spans="2:9" x14ac:dyDescent="0.2">
      <c r="B33" s="387"/>
      <c r="C33" s="44" t="s">
        <v>504</v>
      </c>
      <c r="D33" s="42"/>
      <c r="E33" s="42"/>
      <c r="F33" s="119"/>
      <c r="G33" s="42"/>
      <c r="H33" s="42"/>
      <c r="I33" s="119"/>
    </row>
    <row r="34" spans="2:9" x14ac:dyDescent="0.2">
      <c r="B34" s="387"/>
      <c r="C34" s="30" t="s">
        <v>464</v>
      </c>
      <c r="D34" s="101">
        <f>SUMIF('2.5 Shared expenses'!$C$15:$C$35,$C34,'2.5 Shared expenses'!H$15:H$35)</f>
        <v>0</v>
      </c>
      <c r="E34" s="101">
        <f>SUMIF('2.5 Shared expenses'!$C$15:$C$35,$C34,'2.5 Shared expenses'!I$15:I$35)</f>
        <v>0</v>
      </c>
      <c r="F34" s="101">
        <f t="shared" ref="F34:F42" si="5">SUM(D34:E34)</f>
        <v>0</v>
      </c>
      <c r="G34" s="77">
        <v>0</v>
      </c>
      <c r="H34" s="77">
        <v>0</v>
      </c>
      <c r="I34" s="101">
        <f t="shared" ref="I34:I42" si="6">SUM(G34:H34)</f>
        <v>0</v>
      </c>
    </row>
    <row r="35" spans="2:9" x14ac:dyDescent="0.2">
      <c r="B35" s="387"/>
      <c r="C35" s="30" t="s">
        <v>43</v>
      </c>
      <c r="D35" s="101">
        <f>SUMIF('2.5 Shared expenses'!$C$15:$C$35,$C35,'2.5 Shared expenses'!H$15:H$35)</f>
        <v>0</v>
      </c>
      <c r="E35" s="101">
        <f>SUMIF('2.5 Shared expenses'!$C$15:$C$35,$C35,'2.5 Shared expenses'!I$15:I$35)</f>
        <v>0</v>
      </c>
      <c r="F35" s="101">
        <f t="shared" si="5"/>
        <v>0</v>
      </c>
      <c r="G35" s="77">
        <v>0</v>
      </c>
      <c r="H35" s="77">
        <v>0</v>
      </c>
      <c r="I35" s="101">
        <f t="shared" si="6"/>
        <v>0</v>
      </c>
    </row>
    <row r="36" spans="2:9" x14ac:dyDescent="0.2">
      <c r="B36" s="387"/>
      <c r="C36" s="43" t="s">
        <v>221</v>
      </c>
      <c r="D36" s="101">
        <f>SUMIF('2.5 Shared expenses'!$C$15:$C$35,$C36,'2.5 Shared expenses'!H$15:H$35)</f>
        <v>0</v>
      </c>
      <c r="E36" s="101">
        <f>SUMIF('2.5 Shared expenses'!$C$15:$C$35,$C36,'2.5 Shared expenses'!I$15:I$35)</f>
        <v>0</v>
      </c>
      <c r="F36" s="101">
        <f t="shared" si="5"/>
        <v>0</v>
      </c>
      <c r="G36" s="77">
        <v>0</v>
      </c>
      <c r="H36" s="77">
        <v>0</v>
      </c>
      <c r="I36" s="101">
        <f t="shared" si="6"/>
        <v>0</v>
      </c>
    </row>
    <row r="37" spans="2:9" x14ac:dyDescent="0.2">
      <c r="B37" s="387" t="s">
        <v>952</v>
      </c>
      <c r="C37" s="45" t="s">
        <v>39</v>
      </c>
      <c r="D37" s="101">
        <f>SUMIF('2.5 Shared expenses'!$C$15:$C$35,$C37,'2.5 Shared expenses'!H$15:H$35)</f>
        <v>4543378.9830540214</v>
      </c>
      <c r="E37" s="101">
        <f>SUMIF('2.5 Shared expenses'!$C$15:$C$35,$C37,'2.5 Shared expenses'!I$15:I$35)</f>
        <v>0</v>
      </c>
      <c r="F37" s="101">
        <f t="shared" si="5"/>
        <v>4543378.9830540214</v>
      </c>
      <c r="G37" s="77">
        <v>3485442.256583536</v>
      </c>
      <c r="H37" s="77">
        <v>0</v>
      </c>
      <c r="I37" s="101">
        <f t="shared" si="6"/>
        <v>3485442.256583536</v>
      </c>
    </row>
    <row r="38" spans="2:9" x14ac:dyDescent="0.2">
      <c r="B38" s="387"/>
      <c r="C38" s="45" t="s">
        <v>44</v>
      </c>
      <c r="D38" s="101">
        <f>SUMIF('2.5 Shared expenses'!$C$15:$C$35,$C38,'2.5 Shared expenses'!H$15:H$35)</f>
        <v>0</v>
      </c>
      <c r="E38" s="101">
        <f>SUMIF('2.5 Shared expenses'!$C$15:$C$35,$C38,'2.5 Shared expenses'!I$15:I$35)</f>
        <v>0</v>
      </c>
      <c r="F38" s="101">
        <f t="shared" si="5"/>
        <v>0</v>
      </c>
      <c r="G38" s="77">
        <v>0</v>
      </c>
      <c r="H38" s="77">
        <v>0</v>
      </c>
      <c r="I38" s="101">
        <f t="shared" si="6"/>
        <v>0</v>
      </c>
    </row>
    <row r="39" spans="2:9" x14ac:dyDescent="0.2">
      <c r="B39" s="387"/>
      <c r="C39" s="43" t="s">
        <v>81</v>
      </c>
      <c r="D39" s="101">
        <f>SUMIF('2.5 Shared expenses'!$C$15:$C$35,$C39,'2.5 Shared expenses'!H$15:H$35)</f>
        <v>0</v>
      </c>
      <c r="E39" s="101">
        <f>SUMIF('2.5 Shared expenses'!$C$15:$C$35,$C39,'2.5 Shared expenses'!I$15:I$35)</f>
        <v>0</v>
      </c>
      <c r="F39" s="101">
        <f t="shared" si="5"/>
        <v>0</v>
      </c>
      <c r="G39" s="77">
        <v>0</v>
      </c>
      <c r="H39" s="77">
        <v>0</v>
      </c>
      <c r="I39" s="101">
        <f t="shared" si="6"/>
        <v>0</v>
      </c>
    </row>
    <row r="40" spans="2:9" x14ac:dyDescent="0.2">
      <c r="B40" s="387"/>
      <c r="C40" s="43" t="s">
        <v>40</v>
      </c>
      <c r="D40" s="101">
        <f>SUMIF('2.5 Shared expenses'!$C$15:$C$35,$C40,'2.5 Shared expenses'!H$15:H$35)</f>
        <v>0</v>
      </c>
      <c r="E40" s="101">
        <f>SUMIF('2.5 Shared expenses'!$C$15:$C$35,$C40,'2.5 Shared expenses'!I$15:I$35)</f>
        <v>0</v>
      </c>
      <c r="F40" s="101">
        <f t="shared" si="5"/>
        <v>0</v>
      </c>
      <c r="G40" s="77">
        <v>0</v>
      </c>
      <c r="H40" s="77">
        <v>0</v>
      </c>
      <c r="I40" s="101">
        <f t="shared" si="6"/>
        <v>0</v>
      </c>
    </row>
    <row r="41" spans="2:9" x14ac:dyDescent="0.2">
      <c r="B41" s="387"/>
      <c r="C41" s="43" t="s">
        <v>222</v>
      </c>
      <c r="D41" s="101">
        <f>SUMIF('2.5 Shared expenses'!$C$15:$C$35,$C41,'2.5 Shared expenses'!H$15:H$35)</f>
        <v>0</v>
      </c>
      <c r="E41" s="101">
        <f>SUMIF('2.5 Shared expenses'!$C$15:$C$35,$C41,'2.5 Shared expenses'!I$15:I$35)</f>
        <v>0</v>
      </c>
      <c r="F41" s="101">
        <f t="shared" si="5"/>
        <v>0</v>
      </c>
      <c r="G41" s="77">
        <v>0</v>
      </c>
      <c r="H41" s="77">
        <v>0</v>
      </c>
      <c r="I41" s="101">
        <f t="shared" si="6"/>
        <v>0</v>
      </c>
    </row>
    <row r="42" spans="2:9" x14ac:dyDescent="0.2">
      <c r="B42" s="387" t="s">
        <v>952</v>
      </c>
      <c r="C42" s="45" t="s">
        <v>466</v>
      </c>
      <c r="D42" s="101">
        <f>SUMIF('2.5 Shared expenses'!$C$15:$C$35,$C42,'2.5 Shared expenses'!H$15:H$35)</f>
        <v>16853879.288502853</v>
      </c>
      <c r="E42" s="101">
        <f>SUMIF('2.5 Shared expenses'!$C$15:$C$35,$C42,'2.5 Shared expenses'!I$15:I$35)</f>
        <v>0</v>
      </c>
      <c r="F42" s="101">
        <f t="shared" si="5"/>
        <v>16853879.288502853</v>
      </c>
      <c r="G42" s="77">
        <v>19349535.265906099</v>
      </c>
      <c r="H42" s="77">
        <v>0</v>
      </c>
      <c r="I42" s="101">
        <f t="shared" si="6"/>
        <v>19349535.265906099</v>
      </c>
    </row>
    <row r="43" spans="2:9" x14ac:dyDescent="0.2">
      <c r="B43" s="297"/>
      <c r="C43" s="98" t="s">
        <v>505</v>
      </c>
      <c r="D43" s="101">
        <f t="shared" ref="D43:I43" si="7">SUM(D34:D42)</f>
        <v>21397258.271556877</v>
      </c>
      <c r="E43" s="101">
        <f t="shared" si="7"/>
        <v>0</v>
      </c>
      <c r="F43" s="101">
        <f>SUM(F34:F42)</f>
        <v>21397258.271556877</v>
      </c>
      <c r="G43" s="101">
        <f t="shared" si="7"/>
        <v>22834977.522489637</v>
      </c>
      <c r="H43" s="101">
        <f t="shared" si="7"/>
        <v>0</v>
      </c>
      <c r="I43" s="101">
        <f t="shared" si="7"/>
        <v>22834977.522489637</v>
      </c>
    </row>
    <row r="44" spans="2:9" x14ac:dyDescent="0.2">
      <c r="B44" s="297"/>
      <c r="C44" s="98" t="s">
        <v>506</v>
      </c>
      <c r="D44" s="22">
        <f t="shared" ref="D44:I44" si="8">D43+D32</f>
        <v>92504466.743749768</v>
      </c>
      <c r="E44" s="22">
        <f t="shared" si="8"/>
        <v>0</v>
      </c>
      <c r="F44" s="22">
        <f t="shared" si="8"/>
        <v>92504466.743749768</v>
      </c>
      <c r="G44" s="22">
        <f t="shared" si="8"/>
        <v>257370982.12748408</v>
      </c>
      <c r="H44" s="22">
        <f t="shared" si="8"/>
        <v>0</v>
      </c>
      <c r="I44" s="22">
        <f t="shared" si="8"/>
        <v>257370982.12748408</v>
      </c>
    </row>
    <row r="45" spans="2:9" x14ac:dyDescent="0.2">
      <c r="B45" s="297"/>
      <c r="C45" s="148" t="s">
        <v>676</v>
      </c>
      <c r="D45" s="22">
        <f t="shared" ref="D45:I45" si="9">D22-ABS(D44)</f>
        <v>65167568.394106805</v>
      </c>
      <c r="E45" s="22">
        <f t="shared" si="9"/>
        <v>0</v>
      </c>
      <c r="F45" s="22">
        <f t="shared" si="9"/>
        <v>65167568.394106805</v>
      </c>
      <c r="G45" s="22">
        <f t="shared" si="9"/>
        <v>-99890361.608823895</v>
      </c>
      <c r="H45" s="22">
        <f t="shared" si="9"/>
        <v>0</v>
      </c>
      <c r="I45" s="22">
        <f t="shared" si="9"/>
        <v>-99890361.608823895</v>
      </c>
    </row>
    <row r="73" spans="2:2" ht="22.9" customHeight="1" x14ac:dyDescent="0.2"/>
    <row r="77" spans="2:2" x14ac:dyDescent="0.2">
      <c r="B77" s="111"/>
    </row>
    <row r="85" spans="2:2" x14ac:dyDescent="0.2">
      <c r="B85" s="111"/>
    </row>
    <row r="92" spans="2:2" x14ac:dyDescent="0.2">
      <c r="B92" s="111"/>
    </row>
    <row r="115" ht="16.5" customHeight="1" x14ac:dyDescent="0.2"/>
  </sheetData>
  <sheetProtection sheet="1"/>
  <mergeCells count="2">
    <mergeCell ref="B9:F9"/>
    <mergeCell ref="G9:I9"/>
  </mergeCells>
  <pageMargins left="0.75" right="0.75" top="1" bottom="1" header="0.5" footer="0.5"/>
  <pageSetup paperSize="9" scale="64" orientation="landscape" verticalDpi="2" r:id="rId1"/>
  <headerFooter alignWithMargins="0">
    <oddFooter>&amp;C_x000D_&amp;1#&amp;"Aptos"&amp;10&amp;K008000 APA-INTERNAL</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56B7E-505A-4A94-9D85-F86B5B0D2F85}">
  <sheetPr codeName="Sheet7">
    <tabColor rgb="FF17415D"/>
    <pageSetUpPr fitToPage="1"/>
  </sheetPr>
  <dimension ref="B1:M93"/>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 style="4" customWidth="1"/>
    <col min="2" max="2" width="18.42578125" style="4" customWidth="1"/>
    <col min="3" max="3" width="52.7109375" style="4" customWidth="1"/>
    <col min="4" max="11" width="20.7109375" style="4" customWidth="1"/>
    <col min="12" max="16384" width="9.28515625" style="4"/>
  </cols>
  <sheetData>
    <row r="1" spans="2:13" ht="20.25" customHeight="1" x14ac:dyDescent="0.3">
      <c r="B1" s="146" t="s">
        <v>510</v>
      </c>
      <c r="C1" s="146"/>
      <c r="D1" s="215"/>
      <c r="E1" s="215"/>
      <c r="F1" s="215"/>
      <c r="G1" s="215"/>
      <c r="H1" s="215"/>
      <c r="I1" s="215"/>
    </row>
    <row r="2" spans="2:13" ht="20.25" customHeight="1" x14ac:dyDescent="0.45">
      <c r="B2" s="146" t="str">
        <f>IF(Tradingname=0," ",Tradingname)</f>
        <v>EAST AUSTRALIAN PIPELINE PTY LIMITED</v>
      </c>
      <c r="C2" s="146"/>
      <c r="I2" s="254"/>
    </row>
    <row r="3" spans="2:13" ht="20.25" customHeight="1" x14ac:dyDescent="0.3">
      <c r="B3" s="146" t="s">
        <v>110</v>
      </c>
      <c r="C3" s="110">
        <f>IF(Yearending=0, "01/01/2000", Yearending)</f>
        <v>45838</v>
      </c>
    </row>
    <row r="4" spans="2:13" ht="20.25" x14ac:dyDescent="0.2">
      <c r="B4" s="102" t="s">
        <v>663</v>
      </c>
      <c r="C4" s="102"/>
      <c r="D4" s="260"/>
      <c r="G4" s="260"/>
    </row>
    <row r="5" spans="2:13" x14ac:dyDescent="0.2">
      <c r="B5" s="202"/>
      <c r="C5" s="202"/>
      <c r="D5" s="202"/>
      <c r="E5" s="202"/>
      <c r="F5" s="202"/>
      <c r="G5" s="202"/>
      <c r="H5" s="202"/>
      <c r="I5" s="202"/>
      <c r="J5" s="202"/>
      <c r="K5" s="202"/>
      <c r="L5" s="202"/>
      <c r="M5" s="202"/>
    </row>
    <row r="6" spans="2:13" x14ac:dyDescent="0.2">
      <c r="B6" s="202"/>
      <c r="C6" s="202"/>
      <c r="D6" s="202"/>
      <c r="E6" s="202"/>
      <c r="F6" s="202"/>
      <c r="G6" s="202"/>
      <c r="H6" s="202"/>
      <c r="I6" s="202"/>
      <c r="J6" s="202"/>
      <c r="K6" s="202"/>
      <c r="L6" s="202"/>
      <c r="M6" s="202"/>
    </row>
    <row r="7" spans="2:13" ht="15.75" x14ac:dyDescent="0.2">
      <c r="B7" s="261" t="s">
        <v>474</v>
      </c>
      <c r="C7" s="202"/>
      <c r="D7" s="202"/>
      <c r="E7" s="202"/>
      <c r="F7" s="202"/>
      <c r="G7" s="202"/>
      <c r="H7" s="202"/>
      <c r="I7" s="202"/>
      <c r="J7" s="202"/>
      <c r="K7" s="202"/>
      <c r="L7" s="202"/>
      <c r="M7" s="202"/>
    </row>
    <row r="8" spans="2:13" x14ac:dyDescent="0.2">
      <c r="B8" s="262"/>
      <c r="C8" s="263"/>
      <c r="D8" s="264"/>
      <c r="E8" s="264"/>
      <c r="F8" s="264"/>
      <c r="G8" s="264"/>
      <c r="H8" s="264"/>
      <c r="I8" s="264"/>
      <c r="J8" s="264"/>
      <c r="K8" s="264"/>
      <c r="L8" s="202"/>
      <c r="M8" s="202"/>
    </row>
    <row r="9" spans="2:13" ht="21" customHeight="1" x14ac:dyDescent="0.2">
      <c r="B9" s="265"/>
      <c r="C9" s="265"/>
      <c r="D9" s="469" t="s">
        <v>130</v>
      </c>
      <c r="E9" s="470"/>
      <c r="F9" s="470"/>
      <c r="G9" s="471"/>
      <c r="H9" s="469" t="s">
        <v>131</v>
      </c>
      <c r="I9" s="470"/>
      <c r="J9" s="470"/>
      <c r="K9" s="471"/>
      <c r="L9" s="202"/>
      <c r="M9" s="202"/>
    </row>
    <row r="10" spans="2:13" ht="51" customHeight="1" x14ac:dyDescent="0.2">
      <c r="B10" s="55" t="s">
        <v>515</v>
      </c>
      <c r="C10" s="265" t="s">
        <v>13</v>
      </c>
      <c r="D10" s="231" t="s">
        <v>448</v>
      </c>
      <c r="E10" s="231" t="s">
        <v>41</v>
      </c>
      <c r="F10" s="231" t="s">
        <v>42</v>
      </c>
      <c r="G10" s="231" t="s">
        <v>18</v>
      </c>
      <c r="H10" s="231" t="s">
        <v>448</v>
      </c>
      <c r="I10" s="231" t="s">
        <v>41</v>
      </c>
      <c r="J10" s="231" t="s">
        <v>42</v>
      </c>
      <c r="K10" s="231" t="s">
        <v>18</v>
      </c>
      <c r="L10" s="202"/>
      <c r="M10" s="202"/>
    </row>
    <row r="11" spans="2:13" ht="15.75" customHeight="1" x14ac:dyDescent="0.2">
      <c r="B11" s="55"/>
      <c r="C11" s="265"/>
      <c r="D11" s="122" t="s">
        <v>449</v>
      </c>
      <c r="E11" s="122" t="s">
        <v>111</v>
      </c>
      <c r="F11" s="122" t="s">
        <v>111</v>
      </c>
      <c r="G11" s="122" t="s">
        <v>111</v>
      </c>
      <c r="H11" s="122" t="s">
        <v>449</v>
      </c>
      <c r="I11" s="122" t="s">
        <v>111</v>
      </c>
      <c r="J11" s="122" t="s">
        <v>111</v>
      </c>
      <c r="K11" s="122" t="s">
        <v>111</v>
      </c>
      <c r="L11" s="202"/>
      <c r="M11" s="202"/>
    </row>
    <row r="12" spans="2:13" x14ac:dyDescent="0.2">
      <c r="B12" s="199"/>
      <c r="C12" s="272" t="s">
        <v>457</v>
      </c>
      <c r="D12" s="122"/>
      <c r="E12" s="122"/>
      <c r="F12" s="122"/>
      <c r="G12" s="122"/>
      <c r="H12" s="122"/>
      <c r="I12" s="122"/>
      <c r="J12" s="122"/>
      <c r="K12" s="122"/>
      <c r="L12" s="202"/>
      <c r="M12" s="202"/>
    </row>
    <row r="13" spans="2:13" x14ac:dyDescent="0.2">
      <c r="B13" s="388" t="s">
        <v>953</v>
      </c>
      <c r="C13" s="123" t="s">
        <v>571</v>
      </c>
      <c r="D13" s="83">
        <v>0.91129983752912391</v>
      </c>
      <c r="E13" s="273">
        <f t="shared" ref="E13:E22" si="0">D13*$E$23</f>
        <v>143686500.004015</v>
      </c>
      <c r="F13" s="273">
        <f t="shared" ref="F13:F22" si="1">D13*$F$23</f>
        <v>0</v>
      </c>
      <c r="G13" s="124">
        <f t="shared" ref="G13:G22" si="2">SUM(E13:F13)</f>
        <v>143686500.004015</v>
      </c>
      <c r="H13" s="83">
        <v>0.9011581269001504</v>
      </c>
      <c r="I13" s="273">
        <f t="shared" ref="I13:I22" si="3">H13*$I$23</f>
        <v>141914941.00966921</v>
      </c>
      <c r="J13" s="273">
        <f t="shared" ref="J13:J22" si="4">H13*$J$23</f>
        <v>0</v>
      </c>
      <c r="K13" s="124">
        <f t="shared" ref="K13:K22" si="5">SUM(I13:J13)</f>
        <v>141914941.00966921</v>
      </c>
      <c r="L13" s="202"/>
      <c r="M13" s="274"/>
    </row>
    <row r="14" spans="2:13" x14ac:dyDescent="0.2">
      <c r="B14" s="388" t="s">
        <v>953</v>
      </c>
      <c r="C14" s="123" t="s">
        <v>661</v>
      </c>
      <c r="D14" s="83">
        <v>0</v>
      </c>
      <c r="E14" s="273">
        <f t="shared" si="0"/>
        <v>0</v>
      </c>
      <c r="F14" s="273">
        <f t="shared" si="1"/>
        <v>0</v>
      </c>
      <c r="G14" s="124">
        <f t="shared" si="2"/>
        <v>0</v>
      </c>
      <c r="H14" s="83">
        <v>0</v>
      </c>
      <c r="I14" s="273">
        <f t="shared" si="3"/>
        <v>0</v>
      </c>
      <c r="J14" s="273">
        <f t="shared" si="4"/>
        <v>0</v>
      </c>
      <c r="K14" s="124">
        <f t="shared" si="5"/>
        <v>0</v>
      </c>
      <c r="L14" s="202"/>
      <c r="M14" s="274"/>
    </row>
    <row r="15" spans="2:13" x14ac:dyDescent="0.2">
      <c r="B15" s="388" t="s">
        <v>953</v>
      </c>
      <c r="C15" s="123" t="s">
        <v>573</v>
      </c>
      <c r="D15" s="83">
        <v>3.8216291348067582E-3</v>
      </c>
      <c r="E15" s="273">
        <f t="shared" si="0"/>
        <v>602564.04322710761</v>
      </c>
      <c r="F15" s="273">
        <f t="shared" si="1"/>
        <v>0</v>
      </c>
      <c r="G15" s="124">
        <f t="shared" si="2"/>
        <v>602564.04322710761</v>
      </c>
      <c r="H15" s="83">
        <v>3.4352644640574621E-3</v>
      </c>
      <c r="I15" s="273">
        <f t="shared" si="3"/>
        <v>540987.57944547175</v>
      </c>
      <c r="J15" s="273">
        <f t="shared" si="4"/>
        <v>0</v>
      </c>
      <c r="K15" s="124">
        <f t="shared" si="5"/>
        <v>540987.57944547175</v>
      </c>
      <c r="L15" s="202"/>
      <c r="M15" s="274"/>
    </row>
    <row r="16" spans="2:13" x14ac:dyDescent="0.2">
      <c r="B16" s="388" t="s">
        <v>953</v>
      </c>
      <c r="C16" s="123" t="s">
        <v>574</v>
      </c>
      <c r="D16" s="83">
        <v>0</v>
      </c>
      <c r="E16" s="273">
        <f t="shared" si="0"/>
        <v>0</v>
      </c>
      <c r="F16" s="273">
        <f t="shared" si="1"/>
        <v>0</v>
      </c>
      <c r="G16" s="124">
        <f t="shared" si="2"/>
        <v>0</v>
      </c>
      <c r="H16" s="83">
        <v>0</v>
      </c>
      <c r="I16" s="273">
        <f t="shared" si="3"/>
        <v>0</v>
      </c>
      <c r="J16" s="273">
        <f t="shared" si="4"/>
        <v>0</v>
      </c>
      <c r="K16" s="124">
        <f t="shared" si="5"/>
        <v>0</v>
      </c>
      <c r="L16" s="202"/>
      <c r="M16" s="274"/>
    </row>
    <row r="17" spans="2:13" x14ac:dyDescent="0.2">
      <c r="B17" s="388" t="s">
        <v>953</v>
      </c>
      <c r="C17" s="205" t="s">
        <v>575</v>
      </c>
      <c r="D17" s="83">
        <v>0</v>
      </c>
      <c r="E17" s="273">
        <f t="shared" si="0"/>
        <v>0</v>
      </c>
      <c r="F17" s="273">
        <f t="shared" si="1"/>
        <v>0</v>
      </c>
      <c r="G17" s="124">
        <f t="shared" si="2"/>
        <v>0</v>
      </c>
      <c r="H17" s="83">
        <v>0</v>
      </c>
      <c r="I17" s="273">
        <f t="shared" si="3"/>
        <v>0</v>
      </c>
      <c r="J17" s="273">
        <f t="shared" si="4"/>
        <v>0</v>
      </c>
      <c r="K17" s="124">
        <f t="shared" si="5"/>
        <v>0</v>
      </c>
      <c r="L17" s="202"/>
      <c r="M17" s="274"/>
    </row>
    <row r="18" spans="2:13" x14ac:dyDescent="0.2">
      <c r="B18" s="388" t="s">
        <v>953</v>
      </c>
      <c r="C18" s="123" t="s">
        <v>662</v>
      </c>
      <c r="D18" s="83">
        <v>5.923715544367758E-2</v>
      </c>
      <c r="E18" s="273">
        <f t="shared" si="0"/>
        <v>9340042.8545822036</v>
      </c>
      <c r="F18" s="273">
        <f t="shared" si="1"/>
        <v>0</v>
      </c>
      <c r="G18" s="124">
        <f t="shared" si="2"/>
        <v>9340042.8545822036</v>
      </c>
      <c r="H18" s="83">
        <v>6.203366627831991E-2</v>
      </c>
      <c r="I18" s="273">
        <f t="shared" si="3"/>
        <v>9769100.2585573047</v>
      </c>
      <c r="J18" s="273">
        <f t="shared" si="4"/>
        <v>0</v>
      </c>
      <c r="K18" s="124">
        <f t="shared" si="5"/>
        <v>9769100.2585573047</v>
      </c>
      <c r="L18" s="202"/>
      <c r="M18" s="274"/>
    </row>
    <row r="19" spans="2:13" x14ac:dyDescent="0.2">
      <c r="B19" s="388" t="s">
        <v>953</v>
      </c>
      <c r="C19" s="123" t="s">
        <v>577</v>
      </c>
      <c r="D19" s="83">
        <v>6.724316714547267E-3</v>
      </c>
      <c r="E19" s="273">
        <f t="shared" si="0"/>
        <v>1060236.701294173</v>
      </c>
      <c r="F19" s="273">
        <f t="shared" si="1"/>
        <v>0</v>
      </c>
      <c r="G19" s="124">
        <f t="shared" si="2"/>
        <v>1060236.701294173</v>
      </c>
      <c r="H19" s="83">
        <v>9.4131879449593572E-3</v>
      </c>
      <c r="I19" s="273">
        <f t="shared" si="3"/>
        <v>1482394.6786309713</v>
      </c>
      <c r="J19" s="273">
        <f t="shared" si="4"/>
        <v>0</v>
      </c>
      <c r="K19" s="124">
        <f t="shared" si="5"/>
        <v>1482394.6786309713</v>
      </c>
      <c r="L19" s="202"/>
      <c r="M19" s="274"/>
    </row>
    <row r="20" spans="2:13" x14ac:dyDescent="0.2">
      <c r="B20" s="388" t="s">
        <v>953</v>
      </c>
      <c r="C20" s="123" t="s">
        <v>578</v>
      </c>
      <c r="D20" s="83">
        <v>7.6315623522978928E-4</v>
      </c>
      <c r="E20" s="273">
        <f t="shared" si="0"/>
        <v>120328.39673682567</v>
      </c>
      <c r="F20" s="273">
        <f t="shared" si="1"/>
        <v>0</v>
      </c>
      <c r="G20" s="124">
        <f t="shared" si="2"/>
        <v>120328.39673682567</v>
      </c>
      <c r="H20" s="83">
        <v>8.0819652124834653E-4</v>
      </c>
      <c r="I20" s="273">
        <f t="shared" si="3"/>
        <v>127275.28966721214</v>
      </c>
      <c r="J20" s="273">
        <f t="shared" si="4"/>
        <v>0</v>
      </c>
      <c r="K20" s="124">
        <f t="shared" si="5"/>
        <v>127275.28966721214</v>
      </c>
      <c r="L20" s="202"/>
      <c r="M20" s="274"/>
    </row>
    <row r="21" spans="2:13" x14ac:dyDescent="0.2">
      <c r="B21" s="388" t="s">
        <v>953</v>
      </c>
      <c r="C21" s="123" t="s">
        <v>579</v>
      </c>
      <c r="D21" s="83">
        <v>8.9227850263864862E-4</v>
      </c>
      <c r="E21" s="273">
        <f t="shared" si="0"/>
        <v>140687.36742079505</v>
      </c>
      <c r="F21" s="273">
        <f t="shared" si="1"/>
        <v>0</v>
      </c>
      <c r="G21" s="124">
        <f t="shared" si="2"/>
        <v>140687.36742079505</v>
      </c>
      <c r="H21" s="83">
        <v>8.9392857956381306E-4</v>
      </c>
      <c r="I21" s="273">
        <f t="shared" si="3"/>
        <v>140776.42740907377</v>
      </c>
      <c r="J21" s="273">
        <f t="shared" si="4"/>
        <v>0</v>
      </c>
      <c r="K21" s="124">
        <f t="shared" si="5"/>
        <v>140776.42740907377</v>
      </c>
      <c r="L21" s="202"/>
      <c r="M21" s="274"/>
    </row>
    <row r="22" spans="2:13" x14ac:dyDescent="0.2">
      <c r="B22" s="388" t="s">
        <v>953</v>
      </c>
      <c r="C22" s="123" t="s">
        <v>519</v>
      </c>
      <c r="D22" s="83">
        <v>1.72616264399762E-2</v>
      </c>
      <c r="E22" s="273">
        <f t="shared" si="0"/>
        <v>2721675.7705804813</v>
      </c>
      <c r="F22" s="273">
        <f t="shared" si="1"/>
        <v>0</v>
      </c>
      <c r="G22" s="124">
        <f t="shared" si="2"/>
        <v>2721675.7705804813</v>
      </c>
      <c r="H22" s="83">
        <v>2.2257629311700857E-2</v>
      </c>
      <c r="I22" s="273">
        <f t="shared" si="3"/>
        <v>3505145.2752809706</v>
      </c>
      <c r="J22" s="273">
        <f t="shared" si="4"/>
        <v>0</v>
      </c>
      <c r="K22" s="124">
        <f t="shared" si="5"/>
        <v>3505145.2752809706</v>
      </c>
      <c r="L22" s="202"/>
      <c r="M22" s="274"/>
    </row>
    <row r="23" spans="2:13" x14ac:dyDescent="0.2">
      <c r="B23" s="389"/>
      <c r="C23" s="197" t="s">
        <v>458</v>
      </c>
      <c r="D23" s="129">
        <f>SUM(D13:D22)</f>
        <v>1.0000000000000002</v>
      </c>
      <c r="E23" s="125">
        <f>'2.1 Profit &amp; Loss by component'!D18-'2.1 Profit &amp; Loss by component'!D15-'2.1 Profit &amp; Loss by component'!D14</f>
        <v>157672035.13785657</v>
      </c>
      <c r="F23" s="125">
        <f>'2.1 Profit &amp; Loss by component'!E18-'2.1 Profit &amp; Loss by component'!E14</f>
        <v>0</v>
      </c>
      <c r="G23" s="125">
        <f>SUM(G13:G22)</f>
        <v>157672035.13785657</v>
      </c>
      <c r="H23" s="129">
        <f>SUM(H13:H22)</f>
        <v>1.0000000000000002</v>
      </c>
      <c r="I23" s="125">
        <f>'2.1 Profit &amp; Loss by component'!G18-'2.1 Profit &amp; Loss by component'!G14-'2.1 Profit &amp; Loss by component'!G15</f>
        <v>157480620.51866019</v>
      </c>
      <c r="J23" s="125">
        <f>'2.1 Profit &amp; Loss by component'!H18-'2.1 Profit &amp; Loss by component'!H14-'2.1 Profit &amp; Loss by component'!H15</f>
        <v>0</v>
      </c>
      <c r="K23" s="125">
        <f>SUM(K13:K22)</f>
        <v>157480620.51866025</v>
      </c>
      <c r="L23" s="202"/>
      <c r="M23" s="202"/>
    </row>
    <row r="24" spans="2:13" x14ac:dyDescent="0.2">
      <c r="B24" s="390"/>
      <c r="C24" s="272" t="s">
        <v>450</v>
      </c>
      <c r="D24" s="122"/>
      <c r="E24" s="122"/>
      <c r="F24" s="122"/>
      <c r="G24" s="122"/>
      <c r="H24" s="122"/>
      <c r="I24" s="122"/>
      <c r="J24" s="122"/>
      <c r="K24" s="122"/>
      <c r="L24" s="202"/>
      <c r="M24" s="202"/>
    </row>
    <row r="25" spans="2:13" x14ac:dyDescent="0.2">
      <c r="B25" s="388" t="s">
        <v>953</v>
      </c>
      <c r="C25" s="123" t="s">
        <v>571</v>
      </c>
      <c r="D25" s="83">
        <v>0</v>
      </c>
      <c r="E25" s="273">
        <f t="shared" ref="E25:F34" si="6">$D25*E$35</f>
        <v>0</v>
      </c>
      <c r="F25" s="273">
        <f t="shared" si="6"/>
        <v>0</v>
      </c>
      <c r="G25" s="124">
        <f t="shared" ref="G25:G34" si="7">SUM(E25:F25)</f>
        <v>0</v>
      </c>
      <c r="H25" s="83">
        <v>0</v>
      </c>
      <c r="I25" s="273">
        <f t="shared" ref="I25:I34" si="8">H25*$I$35</f>
        <v>0</v>
      </c>
      <c r="J25" s="273">
        <f t="shared" ref="J25:J34" si="9">H25*$J$35</f>
        <v>0</v>
      </c>
      <c r="K25" s="124">
        <f t="shared" ref="K25:K34" si="10">SUM(I25:J25)</f>
        <v>0</v>
      </c>
      <c r="L25" s="202"/>
      <c r="M25" s="202"/>
    </row>
    <row r="26" spans="2:13" x14ac:dyDescent="0.2">
      <c r="B26" s="388" t="s">
        <v>953</v>
      </c>
      <c r="C26" s="123" t="s">
        <v>661</v>
      </c>
      <c r="D26" s="83">
        <v>0</v>
      </c>
      <c r="E26" s="273">
        <f t="shared" si="6"/>
        <v>0</v>
      </c>
      <c r="F26" s="273">
        <f t="shared" si="6"/>
        <v>0</v>
      </c>
      <c r="G26" s="124">
        <f t="shared" si="7"/>
        <v>0</v>
      </c>
      <c r="H26" s="83">
        <v>0</v>
      </c>
      <c r="I26" s="273">
        <f t="shared" si="8"/>
        <v>0</v>
      </c>
      <c r="J26" s="273">
        <f t="shared" si="9"/>
        <v>0</v>
      </c>
      <c r="K26" s="124">
        <f t="shared" si="10"/>
        <v>0</v>
      </c>
      <c r="L26" s="202"/>
      <c r="M26" s="202"/>
    </row>
    <row r="27" spans="2:13" x14ac:dyDescent="0.2">
      <c r="B27" s="388" t="s">
        <v>953</v>
      </c>
      <c r="C27" s="123" t="s">
        <v>573</v>
      </c>
      <c r="D27" s="83">
        <v>0</v>
      </c>
      <c r="E27" s="273">
        <f t="shared" si="6"/>
        <v>0</v>
      </c>
      <c r="F27" s="273">
        <f t="shared" si="6"/>
        <v>0</v>
      </c>
      <c r="G27" s="124">
        <f t="shared" si="7"/>
        <v>0</v>
      </c>
      <c r="H27" s="83">
        <v>0</v>
      </c>
      <c r="I27" s="273">
        <f t="shared" si="8"/>
        <v>0</v>
      </c>
      <c r="J27" s="273">
        <f t="shared" si="9"/>
        <v>0</v>
      </c>
      <c r="K27" s="124">
        <f t="shared" si="10"/>
        <v>0</v>
      </c>
      <c r="L27" s="202"/>
      <c r="M27" s="202"/>
    </row>
    <row r="28" spans="2:13" ht="12.75" customHeight="1" x14ac:dyDescent="0.2">
      <c r="B28" s="388" t="s">
        <v>953</v>
      </c>
      <c r="C28" s="123" t="s">
        <v>574</v>
      </c>
      <c r="D28" s="83">
        <v>0</v>
      </c>
      <c r="E28" s="273">
        <f t="shared" si="6"/>
        <v>0</v>
      </c>
      <c r="F28" s="273">
        <f t="shared" si="6"/>
        <v>0</v>
      </c>
      <c r="G28" s="124">
        <f t="shared" si="7"/>
        <v>0</v>
      </c>
      <c r="H28" s="83">
        <v>0</v>
      </c>
      <c r="I28" s="273">
        <f t="shared" si="8"/>
        <v>0</v>
      </c>
      <c r="J28" s="273">
        <f t="shared" si="9"/>
        <v>0</v>
      </c>
      <c r="K28" s="124">
        <f t="shared" si="10"/>
        <v>0</v>
      </c>
      <c r="L28" s="202"/>
      <c r="M28" s="202"/>
    </row>
    <row r="29" spans="2:13" ht="12.75" customHeight="1" x14ac:dyDescent="0.2">
      <c r="B29" s="388" t="s">
        <v>953</v>
      </c>
      <c r="C29" s="205" t="s">
        <v>575</v>
      </c>
      <c r="D29" s="83">
        <v>0</v>
      </c>
      <c r="E29" s="273">
        <f t="shared" si="6"/>
        <v>0</v>
      </c>
      <c r="F29" s="273">
        <f t="shared" si="6"/>
        <v>0</v>
      </c>
      <c r="G29" s="124">
        <f t="shared" si="7"/>
        <v>0</v>
      </c>
      <c r="H29" s="83">
        <v>0</v>
      </c>
      <c r="I29" s="273">
        <f t="shared" si="8"/>
        <v>0</v>
      </c>
      <c r="J29" s="273">
        <f t="shared" si="9"/>
        <v>0</v>
      </c>
      <c r="K29" s="124">
        <f t="shared" si="10"/>
        <v>0</v>
      </c>
      <c r="L29" s="202"/>
      <c r="M29" s="202"/>
    </row>
    <row r="30" spans="2:13" x14ac:dyDescent="0.2">
      <c r="B30" s="388" t="s">
        <v>953</v>
      </c>
      <c r="C30" s="123" t="s">
        <v>662</v>
      </c>
      <c r="D30" s="83">
        <v>0</v>
      </c>
      <c r="E30" s="273">
        <f t="shared" si="6"/>
        <v>0</v>
      </c>
      <c r="F30" s="273">
        <f t="shared" si="6"/>
        <v>0</v>
      </c>
      <c r="G30" s="124">
        <f t="shared" si="7"/>
        <v>0</v>
      </c>
      <c r="H30" s="83">
        <v>0</v>
      </c>
      <c r="I30" s="273">
        <f t="shared" si="8"/>
        <v>0</v>
      </c>
      <c r="J30" s="273">
        <f t="shared" si="9"/>
        <v>0</v>
      </c>
      <c r="K30" s="124">
        <f t="shared" si="10"/>
        <v>0</v>
      </c>
      <c r="L30" s="202"/>
      <c r="M30" s="202"/>
    </row>
    <row r="31" spans="2:13" x14ac:dyDescent="0.2">
      <c r="B31" s="388" t="s">
        <v>953</v>
      </c>
      <c r="C31" s="123" t="s">
        <v>577</v>
      </c>
      <c r="D31" s="83">
        <v>0</v>
      </c>
      <c r="E31" s="273">
        <f t="shared" si="6"/>
        <v>0</v>
      </c>
      <c r="F31" s="273">
        <f t="shared" si="6"/>
        <v>0</v>
      </c>
      <c r="G31" s="124">
        <f t="shared" si="7"/>
        <v>0</v>
      </c>
      <c r="H31" s="83">
        <v>0</v>
      </c>
      <c r="I31" s="273">
        <f t="shared" si="8"/>
        <v>0</v>
      </c>
      <c r="J31" s="273">
        <f t="shared" si="9"/>
        <v>0</v>
      </c>
      <c r="K31" s="124">
        <f t="shared" si="10"/>
        <v>0</v>
      </c>
      <c r="L31" s="202"/>
      <c r="M31" s="202"/>
    </row>
    <row r="32" spans="2:13" x14ac:dyDescent="0.2">
      <c r="B32" s="388" t="s">
        <v>953</v>
      </c>
      <c r="C32" s="123" t="s">
        <v>578</v>
      </c>
      <c r="D32" s="83">
        <v>0</v>
      </c>
      <c r="E32" s="273">
        <f t="shared" si="6"/>
        <v>0</v>
      </c>
      <c r="F32" s="273">
        <f t="shared" si="6"/>
        <v>0</v>
      </c>
      <c r="G32" s="124">
        <f t="shared" si="7"/>
        <v>0</v>
      </c>
      <c r="H32" s="83">
        <v>0</v>
      </c>
      <c r="I32" s="273">
        <f t="shared" si="8"/>
        <v>0</v>
      </c>
      <c r="J32" s="273">
        <f t="shared" si="9"/>
        <v>0</v>
      </c>
      <c r="K32" s="124">
        <f t="shared" si="10"/>
        <v>0</v>
      </c>
      <c r="L32" s="202"/>
      <c r="M32" s="202"/>
    </row>
    <row r="33" spans="2:13" x14ac:dyDescent="0.2">
      <c r="B33" s="388" t="s">
        <v>953</v>
      </c>
      <c r="C33" s="123" t="s">
        <v>579</v>
      </c>
      <c r="D33" s="83">
        <v>0</v>
      </c>
      <c r="E33" s="273">
        <f t="shared" si="6"/>
        <v>0</v>
      </c>
      <c r="F33" s="273">
        <f t="shared" si="6"/>
        <v>0</v>
      </c>
      <c r="G33" s="124">
        <f t="shared" si="7"/>
        <v>0</v>
      </c>
      <c r="H33" s="83">
        <v>0</v>
      </c>
      <c r="I33" s="273">
        <f t="shared" si="8"/>
        <v>0</v>
      </c>
      <c r="J33" s="273">
        <f t="shared" si="9"/>
        <v>0</v>
      </c>
      <c r="K33" s="124">
        <f t="shared" si="10"/>
        <v>0</v>
      </c>
      <c r="L33" s="202"/>
      <c r="M33" s="202"/>
    </row>
    <row r="34" spans="2:13" x14ac:dyDescent="0.2">
      <c r="B34" s="388" t="s">
        <v>953</v>
      </c>
      <c r="C34" s="123" t="s">
        <v>519</v>
      </c>
      <c r="D34" s="83">
        <v>0</v>
      </c>
      <c r="E34" s="273">
        <f t="shared" si="6"/>
        <v>0</v>
      </c>
      <c r="F34" s="273">
        <f t="shared" si="6"/>
        <v>0</v>
      </c>
      <c r="G34" s="124">
        <f t="shared" si="7"/>
        <v>0</v>
      </c>
      <c r="H34" s="83">
        <v>0</v>
      </c>
      <c r="I34" s="273">
        <f t="shared" si="8"/>
        <v>0</v>
      </c>
      <c r="J34" s="273">
        <f t="shared" si="9"/>
        <v>0</v>
      </c>
      <c r="K34" s="124">
        <f t="shared" si="10"/>
        <v>0</v>
      </c>
      <c r="L34" s="202"/>
      <c r="M34" s="202"/>
    </row>
    <row r="35" spans="2:13" x14ac:dyDescent="0.2">
      <c r="B35" s="389"/>
      <c r="C35" s="197" t="s">
        <v>451</v>
      </c>
      <c r="D35" s="129">
        <f>SUM(D25:D34)</f>
        <v>0</v>
      </c>
      <c r="E35" s="125">
        <f>'2.1 Profit &amp; Loss by component'!D14+'2.1 Profit &amp; Loss by component'!D15</f>
        <v>0</v>
      </c>
      <c r="F35" s="125">
        <f>'2.1 Profit &amp; Loss by component'!E14+'2.1 Profit &amp; Loss by component'!E15</f>
        <v>0</v>
      </c>
      <c r="G35" s="125">
        <f>SUM(G25:G34)</f>
        <v>0</v>
      </c>
      <c r="H35" s="129">
        <f>SUM(H25:H34)</f>
        <v>0</v>
      </c>
      <c r="I35" s="125">
        <f>'2.1 Profit &amp; Loss by component'!G14+'2.1 Profit &amp; Loss by component'!G15</f>
        <v>0</v>
      </c>
      <c r="J35" s="125">
        <f>'2.1 Profit &amp; Loss by component'!H14</f>
        <v>0</v>
      </c>
      <c r="K35" s="125">
        <f>SUM(K25:K34)</f>
        <v>0</v>
      </c>
      <c r="L35" s="202"/>
      <c r="M35" s="202"/>
    </row>
    <row r="36" spans="2:13" x14ac:dyDescent="0.2">
      <c r="B36" s="390"/>
      <c r="C36" s="272" t="s">
        <v>38</v>
      </c>
      <c r="D36" s="122"/>
      <c r="E36" s="122"/>
      <c r="F36" s="122"/>
      <c r="G36" s="122"/>
      <c r="H36" s="122"/>
      <c r="I36" s="122"/>
      <c r="J36" s="122"/>
      <c r="K36" s="122"/>
      <c r="L36" s="202"/>
      <c r="M36" s="202"/>
    </row>
    <row r="37" spans="2:13" x14ac:dyDescent="0.2">
      <c r="B37" s="388" t="s">
        <v>953</v>
      </c>
      <c r="C37" s="123" t="s">
        <v>571</v>
      </c>
      <c r="D37" s="83">
        <v>0</v>
      </c>
      <c r="E37" s="273">
        <f>$D37*'2.4 Indirect revenue'!$G$42</f>
        <v>0</v>
      </c>
      <c r="F37" s="273">
        <f>$D37*'2.4 Indirect revenue'!$H$42</f>
        <v>0</v>
      </c>
      <c r="G37" s="124">
        <f t="shared" ref="G37:G46" si="11">SUM(E37:F37)</f>
        <v>0</v>
      </c>
      <c r="H37" s="83">
        <v>0</v>
      </c>
      <c r="I37" s="273">
        <f t="shared" ref="I37:I46" si="12">H37*$I$47</f>
        <v>0</v>
      </c>
      <c r="J37" s="273">
        <f t="shared" ref="J37:J46" si="13">H37*$J$47</f>
        <v>0</v>
      </c>
      <c r="K37" s="124">
        <f t="shared" ref="K37:K46" si="14">SUM(I37:J37)</f>
        <v>0</v>
      </c>
      <c r="L37" s="202"/>
      <c r="M37" s="202"/>
    </row>
    <row r="38" spans="2:13" x14ac:dyDescent="0.2">
      <c r="B38" s="388" t="s">
        <v>953</v>
      </c>
      <c r="C38" s="123" t="s">
        <v>661</v>
      </c>
      <c r="D38" s="83">
        <v>0</v>
      </c>
      <c r="E38" s="273">
        <f>$D38*'2.4 Indirect revenue'!$G$42</f>
        <v>0</v>
      </c>
      <c r="F38" s="273">
        <f>$D38*'2.4 Indirect revenue'!$H$42</f>
        <v>0</v>
      </c>
      <c r="G38" s="124">
        <f t="shared" si="11"/>
        <v>0</v>
      </c>
      <c r="H38" s="83">
        <v>0</v>
      </c>
      <c r="I38" s="273">
        <f t="shared" si="12"/>
        <v>0</v>
      </c>
      <c r="J38" s="273">
        <f t="shared" si="13"/>
        <v>0</v>
      </c>
      <c r="K38" s="124">
        <f t="shared" si="14"/>
        <v>0</v>
      </c>
      <c r="L38" s="202"/>
      <c r="M38" s="202"/>
    </row>
    <row r="39" spans="2:13" x14ac:dyDescent="0.2">
      <c r="B39" s="388" t="s">
        <v>953</v>
      </c>
      <c r="C39" s="123" t="s">
        <v>573</v>
      </c>
      <c r="D39" s="83">
        <v>0</v>
      </c>
      <c r="E39" s="273">
        <f>$D39*'2.4 Indirect revenue'!$G$42</f>
        <v>0</v>
      </c>
      <c r="F39" s="273">
        <f>$D39*'2.4 Indirect revenue'!$H$42</f>
        <v>0</v>
      </c>
      <c r="G39" s="124">
        <f t="shared" si="11"/>
        <v>0</v>
      </c>
      <c r="H39" s="83">
        <v>0</v>
      </c>
      <c r="I39" s="273">
        <f t="shared" si="12"/>
        <v>0</v>
      </c>
      <c r="J39" s="273">
        <f t="shared" si="13"/>
        <v>0</v>
      </c>
      <c r="K39" s="124">
        <f t="shared" si="14"/>
        <v>0</v>
      </c>
      <c r="L39" s="202"/>
      <c r="M39" s="202"/>
    </row>
    <row r="40" spans="2:13" x14ac:dyDescent="0.2">
      <c r="B40" s="388" t="s">
        <v>953</v>
      </c>
      <c r="C40" s="123" t="s">
        <v>574</v>
      </c>
      <c r="D40" s="83">
        <v>0</v>
      </c>
      <c r="E40" s="273">
        <f>$D40*'2.4 Indirect revenue'!$G$42</f>
        <v>0</v>
      </c>
      <c r="F40" s="273">
        <f>$D40*'2.4 Indirect revenue'!$H$42</f>
        <v>0</v>
      </c>
      <c r="G40" s="124">
        <f t="shared" si="11"/>
        <v>0</v>
      </c>
      <c r="H40" s="83">
        <v>0</v>
      </c>
      <c r="I40" s="273">
        <f t="shared" si="12"/>
        <v>0</v>
      </c>
      <c r="J40" s="273">
        <f t="shared" si="13"/>
        <v>0</v>
      </c>
      <c r="K40" s="124">
        <f t="shared" si="14"/>
        <v>0</v>
      </c>
      <c r="L40" s="202"/>
      <c r="M40" s="202"/>
    </row>
    <row r="41" spans="2:13" x14ac:dyDescent="0.2">
      <c r="B41" s="388" t="s">
        <v>953</v>
      </c>
      <c r="C41" s="205" t="s">
        <v>575</v>
      </c>
      <c r="D41" s="83">
        <v>0</v>
      </c>
      <c r="E41" s="273">
        <f>$D41*'2.4 Indirect revenue'!$G$42</f>
        <v>0</v>
      </c>
      <c r="F41" s="273">
        <f>$D41*'2.4 Indirect revenue'!$H$42</f>
        <v>0</v>
      </c>
      <c r="G41" s="124">
        <f t="shared" si="11"/>
        <v>0</v>
      </c>
      <c r="H41" s="83">
        <v>0</v>
      </c>
      <c r="I41" s="273">
        <f t="shared" si="12"/>
        <v>0</v>
      </c>
      <c r="J41" s="273">
        <f t="shared" si="13"/>
        <v>0</v>
      </c>
      <c r="K41" s="124">
        <f t="shared" si="14"/>
        <v>0</v>
      </c>
      <c r="L41" s="202"/>
      <c r="M41" s="202"/>
    </row>
    <row r="42" spans="2:13" x14ac:dyDescent="0.2">
      <c r="B42" s="388" t="s">
        <v>953</v>
      </c>
      <c r="C42" s="123" t="s">
        <v>662</v>
      </c>
      <c r="D42" s="83">
        <v>0</v>
      </c>
      <c r="E42" s="273">
        <f>$D42*'2.4 Indirect revenue'!$G$42</f>
        <v>0</v>
      </c>
      <c r="F42" s="273">
        <f>$D42*'2.4 Indirect revenue'!$H$42</f>
        <v>0</v>
      </c>
      <c r="G42" s="124">
        <f t="shared" si="11"/>
        <v>0</v>
      </c>
      <c r="H42" s="83">
        <v>0</v>
      </c>
      <c r="I42" s="273">
        <f t="shared" si="12"/>
        <v>0</v>
      </c>
      <c r="J42" s="273">
        <f t="shared" si="13"/>
        <v>0</v>
      </c>
      <c r="K42" s="124">
        <f t="shared" si="14"/>
        <v>0</v>
      </c>
      <c r="L42" s="202"/>
      <c r="M42" s="202"/>
    </row>
    <row r="43" spans="2:13" x14ac:dyDescent="0.2">
      <c r="B43" s="388" t="s">
        <v>953</v>
      </c>
      <c r="C43" s="123" t="s">
        <v>577</v>
      </c>
      <c r="D43" s="83">
        <v>0</v>
      </c>
      <c r="E43" s="273">
        <f>$D43*'2.4 Indirect revenue'!$G$42</f>
        <v>0</v>
      </c>
      <c r="F43" s="273">
        <f>$D43*'2.4 Indirect revenue'!$H$42</f>
        <v>0</v>
      </c>
      <c r="G43" s="124">
        <f t="shared" si="11"/>
        <v>0</v>
      </c>
      <c r="H43" s="83">
        <v>0</v>
      </c>
      <c r="I43" s="273">
        <f t="shared" si="12"/>
        <v>0</v>
      </c>
      <c r="J43" s="273">
        <f t="shared" si="13"/>
        <v>0</v>
      </c>
      <c r="K43" s="124">
        <f t="shared" si="14"/>
        <v>0</v>
      </c>
      <c r="L43" s="202"/>
      <c r="M43" s="202"/>
    </row>
    <row r="44" spans="2:13" x14ac:dyDescent="0.2">
      <c r="B44" s="388" t="s">
        <v>953</v>
      </c>
      <c r="C44" s="123" t="s">
        <v>578</v>
      </c>
      <c r="D44" s="83">
        <v>0</v>
      </c>
      <c r="E44" s="273">
        <f>$D44*'2.4 Indirect revenue'!$G$42</f>
        <v>0</v>
      </c>
      <c r="F44" s="273">
        <f>$D44*'2.4 Indirect revenue'!$H$42</f>
        <v>0</v>
      </c>
      <c r="G44" s="124">
        <f t="shared" si="11"/>
        <v>0</v>
      </c>
      <c r="H44" s="83">
        <v>0</v>
      </c>
      <c r="I44" s="273">
        <f t="shared" si="12"/>
        <v>0</v>
      </c>
      <c r="J44" s="273">
        <f t="shared" si="13"/>
        <v>0</v>
      </c>
      <c r="K44" s="124">
        <f t="shared" si="14"/>
        <v>0</v>
      </c>
      <c r="L44" s="202"/>
      <c r="M44" s="202"/>
    </row>
    <row r="45" spans="2:13" x14ac:dyDescent="0.2">
      <c r="B45" s="388" t="s">
        <v>953</v>
      </c>
      <c r="C45" s="123" t="s">
        <v>579</v>
      </c>
      <c r="D45" s="83">
        <v>0</v>
      </c>
      <c r="E45" s="273">
        <f>$D45*'2.4 Indirect revenue'!$G$42</f>
        <v>0</v>
      </c>
      <c r="F45" s="273">
        <f>$D45*'2.4 Indirect revenue'!$H$42</f>
        <v>0</v>
      </c>
      <c r="G45" s="124">
        <f t="shared" si="11"/>
        <v>0</v>
      </c>
      <c r="H45" s="83">
        <v>0</v>
      </c>
      <c r="I45" s="273">
        <f t="shared" si="12"/>
        <v>0</v>
      </c>
      <c r="J45" s="273">
        <f t="shared" si="13"/>
        <v>0</v>
      </c>
      <c r="K45" s="124">
        <f t="shared" si="14"/>
        <v>0</v>
      </c>
      <c r="L45" s="202"/>
      <c r="M45" s="202"/>
    </row>
    <row r="46" spans="2:13" x14ac:dyDescent="0.2">
      <c r="B46" s="388" t="s">
        <v>953</v>
      </c>
      <c r="C46" s="123" t="s">
        <v>519</v>
      </c>
      <c r="D46" s="83">
        <v>0</v>
      </c>
      <c r="E46" s="273">
        <f>$D46*'2.4 Indirect revenue'!$G$42</f>
        <v>0</v>
      </c>
      <c r="F46" s="273">
        <f>$D46*'2.4 Indirect revenue'!$H$42</f>
        <v>0</v>
      </c>
      <c r="G46" s="124">
        <f t="shared" si="11"/>
        <v>0</v>
      </c>
      <c r="H46" s="83">
        <v>0</v>
      </c>
      <c r="I46" s="273">
        <f t="shared" si="12"/>
        <v>0</v>
      </c>
      <c r="J46" s="273">
        <f t="shared" si="13"/>
        <v>0</v>
      </c>
      <c r="K46" s="124">
        <f t="shared" si="14"/>
        <v>0</v>
      </c>
      <c r="L46" s="202"/>
      <c r="M46" s="202"/>
    </row>
    <row r="47" spans="2:13" x14ac:dyDescent="0.2">
      <c r="B47" s="298"/>
      <c r="C47" s="197" t="s">
        <v>452</v>
      </c>
      <c r="D47" s="129">
        <f>SUM(D37:D46)</f>
        <v>0</v>
      </c>
      <c r="E47" s="125">
        <f>'2.1 Profit &amp; Loss by component'!D21</f>
        <v>0</v>
      </c>
      <c r="F47" s="125">
        <f>'2.1 Profit &amp; Loss by component'!E21</f>
        <v>0</v>
      </c>
      <c r="G47" s="125">
        <f>SUM(G37:G46)</f>
        <v>0</v>
      </c>
      <c r="H47" s="129">
        <f>SUM(H37:H46)</f>
        <v>0</v>
      </c>
      <c r="I47" s="125">
        <f>'2.1 Profit &amp; Loss by component'!G21</f>
        <v>0</v>
      </c>
      <c r="J47" s="125">
        <f>'2.1 Profit &amp; Loss by component'!H21</f>
        <v>0</v>
      </c>
      <c r="K47" s="125">
        <f>SUM(K37:K46)</f>
        <v>0</v>
      </c>
      <c r="L47" s="202"/>
      <c r="M47" s="202"/>
    </row>
    <row r="48" spans="2:13" ht="14.25" x14ac:dyDescent="0.2">
      <c r="B48" s="298"/>
      <c r="C48" s="197" t="s">
        <v>15</v>
      </c>
      <c r="D48" s="275"/>
      <c r="E48" s="125">
        <f>E47+E35+E23</f>
        <v>157672035.13785657</v>
      </c>
      <c r="F48" s="125">
        <f>F47+F35+F23</f>
        <v>0</v>
      </c>
      <c r="G48" s="125">
        <f>G47+G35+G23</f>
        <v>157672035.13785657</v>
      </c>
      <c r="H48" s="275"/>
      <c r="I48" s="125">
        <f>I47+I35+I23</f>
        <v>157480620.51866019</v>
      </c>
      <c r="J48" s="125">
        <f>J47+J35+J23</f>
        <v>0</v>
      </c>
      <c r="K48" s="125">
        <f>K47+K35+K23</f>
        <v>157480620.51866025</v>
      </c>
      <c r="L48" s="202"/>
      <c r="M48" s="202"/>
    </row>
    <row r="49" spans="2:13" x14ac:dyDescent="0.2">
      <c r="B49" s="202"/>
      <c r="C49" s="202"/>
      <c r="D49" s="202"/>
      <c r="E49" s="202"/>
      <c r="F49" s="202"/>
      <c r="G49" s="202"/>
      <c r="H49" s="202"/>
      <c r="I49" s="202"/>
      <c r="J49" s="202"/>
      <c r="K49" s="202"/>
      <c r="L49" s="202"/>
      <c r="M49" s="202"/>
    </row>
    <row r="50" spans="2:13" ht="15.75" x14ac:dyDescent="0.2">
      <c r="B50" s="261" t="s">
        <v>475</v>
      </c>
      <c r="C50" s="202"/>
      <c r="D50" s="202"/>
      <c r="E50" s="202"/>
      <c r="F50" s="202"/>
      <c r="G50" s="202"/>
      <c r="H50" s="202"/>
      <c r="I50" s="202"/>
      <c r="J50" s="202"/>
      <c r="K50" s="202"/>
      <c r="L50" s="202"/>
      <c r="M50" s="202"/>
    </row>
    <row r="51" spans="2:13" x14ac:dyDescent="0.2">
      <c r="B51" s="262"/>
      <c r="C51" s="263"/>
      <c r="D51" s="264"/>
      <c r="E51" s="264"/>
      <c r="F51" s="264"/>
      <c r="G51" s="264"/>
      <c r="H51" s="264"/>
      <c r="I51" s="264"/>
      <c r="J51" s="264"/>
      <c r="K51" s="264"/>
      <c r="L51" s="202"/>
      <c r="M51" s="202"/>
    </row>
    <row r="52" spans="2:13" x14ac:dyDescent="0.2">
      <c r="B52" s="265"/>
      <c r="C52" s="265"/>
      <c r="D52" s="469" t="s">
        <v>130</v>
      </c>
      <c r="E52" s="470"/>
      <c r="F52" s="470"/>
      <c r="G52" s="471"/>
      <c r="H52" s="469" t="s">
        <v>131</v>
      </c>
      <c r="I52" s="470"/>
      <c r="J52" s="470"/>
      <c r="K52" s="471"/>
      <c r="L52" s="202"/>
      <c r="M52" s="202"/>
    </row>
    <row r="53" spans="2:13" ht="38.25" x14ac:dyDescent="0.2">
      <c r="B53" s="55" t="s">
        <v>515</v>
      </c>
      <c r="C53" s="265" t="s">
        <v>13</v>
      </c>
      <c r="D53" s="231" t="s">
        <v>448</v>
      </c>
      <c r="E53" s="231" t="s">
        <v>41</v>
      </c>
      <c r="F53" s="231" t="s">
        <v>42</v>
      </c>
      <c r="G53" s="231" t="s">
        <v>18</v>
      </c>
      <c r="H53" s="231" t="s">
        <v>448</v>
      </c>
      <c r="I53" s="231" t="s">
        <v>41</v>
      </c>
      <c r="J53" s="231" t="s">
        <v>42</v>
      </c>
      <c r="K53" s="231" t="s">
        <v>18</v>
      </c>
      <c r="L53" s="202"/>
      <c r="M53" s="202"/>
    </row>
    <row r="54" spans="2:13" x14ac:dyDescent="0.2">
      <c r="B54" s="55"/>
      <c r="C54" s="265"/>
      <c r="D54" s="122" t="s">
        <v>449</v>
      </c>
      <c r="E54" s="122" t="s">
        <v>111</v>
      </c>
      <c r="F54" s="122" t="s">
        <v>111</v>
      </c>
      <c r="G54" s="122" t="s">
        <v>111</v>
      </c>
      <c r="H54" s="122" t="s">
        <v>449</v>
      </c>
      <c r="I54" s="122" t="s">
        <v>111</v>
      </c>
      <c r="J54" s="122" t="s">
        <v>111</v>
      </c>
      <c r="K54" s="122" t="s">
        <v>111</v>
      </c>
      <c r="L54" s="202"/>
      <c r="M54" s="202"/>
    </row>
    <row r="55" spans="2:13" x14ac:dyDescent="0.2">
      <c r="B55" s="199"/>
      <c r="C55" s="272" t="s">
        <v>467</v>
      </c>
      <c r="D55" s="122"/>
      <c r="E55" s="122"/>
      <c r="F55" s="122"/>
      <c r="G55" s="122"/>
      <c r="H55" s="122"/>
      <c r="I55" s="122"/>
      <c r="J55" s="122"/>
      <c r="K55" s="122"/>
      <c r="L55" s="202"/>
      <c r="M55" s="202"/>
    </row>
    <row r="56" spans="2:13" x14ac:dyDescent="0.2">
      <c r="B56" s="388" t="s">
        <v>953</v>
      </c>
      <c r="C56" s="123" t="s">
        <v>571</v>
      </c>
      <c r="D56" s="83">
        <v>0.91129983752912391</v>
      </c>
      <c r="E56" s="273">
        <f t="shared" ref="E56:E65" si="15">D56*$E$66</f>
        <v>30986000.353313245</v>
      </c>
      <c r="F56" s="273">
        <f t="shared" ref="F56:F65" si="16">D56*$F$66</f>
        <v>0</v>
      </c>
      <c r="G56" s="124">
        <f t="shared" ref="G56:G65" si="17">SUM(E56:F56)</f>
        <v>30986000.353313245</v>
      </c>
      <c r="H56" s="83">
        <v>0.9011581269001504</v>
      </c>
      <c r="I56" s="273">
        <f t="shared" ref="I56:I65" si="18">H56*$I$66</f>
        <v>187764077.73764491</v>
      </c>
      <c r="J56" s="273">
        <f t="shared" ref="J56:J65" si="19">H56*$J$66</f>
        <v>0</v>
      </c>
      <c r="K56" s="124">
        <f t="shared" ref="K56:K65" si="20">SUM(I56:J56)</f>
        <v>187764077.73764491</v>
      </c>
      <c r="L56" s="202"/>
      <c r="M56" s="202"/>
    </row>
    <row r="57" spans="2:13" x14ac:dyDescent="0.2">
      <c r="B57" s="388" t="s">
        <v>953</v>
      </c>
      <c r="C57" s="123" t="s">
        <v>661</v>
      </c>
      <c r="D57" s="83">
        <v>0</v>
      </c>
      <c r="E57" s="273">
        <f t="shared" si="15"/>
        <v>0</v>
      </c>
      <c r="F57" s="273">
        <f t="shared" si="16"/>
        <v>0</v>
      </c>
      <c r="G57" s="124">
        <f t="shared" si="17"/>
        <v>0</v>
      </c>
      <c r="H57" s="83">
        <v>0</v>
      </c>
      <c r="I57" s="273">
        <f t="shared" si="18"/>
        <v>0</v>
      </c>
      <c r="J57" s="273">
        <f t="shared" si="19"/>
        <v>0</v>
      </c>
      <c r="K57" s="124">
        <f t="shared" si="20"/>
        <v>0</v>
      </c>
      <c r="L57" s="202"/>
      <c r="M57" s="202"/>
    </row>
    <row r="58" spans="2:13" x14ac:dyDescent="0.2">
      <c r="B58" s="388" t="s">
        <v>953</v>
      </c>
      <c r="C58" s="123" t="s">
        <v>573</v>
      </c>
      <c r="D58" s="83">
        <v>3.8216291348067582E-3</v>
      </c>
      <c r="E58" s="273">
        <f t="shared" si="15"/>
        <v>129942.96371480473</v>
      </c>
      <c r="F58" s="273">
        <f t="shared" si="16"/>
        <v>0</v>
      </c>
      <c r="G58" s="124">
        <f t="shared" si="17"/>
        <v>129942.96371480473</v>
      </c>
      <c r="H58" s="83">
        <v>3.4352644640574621E-3</v>
      </c>
      <c r="I58" s="273">
        <f t="shared" si="18"/>
        <v>715767.01649179438</v>
      </c>
      <c r="J58" s="273">
        <f t="shared" si="19"/>
        <v>0</v>
      </c>
      <c r="K58" s="124">
        <f t="shared" si="20"/>
        <v>715767.01649179438</v>
      </c>
      <c r="L58" s="202"/>
      <c r="M58" s="202"/>
    </row>
    <row r="59" spans="2:13" x14ac:dyDescent="0.2">
      <c r="B59" s="388" t="s">
        <v>953</v>
      </c>
      <c r="C59" s="123" t="s">
        <v>574</v>
      </c>
      <c r="D59" s="83">
        <v>0</v>
      </c>
      <c r="E59" s="273">
        <f t="shared" si="15"/>
        <v>0</v>
      </c>
      <c r="F59" s="273">
        <f t="shared" si="16"/>
        <v>0</v>
      </c>
      <c r="G59" s="124">
        <f t="shared" si="17"/>
        <v>0</v>
      </c>
      <c r="H59" s="83">
        <v>0</v>
      </c>
      <c r="I59" s="273">
        <f t="shared" si="18"/>
        <v>0</v>
      </c>
      <c r="J59" s="273">
        <f t="shared" si="19"/>
        <v>0</v>
      </c>
      <c r="K59" s="124">
        <f t="shared" si="20"/>
        <v>0</v>
      </c>
      <c r="L59" s="202"/>
      <c r="M59" s="202"/>
    </row>
    <row r="60" spans="2:13" x14ac:dyDescent="0.2">
      <c r="B60" s="388" t="s">
        <v>953</v>
      </c>
      <c r="C60" s="205" t="s">
        <v>575</v>
      </c>
      <c r="D60" s="83">
        <v>0</v>
      </c>
      <c r="E60" s="273">
        <f t="shared" si="15"/>
        <v>0</v>
      </c>
      <c r="F60" s="273">
        <f t="shared" si="16"/>
        <v>0</v>
      </c>
      <c r="G60" s="124">
        <f t="shared" si="17"/>
        <v>0</v>
      </c>
      <c r="H60" s="83">
        <v>0</v>
      </c>
      <c r="I60" s="273">
        <f t="shared" si="18"/>
        <v>0</v>
      </c>
      <c r="J60" s="273">
        <f t="shared" si="19"/>
        <v>0</v>
      </c>
      <c r="K60" s="124">
        <f t="shared" si="20"/>
        <v>0</v>
      </c>
      <c r="L60" s="202"/>
      <c r="M60" s="202"/>
    </row>
    <row r="61" spans="2:13" x14ac:dyDescent="0.2">
      <c r="B61" s="388" t="s">
        <v>953</v>
      </c>
      <c r="C61" s="123" t="s">
        <v>662</v>
      </c>
      <c r="D61" s="83">
        <v>5.923715544367758E-2</v>
      </c>
      <c r="E61" s="273">
        <f t="shared" si="15"/>
        <v>2014180.6723941222</v>
      </c>
      <c r="F61" s="273">
        <f t="shared" si="16"/>
        <v>0</v>
      </c>
      <c r="G61" s="124">
        <f t="shared" si="17"/>
        <v>2014180.6723941222</v>
      </c>
      <c r="H61" s="83">
        <v>6.203366627831991E-2</v>
      </c>
      <c r="I61" s="273">
        <f t="shared" si="18"/>
        <v>12925250.064048041</v>
      </c>
      <c r="J61" s="273">
        <f t="shared" si="19"/>
        <v>0</v>
      </c>
      <c r="K61" s="124">
        <f t="shared" si="20"/>
        <v>12925250.064048041</v>
      </c>
      <c r="L61" s="202"/>
      <c r="M61" s="202"/>
    </row>
    <row r="62" spans="2:13" x14ac:dyDescent="0.2">
      <c r="B62" s="388" t="s">
        <v>953</v>
      </c>
      <c r="C62" s="123" t="s">
        <v>577</v>
      </c>
      <c r="D62" s="83">
        <v>6.724316714547267E-3</v>
      </c>
      <c r="E62" s="273">
        <f t="shared" si="15"/>
        <v>228640.0935368244</v>
      </c>
      <c r="F62" s="273">
        <f t="shared" si="16"/>
        <v>0</v>
      </c>
      <c r="G62" s="124">
        <f t="shared" si="17"/>
        <v>228640.0935368244</v>
      </c>
      <c r="H62" s="83">
        <v>9.4131879449593572E-3</v>
      </c>
      <c r="I62" s="273">
        <f t="shared" si="18"/>
        <v>1961318.9964076614</v>
      </c>
      <c r="J62" s="273">
        <f t="shared" si="19"/>
        <v>0</v>
      </c>
      <c r="K62" s="124">
        <f t="shared" si="20"/>
        <v>1961318.9964076614</v>
      </c>
      <c r="L62" s="202"/>
      <c r="M62" s="202"/>
    </row>
    <row r="63" spans="2:13" x14ac:dyDescent="0.2">
      <c r="B63" s="388" t="s">
        <v>953</v>
      </c>
      <c r="C63" s="123" t="s">
        <v>578</v>
      </c>
      <c r="D63" s="83">
        <v>7.6315623522978928E-4</v>
      </c>
      <c r="E63" s="273">
        <f t="shared" si="15"/>
        <v>25948.824306366372</v>
      </c>
      <c r="F63" s="273">
        <f t="shared" si="16"/>
        <v>0</v>
      </c>
      <c r="G63" s="124">
        <f t="shared" si="17"/>
        <v>25948.824306366372</v>
      </c>
      <c r="H63" s="83">
        <v>8.0819652124834653E-4</v>
      </c>
      <c r="I63" s="273">
        <f t="shared" si="18"/>
        <v>168394.72442529819</v>
      </c>
      <c r="J63" s="273">
        <f t="shared" si="19"/>
        <v>0</v>
      </c>
      <c r="K63" s="124">
        <f t="shared" si="20"/>
        <v>168394.72442529819</v>
      </c>
      <c r="L63" s="202"/>
      <c r="M63" s="202"/>
    </row>
    <row r="64" spans="2:13" x14ac:dyDescent="0.2">
      <c r="B64" s="388" t="s">
        <v>953</v>
      </c>
      <c r="C64" s="123" t="s">
        <v>579</v>
      </c>
      <c r="D64" s="83">
        <v>8.9227850263864862E-4</v>
      </c>
      <c r="E64" s="273">
        <f t="shared" si="15"/>
        <v>30339.237273408799</v>
      </c>
      <c r="F64" s="273">
        <f t="shared" si="16"/>
        <v>0</v>
      </c>
      <c r="G64" s="124">
        <f t="shared" si="17"/>
        <v>30339.237273408799</v>
      </c>
      <c r="H64" s="83">
        <v>8.9392857956381306E-4</v>
      </c>
      <c r="I64" s="273">
        <f t="shared" si="18"/>
        <v>186257.73911898601</v>
      </c>
      <c r="J64" s="273">
        <f t="shared" si="19"/>
        <v>0</v>
      </c>
      <c r="K64" s="124">
        <f t="shared" si="20"/>
        <v>186257.73911898601</v>
      </c>
      <c r="L64" s="202"/>
      <c r="M64" s="202"/>
    </row>
    <row r="65" spans="2:13" x14ac:dyDescent="0.2">
      <c r="B65" s="388" t="s">
        <v>953</v>
      </c>
      <c r="C65" s="123" t="s">
        <v>519</v>
      </c>
      <c r="D65" s="83">
        <v>1.72616264399762E-2</v>
      </c>
      <c r="E65" s="273">
        <f t="shared" si="15"/>
        <v>586929.5054612254</v>
      </c>
      <c r="F65" s="273">
        <f t="shared" si="16"/>
        <v>0</v>
      </c>
      <c r="G65" s="124">
        <f t="shared" si="17"/>
        <v>586929.5054612254</v>
      </c>
      <c r="H65" s="83">
        <v>2.2257629311700857E-2</v>
      </c>
      <c r="I65" s="273">
        <f t="shared" si="18"/>
        <v>4637569.274011489</v>
      </c>
      <c r="J65" s="273">
        <f t="shared" si="19"/>
        <v>0</v>
      </c>
      <c r="K65" s="124">
        <f t="shared" si="20"/>
        <v>4637569.274011489</v>
      </c>
      <c r="L65" s="202"/>
      <c r="M65" s="202"/>
    </row>
    <row r="66" spans="2:13" x14ac:dyDescent="0.2">
      <c r="B66" s="389"/>
      <c r="C66" s="197" t="s">
        <v>468</v>
      </c>
      <c r="D66" s="129">
        <f>SUM(D56:D65)</f>
        <v>1.0000000000000002</v>
      </c>
      <c r="E66" s="125">
        <f>'2.1 Profit &amp; Loss by component'!D32-'2.1 Profit &amp; Loss by component'!D26</f>
        <v>34001981.649999991</v>
      </c>
      <c r="F66" s="125">
        <f>'2.1 Profit &amp; Loss by component'!E32-'2.1 Profit &amp; Loss by component'!E26</f>
        <v>0</v>
      </c>
      <c r="G66" s="125">
        <f>SUM(G56:G65)</f>
        <v>34001981.649999999</v>
      </c>
      <c r="H66" s="129">
        <f>SUM(H56:H65)</f>
        <v>1.0000000000000002</v>
      </c>
      <c r="I66" s="125">
        <f>'2.1 Profit &amp; Loss by component'!G32-'2.1 Profit &amp; Loss by component'!G26</f>
        <v>208358635.55214816</v>
      </c>
      <c r="J66" s="125">
        <f>'2.1 Profit &amp; Loss by component'!H32-'2.1 Profit &amp; Loss by component'!H26</f>
        <v>0</v>
      </c>
      <c r="K66" s="125">
        <f>SUM(K56:K65)</f>
        <v>208358635.55214819</v>
      </c>
      <c r="L66" s="202"/>
      <c r="M66" s="202"/>
    </row>
    <row r="67" spans="2:13" x14ac:dyDescent="0.2">
      <c r="B67" s="390"/>
      <c r="C67" s="272" t="s">
        <v>228</v>
      </c>
      <c r="D67" s="122"/>
      <c r="E67" s="122"/>
      <c r="F67" s="122"/>
      <c r="G67" s="122"/>
      <c r="H67" s="122"/>
      <c r="I67" s="122"/>
      <c r="J67" s="122"/>
      <c r="K67" s="122"/>
      <c r="L67" s="202"/>
      <c r="M67" s="202"/>
    </row>
    <row r="68" spans="2:13" x14ac:dyDescent="0.2">
      <c r="B68" s="388" t="s">
        <v>953</v>
      </c>
      <c r="C68" s="123" t="s">
        <v>571</v>
      </c>
      <c r="D68" s="83">
        <v>0.91129983752912391</v>
      </c>
      <c r="E68" s="273">
        <f t="shared" ref="E68:E77" si="21">D68*$E$78</f>
        <v>37954367.703636035</v>
      </c>
      <c r="F68" s="273">
        <f t="shared" ref="F68:F77" si="22">D68*$F$78</f>
        <v>0</v>
      </c>
      <c r="G68" s="124">
        <f t="shared" ref="G68:G77" si="23">SUM(E68:F68)</f>
        <v>37954367.703636035</v>
      </c>
      <c r="H68" s="83">
        <v>0.9011581269001504</v>
      </c>
      <c r="I68" s="273">
        <f t="shared" ref="I68:I77" si="24">H68*$I$78</f>
        <v>26730883.478198357</v>
      </c>
      <c r="J68" s="273">
        <f t="shared" ref="J68:J77" si="25">H68*$J$78</f>
        <v>0</v>
      </c>
      <c r="K68" s="124">
        <f t="shared" ref="K68:K77" si="26">SUM(I68:J68)</f>
        <v>26730883.478198357</v>
      </c>
      <c r="L68" s="202"/>
      <c r="M68" s="202"/>
    </row>
    <row r="69" spans="2:13" x14ac:dyDescent="0.2">
      <c r="B69" s="388" t="s">
        <v>953</v>
      </c>
      <c r="C69" s="123" t="s">
        <v>661</v>
      </c>
      <c r="D69" s="83">
        <v>0</v>
      </c>
      <c r="E69" s="273">
        <f t="shared" si="21"/>
        <v>0</v>
      </c>
      <c r="F69" s="273">
        <f t="shared" si="22"/>
        <v>0</v>
      </c>
      <c r="G69" s="124">
        <f t="shared" si="23"/>
        <v>0</v>
      </c>
      <c r="H69" s="83">
        <v>0</v>
      </c>
      <c r="I69" s="273">
        <f t="shared" si="24"/>
        <v>0</v>
      </c>
      <c r="J69" s="273">
        <f t="shared" si="25"/>
        <v>0</v>
      </c>
      <c r="K69" s="124">
        <f t="shared" si="26"/>
        <v>0</v>
      </c>
      <c r="L69" s="202"/>
      <c r="M69" s="202"/>
    </row>
    <row r="70" spans="2:13" x14ac:dyDescent="0.2">
      <c r="B70" s="388" t="s">
        <v>953</v>
      </c>
      <c r="C70" s="123" t="s">
        <v>573</v>
      </c>
      <c r="D70" s="83">
        <v>3.8216291348067582E-3</v>
      </c>
      <c r="E70" s="273">
        <f t="shared" si="21"/>
        <v>159165.52536941349</v>
      </c>
      <c r="F70" s="273">
        <f t="shared" si="22"/>
        <v>0</v>
      </c>
      <c r="G70" s="124">
        <f t="shared" si="23"/>
        <v>159165.52536941349</v>
      </c>
      <c r="H70" s="83">
        <v>3.4352644640574621E-3</v>
      </c>
      <c r="I70" s="273">
        <f t="shared" si="24"/>
        <v>101899.60159532599</v>
      </c>
      <c r="J70" s="273">
        <f t="shared" si="25"/>
        <v>0</v>
      </c>
      <c r="K70" s="124">
        <f t="shared" si="26"/>
        <v>101899.60159532599</v>
      </c>
      <c r="L70" s="202"/>
      <c r="M70" s="202"/>
    </row>
    <row r="71" spans="2:13" x14ac:dyDescent="0.2">
      <c r="B71" s="388" t="s">
        <v>953</v>
      </c>
      <c r="C71" s="123" t="s">
        <v>574</v>
      </c>
      <c r="D71" s="83">
        <v>0</v>
      </c>
      <c r="E71" s="273">
        <f t="shared" si="21"/>
        <v>0</v>
      </c>
      <c r="F71" s="273">
        <f t="shared" si="22"/>
        <v>0</v>
      </c>
      <c r="G71" s="124">
        <f t="shared" si="23"/>
        <v>0</v>
      </c>
      <c r="H71" s="83">
        <v>0</v>
      </c>
      <c r="I71" s="273">
        <f t="shared" si="24"/>
        <v>0</v>
      </c>
      <c r="J71" s="273">
        <f t="shared" si="25"/>
        <v>0</v>
      </c>
      <c r="K71" s="124">
        <f t="shared" si="26"/>
        <v>0</v>
      </c>
      <c r="L71" s="202"/>
      <c r="M71" s="202"/>
    </row>
    <row r="72" spans="2:13" x14ac:dyDescent="0.2">
      <c r="B72" s="388" t="s">
        <v>953</v>
      </c>
      <c r="C72" s="205" t="s">
        <v>575</v>
      </c>
      <c r="D72" s="83">
        <v>0</v>
      </c>
      <c r="E72" s="273">
        <f t="shared" si="21"/>
        <v>0</v>
      </c>
      <c r="F72" s="273">
        <f t="shared" si="22"/>
        <v>0</v>
      </c>
      <c r="G72" s="124">
        <f t="shared" si="23"/>
        <v>0</v>
      </c>
      <c r="H72" s="83">
        <v>0</v>
      </c>
      <c r="I72" s="273">
        <f t="shared" si="24"/>
        <v>0</v>
      </c>
      <c r="J72" s="273">
        <f t="shared" si="25"/>
        <v>0</v>
      </c>
      <c r="K72" s="124">
        <f t="shared" si="26"/>
        <v>0</v>
      </c>
      <c r="L72" s="202"/>
      <c r="M72" s="202"/>
    </row>
    <row r="73" spans="2:13" x14ac:dyDescent="0.2">
      <c r="B73" s="388" t="s">
        <v>953</v>
      </c>
      <c r="C73" s="123" t="s">
        <v>662</v>
      </c>
      <c r="D73" s="83">
        <v>5.923715544367758E-2</v>
      </c>
      <c r="E73" s="273">
        <f t="shared" si="21"/>
        <v>2467144.9360978636</v>
      </c>
      <c r="F73" s="273">
        <f t="shared" si="22"/>
        <v>0</v>
      </c>
      <c r="G73" s="124">
        <f t="shared" si="23"/>
        <v>2467144.9360978636</v>
      </c>
      <c r="H73" s="83">
        <v>6.203366627831991E-2</v>
      </c>
      <c r="I73" s="273">
        <f t="shared" si="24"/>
        <v>1840092.937645942</v>
      </c>
      <c r="J73" s="273">
        <f t="shared" si="25"/>
        <v>0</v>
      </c>
      <c r="K73" s="124">
        <f t="shared" si="26"/>
        <v>1840092.937645942</v>
      </c>
      <c r="L73" s="202"/>
      <c r="M73" s="202"/>
    </row>
    <row r="74" spans="2:13" x14ac:dyDescent="0.2">
      <c r="B74" s="388" t="s">
        <v>953</v>
      </c>
      <c r="C74" s="123" t="s">
        <v>577</v>
      </c>
      <c r="D74" s="83">
        <v>6.724316714547267E-3</v>
      </c>
      <c r="E74" s="273">
        <f t="shared" si="21"/>
        <v>280058.41615381214</v>
      </c>
      <c r="F74" s="273">
        <f t="shared" si="22"/>
        <v>0</v>
      </c>
      <c r="G74" s="124">
        <f t="shared" si="23"/>
        <v>280058.41615381214</v>
      </c>
      <c r="H74" s="83">
        <v>9.4131879449593572E-3</v>
      </c>
      <c r="I74" s="273">
        <f t="shared" si="24"/>
        <v>279221.61783152871</v>
      </c>
      <c r="J74" s="273">
        <f t="shared" si="25"/>
        <v>0</v>
      </c>
      <c r="K74" s="124">
        <f t="shared" si="26"/>
        <v>279221.61783152871</v>
      </c>
      <c r="L74" s="202"/>
      <c r="M74" s="202"/>
    </row>
    <row r="75" spans="2:13" x14ac:dyDescent="0.2">
      <c r="B75" s="388" t="s">
        <v>953</v>
      </c>
      <c r="C75" s="123" t="s">
        <v>578</v>
      </c>
      <c r="D75" s="83">
        <v>7.6315623522978928E-4</v>
      </c>
      <c r="E75" s="273">
        <f t="shared" si="21"/>
        <v>31784.39320890178</v>
      </c>
      <c r="F75" s="273">
        <f t="shared" si="22"/>
        <v>0</v>
      </c>
      <c r="G75" s="124">
        <f t="shared" si="23"/>
        <v>31784.39320890178</v>
      </c>
      <c r="H75" s="83">
        <v>8.0819652124834653E-4</v>
      </c>
      <c r="I75" s="273">
        <f t="shared" si="24"/>
        <v>23973.380910727275</v>
      </c>
      <c r="J75" s="273">
        <f t="shared" si="25"/>
        <v>0</v>
      </c>
      <c r="K75" s="124">
        <f t="shared" si="26"/>
        <v>23973.380910727275</v>
      </c>
      <c r="L75" s="202"/>
      <c r="M75" s="202"/>
    </row>
    <row r="76" spans="2:13" x14ac:dyDescent="0.2">
      <c r="B76" s="388" t="s">
        <v>953</v>
      </c>
      <c r="C76" s="123" t="s">
        <v>579</v>
      </c>
      <c r="D76" s="83">
        <v>8.9227850263864862E-4</v>
      </c>
      <c r="E76" s="273">
        <f t="shared" si="21"/>
        <v>37162.155624893043</v>
      </c>
      <c r="F76" s="273">
        <f t="shared" si="22"/>
        <v>0</v>
      </c>
      <c r="G76" s="124">
        <f t="shared" si="23"/>
        <v>37162.155624893043</v>
      </c>
      <c r="H76" s="83">
        <v>8.9392857956381306E-4</v>
      </c>
      <c r="I76" s="273">
        <f t="shared" si="24"/>
        <v>26516.434779707994</v>
      </c>
      <c r="J76" s="273">
        <f t="shared" si="25"/>
        <v>0</v>
      </c>
      <c r="K76" s="124">
        <f t="shared" si="26"/>
        <v>26516.434779707994</v>
      </c>
      <c r="L76" s="202"/>
      <c r="M76" s="202"/>
    </row>
    <row r="77" spans="2:13" x14ac:dyDescent="0.2">
      <c r="B77" s="388" t="s">
        <v>953</v>
      </c>
      <c r="C77" s="123" t="s">
        <v>519</v>
      </c>
      <c r="D77" s="83">
        <v>1.72616264399762E-2</v>
      </c>
      <c r="E77" s="273">
        <f t="shared" si="21"/>
        <v>718922.67515599634</v>
      </c>
      <c r="F77" s="273">
        <f t="shared" si="22"/>
        <v>0</v>
      </c>
      <c r="G77" s="124">
        <f t="shared" si="23"/>
        <v>718922.67515599634</v>
      </c>
      <c r="H77" s="83">
        <v>2.2257629311700857E-2</v>
      </c>
      <c r="I77" s="273">
        <f t="shared" si="24"/>
        <v>660223.85846821649</v>
      </c>
      <c r="J77" s="273">
        <f t="shared" si="25"/>
        <v>0</v>
      </c>
      <c r="K77" s="124">
        <f t="shared" si="26"/>
        <v>660223.85846821649</v>
      </c>
      <c r="L77" s="202"/>
      <c r="M77" s="202"/>
    </row>
    <row r="78" spans="2:13" x14ac:dyDescent="0.2">
      <c r="B78" s="389"/>
      <c r="C78" s="197" t="s">
        <v>453</v>
      </c>
      <c r="D78" s="129">
        <f>SUM(D68:D77)</f>
        <v>1.0000000000000002</v>
      </c>
      <c r="E78" s="125">
        <f>'2.1 Profit &amp; Loss by component'!D26+'2.1 Profit &amp; Loss by component'!D37</f>
        <v>41648605.805246912</v>
      </c>
      <c r="F78" s="126">
        <f>'2.1 Profit &amp; Loss by component'!E26+'2.1 Profit &amp; Loss by component'!E37</f>
        <v>0</v>
      </c>
      <c r="G78" s="125">
        <f>SUM(G68:G77)</f>
        <v>41648605.805246912</v>
      </c>
      <c r="H78" s="129">
        <f>SUM(H68:H77)</f>
        <v>1.0000000000000002</v>
      </c>
      <c r="I78" s="125">
        <f>'2.1 Profit &amp; Loss by component'!G26+'2.1 Profit &amp; Loss by component'!G37</f>
        <v>29662811.309429802</v>
      </c>
      <c r="J78" s="125">
        <f>'2.1 Profit &amp; Loss by component'!H26+'2.1 Profit &amp; Loss by component'!H37</f>
        <v>0</v>
      </c>
      <c r="K78" s="125">
        <f>SUM(K68:K77)</f>
        <v>29662811.309429806</v>
      </c>
      <c r="L78" s="202"/>
      <c r="M78" s="202"/>
    </row>
    <row r="79" spans="2:13" x14ac:dyDescent="0.2">
      <c r="B79" s="390"/>
      <c r="C79" s="272" t="s">
        <v>469</v>
      </c>
      <c r="D79" s="122"/>
      <c r="E79" s="122"/>
      <c r="F79" s="122"/>
      <c r="G79" s="122"/>
      <c r="H79" s="122"/>
      <c r="I79" s="122"/>
      <c r="J79" s="122"/>
      <c r="K79" s="122"/>
      <c r="L79" s="202"/>
      <c r="M79" s="202"/>
    </row>
    <row r="80" spans="2:13" x14ac:dyDescent="0.2">
      <c r="B80" s="388" t="s">
        <v>953</v>
      </c>
      <c r="C80" s="123" t="s">
        <v>571</v>
      </c>
      <c r="D80" s="83">
        <v>0.91129983752912391</v>
      </c>
      <c r="E80" s="273">
        <f t="shared" ref="E80:E89" si="27">D80*$E$90</f>
        <v>15358937.457348119</v>
      </c>
      <c r="F80" s="273">
        <f t="shared" ref="F80:F89" si="28">D80*$F$90</f>
        <v>0</v>
      </c>
      <c r="G80" s="124">
        <f t="shared" ref="G80:G89" si="29">SUM(E80:F80)</f>
        <v>15358937.457348119</v>
      </c>
      <c r="H80" s="83">
        <v>0.9011581269001504</v>
      </c>
      <c r="I80" s="273">
        <f t="shared" ref="I80:I89" si="30">H80*$I$90</f>
        <v>17436990.956612349</v>
      </c>
      <c r="J80" s="273">
        <f t="shared" ref="J80:J89" si="31">H80*$J$90</f>
        <v>0</v>
      </c>
      <c r="K80" s="124">
        <f t="shared" ref="K80:K89" si="32">SUM(I80:J80)</f>
        <v>17436990.956612349</v>
      </c>
      <c r="L80" s="202"/>
      <c r="M80" s="202"/>
    </row>
    <row r="81" spans="2:13" x14ac:dyDescent="0.2">
      <c r="B81" s="388" t="s">
        <v>953</v>
      </c>
      <c r="C81" s="123" t="s">
        <v>661</v>
      </c>
      <c r="D81" s="83">
        <v>0</v>
      </c>
      <c r="E81" s="273">
        <f t="shared" si="27"/>
        <v>0</v>
      </c>
      <c r="F81" s="273">
        <f t="shared" si="28"/>
        <v>0</v>
      </c>
      <c r="G81" s="124">
        <f t="shared" si="29"/>
        <v>0</v>
      </c>
      <c r="H81" s="83">
        <v>0</v>
      </c>
      <c r="I81" s="273">
        <f t="shared" si="30"/>
        <v>0</v>
      </c>
      <c r="J81" s="273">
        <f t="shared" si="31"/>
        <v>0</v>
      </c>
      <c r="K81" s="124">
        <f t="shared" si="32"/>
        <v>0</v>
      </c>
      <c r="L81" s="202"/>
      <c r="M81" s="202"/>
    </row>
    <row r="82" spans="2:13" x14ac:dyDescent="0.2">
      <c r="B82" s="388" t="s">
        <v>953</v>
      </c>
      <c r="C82" s="123" t="s">
        <v>573</v>
      </c>
      <c r="D82" s="83">
        <v>3.8216291348067582E-3</v>
      </c>
      <c r="E82" s="273">
        <f t="shared" si="27"/>
        <v>64409.276123458716</v>
      </c>
      <c r="F82" s="273">
        <f t="shared" si="28"/>
        <v>0</v>
      </c>
      <c r="G82" s="124">
        <f t="shared" si="29"/>
        <v>64409.276123458716</v>
      </c>
      <c r="H82" s="83">
        <v>3.4352644640574621E-3</v>
      </c>
      <c r="I82" s="273">
        <f t="shared" si="30"/>
        <v>66470.770894993897</v>
      </c>
      <c r="J82" s="273">
        <f t="shared" si="31"/>
        <v>0</v>
      </c>
      <c r="K82" s="124">
        <f t="shared" si="32"/>
        <v>66470.770894993897</v>
      </c>
      <c r="L82" s="202"/>
      <c r="M82" s="202"/>
    </row>
    <row r="83" spans="2:13" x14ac:dyDescent="0.2">
      <c r="B83" s="388" t="s">
        <v>953</v>
      </c>
      <c r="C83" s="123" t="s">
        <v>574</v>
      </c>
      <c r="D83" s="83">
        <v>0</v>
      </c>
      <c r="E83" s="273">
        <f t="shared" si="27"/>
        <v>0</v>
      </c>
      <c r="F83" s="273">
        <f t="shared" si="28"/>
        <v>0</v>
      </c>
      <c r="G83" s="124">
        <f t="shared" si="29"/>
        <v>0</v>
      </c>
      <c r="H83" s="83">
        <v>0</v>
      </c>
      <c r="I83" s="273">
        <f t="shared" si="30"/>
        <v>0</v>
      </c>
      <c r="J83" s="273">
        <f t="shared" si="31"/>
        <v>0</v>
      </c>
      <c r="K83" s="124">
        <f t="shared" si="32"/>
        <v>0</v>
      </c>
      <c r="L83" s="202"/>
      <c r="M83" s="202"/>
    </row>
    <row r="84" spans="2:13" x14ac:dyDescent="0.2">
      <c r="B84" s="388" t="s">
        <v>953</v>
      </c>
      <c r="C84" s="205" t="s">
        <v>575</v>
      </c>
      <c r="D84" s="83">
        <v>0</v>
      </c>
      <c r="E84" s="273">
        <f t="shared" si="27"/>
        <v>0</v>
      </c>
      <c r="F84" s="273">
        <f t="shared" si="28"/>
        <v>0</v>
      </c>
      <c r="G84" s="124">
        <f t="shared" si="29"/>
        <v>0</v>
      </c>
      <c r="H84" s="83">
        <v>0</v>
      </c>
      <c r="I84" s="273">
        <f t="shared" si="30"/>
        <v>0</v>
      </c>
      <c r="J84" s="273">
        <f t="shared" si="31"/>
        <v>0</v>
      </c>
      <c r="K84" s="124">
        <f t="shared" si="32"/>
        <v>0</v>
      </c>
      <c r="L84" s="202"/>
      <c r="M84" s="202"/>
    </row>
    <row r="85" spans="2:13" x14ac:dyDescent="0.2">
      <c r="B85" s="388" t="s">
        <v>953</v>
      </c>
      <c r="C85" s="123" t="s">
        <v>662</v>
      </c>
      <c r="D85" s="83">
        <v>5.923715544367758E-2</v>
      </c>
      <c r="E85" s="273">
        <f t="shared" si="27"/>
        <v>998375.86724202184</v>
      </c>
      <c r="F85" s="273">
        <f t="shared" si="28"/>
        <v>0</v>
      </c>
      <c r="G85" s="124">
        <f t="shared" si="29"/>
        <v>998375.86724202184</v>
      </c>
      <c r="H85" s="83">
        <v>6.203366627831991E-2</v>
      </c>
      <c r="I85" s="273">
        <f t="shared" si="30"/>
        <v>1200322.6133258012</v>
      </c>
      <c r="J85" s="273">
        <f t="shared" si="31"/>
        <v>0</v>
      </c>
      <c r="K85" s="124">
        <f t="shared" si="32"/>
        <v>1200322.6133258012</v>
      </c>
      <c r="L85" s="202"/>
      <c r="M85" s="202"/>
    </row>
    <row r="86" spans="2:13" x14ac:dyDescent="0.2">
      <c r="B86" s="388" t="s">
        <v>953</v>
      </c>
      <c r="C86" s="123" t="s">
        <v>577</v>
      </c>
      <c r="D86" s="83">
        <v>6.724316714547267E-3</v>
      </c>
      <c r="E86" s="273">
        <f t="shared" si="27"/>
        <v>113330.82220464176</v>
      </c>
      <c r="F86" s="273">
        <f t="shared" si="28"/>
        <v>0</v>
      </c>
      <c r="G86" s="124">
        <f t="shared" si="29"/>
        <v>113330.82220464176</v>
      </c>
      <c r="H86" s="83">
        <v>9.4131879449593572E-3</v>
      </c>
      <c r="I86" s="273">
        <f t="shared" si="30"/>
        <v>182140.81210559327</v>
      </c>
      <c r="J86" s="273">
        <f t="shared" si="31"/>
        <v>0</v>
      </c>
      <c r="K86" s="124">
        <f t="shared" si="32"/>
        <v>182140.81210559327</v>
      </c>
      <c r="L86" s="202"/>
      <c r="M86" s="202"/>
    </row>
    <row r="87" spans="2:13" x14ac:dyDescent="0.2">
      <c r="B87" s="388" t="s">
        <v>953</v>
      </c>
      <c r="C87" s="123" t="s">
        <v>578</v>
      </c>
      <c r="D87" s="83">
        <v>7.6315623522978928E-4</v>
      </c>
      <c r="E87" s="273">
        <f t="shared" si="27"/>
        <v>12862.14306683116</v>
      </c>
      <c r="F87" s="273">
        <f t="shared" si="28"/>
        <v>0</v>
      </c>
      <c r="G87" s="124">
        <f t="shared" si="29"/>
        <v>12862.14306683116</v>
      </c>
      <c r="H87" s="83">
        <v>8.0819652124834653E-4</v>
      </c>
      <c r="I87" s="273">
        <f t="shared" si="30"/>
        <v>15638.227089677512</v>
      </c>
      <c r="J87" s="273">
        <f t="shared" si="31"/>
        <v>0</v>
      </c>
      <c r="K87" s="124">
        <f t="shared" si="32"/>
        <v>15638.227089677512</v>
      </c>
      <c r="L87" s="202"/>
      <c r="M87" s="202"/>
    </row>
    <row r="88" spans="2:13" x14ac:dyDescent="0.2">
      <c r="B88" s="388" t="s">
        <v>953</v>
      </c>
      <c r="C88" s="123" t="s">
        <v>579</v>
      </c>
      <c r="D88" s="83">
        <v>8.9227850263864862E-4</v>
      </c>
      <c r="E88" s="273">
        <f t="shared" si="27"/>
        <v>15038.354175197863</v>
      </c>
      <c r="F88" s="273">
        <f t="shared" si="28"/>
        <v>0</v>
      </c>
      <c r="G88" s="124">
        <f t="shared" si="29"/>
        <v>15038.354175197863</v>
      </c>
      <c r="H88" s="83">
        <v>8.9392857956381306E-4</v>
      </c>
      <c r="I88" s="273">
        <f t="shared" si="30"/>
        <v>17297.102575471352</v>
      </c>
      <c r="J88" s="273">
        <f t="shared" si="31"/>
        <v>0</v>
      </c>
      <c r="K88" s="124">
        <f t="shared" si="32"/>
        <v>17297.102575471352</v>
      </c>
      <c r="L88" s="202"/>
      <c r="M88" s="202"/>
    </row>
    <row r="89" spans="2:13" x14ac:dyDescent="0.2">
      <c r="B89" s="388" t="s">
        <v>953</v>
      </c>
      <c r="C89" s="123" t="s">
        <v>519</v>
      </c>
      <c r="D89" s="83">
        <v>1.72616264399762E-2</v>
      </c>
      <c r="E89" s="273">
        <f t="shared" si="27"/>
        <v>290925.36834258819</v>
      </c>
      <c r="F89" s="273">
        <f t="shared" si="28"/>
        <v>0</v>
      </c>
      <c r="G89" s="124">
        <f t="shared" si="29"/>
        <v>290925.36834258819</v>
      </c>
      <c r="H89" s="83">
        <v>2.2257629311700857E-2</v>
      </c>
      <c r="I89" s="273">
        <f t="shared" si="30"/>
        <v>430674.7833022211</v>
      </c>
      <c r="J89" s="273">
        <f t="shared" si="31"/>
        <v>0</v>
      </c>
      <c r="K89" s="124">
        <f t="shared" si="32"/>
        <v>430674.7833022211</v>
      </c>
      <c r="L89" s="202"/>
      <c r="M89" s="202"/>
    </row>
    <row r="90" spans="2:13" x14ac:dyDescent="0.2">
      <c r="B90" s="298"/>
      <c r="C90" s="197" t="s">
        <v>470</v>
      </c>
      <c r="D90" s="129">
        <f>SUM(D80:D89)</f>
        <v>1.0000000000000002</v>
      </c>
      <c r="E90" s="125">
        <f>'2.1 Profit &amp; Loss by component'!D43-'2.1 Profit &amp; Loss by component'!D37</f>
        <v>16853879.288502857</v>
      </c>
      <c r="F90" s="125">
        <f>'2.1 Profit &amp; Loss by component'!E43-'2.1 Profit &amp; Loss by component'!E37</f>
        <v>0</v>
      </c>
      <c r="G90" s="125">
        <f>SUM(G80:G89)</f>
        <v>16853879.288502857</v>
      </c>
      <c r="H90" s="129">
        <f>SUM(H80:H89)</f>
        <v>1.0000000000000002</v>
      </c>
      <c r="I90" s="125">
        <f>'2.1 Profit &amp; Loss by component'!G43-'2.1 Profit &amp; Loss by component'!G37</f>
        <v>19349535.265906103</v>
      </c>
      <c r="J90" s="125">
        <f>'2.1 Profit &amp; Loss by component'!H43-'2.1 Profit &amp; Loss by component'!H37</f>
        <v>0</v>
      </c>
      <c r="K90" s="125">
        <f>SUM(K80:K89)</f>
        <v>19349535.265906103</v>
      </c>
      <c r="L90" s="202"/>
      <c r="M90" s="202"/>
    </row>
    <row r="91" spans="2:13" ht="14.25" x14ac:dyDescent="0.2">
      <c r="B91" s="298"/>
      <c r="C91" s="197" t="s">
        <v>465</v>
      </c>
      <c r="D91" s="275"/>
      <c r="E91" s="125">
        <f>E90+E78+E66</f>
        <v>92504466.743749768</v>
      </c>
      <c r="F91" s="125">
        <f>F90+F78+F66</f>
        <v>0</v>
      </c>
      <c r="G91" s="125">
        <f>G90+G78+G66</f>
        <v>92504466.743749768</v>
      </c>
      <c r="H91" s="275"/>
      <c r="I91" s="125">
        <f>I90+I78+I66</f>
        <v>257370982.12748408</v>
      </c>
      <c r="J91" s="125">
        <f>J90+J78+J66</f>
        <v>0</v>
      </c>
      <c r="K91" s="125">
        <f>K90+K78+K66</f>
        <v>257370982.12748408</v>
      </c>
      <c r="L91" s="202"/>
      <c r="M91" s="202"/>
    </row>
    <row r="92" spans="2:13" x14ac:dyDescent="0.2">
      <c r="B92" s="202"/>
      <c r="C92" s="202"/>
      <c r="D92" s="202"/>
      <c r="E92" s="202"/>
      <c r="F92" s="202"/>
      <c r="G92" s="202"/>
      <c r="H92" s="202"/>
      <c r="I92" s="202"/>
      <c r="J92" s="202"/>
      <c r="K92" s="202"/>
      <c r="L92" s="202"/>
      <c r="M92" s="202"/>
    </row>
    <row r="93" spans="2:13" x14ac:dyDescent="0.2">
      <c r="B93" s="202"/>
      <c r="C93" s="202"/>
      <c r="D93" s="202"/>
      <c r="E93" s="202"/>
      <c r="F93" s="202"/>
      <c r="G93" s="202"/>
      <c r="H93" s="202"/>
      <c r="I93" s="202"/>
      <c r="J93" s="202"/>
      <c r="K93" s="202"/>
      <c r="L93" s="202"/>
      <c r="M93" s="202"/>
    </row>
  </sheetData>
  <sheetProtection sheet="1"/>
  <mergeCells count="4">
    <mergeCell ref="D52:G52"/>
    <mergeCell ref="H52:K52"/>
    <mergeCell ref="D9:G9"/>
    <mergeCell ref="H9:K9"/>
  </mergeCells>
  <conditionalFormatting sqref="D23">
    <cfRule type="cellIs" dxfId="82" priority="23" stopIfTrue="1" operator="lessThan">
      <formula>1</formula>
    </cfRule>
    <cfRule type="cellIs" dxfId="81" priority="26" stopIfTrue="1" operator="greaterThan">
      <formula>1</formula>
    </cfRule>
  </conditionalFormatting>
  <conditionalFormatting sqref="D35">
    <cfRule type="cellIs" dxfId="80" priority="21" stopIfTrue="1" operator="lessThan">
      <formula>1</formula>
    </cfRule>
    <cfRule type="cellIs" dxfId="79" priority="22" stopIfTrue="1" operator="greaterThan">
      <formula>1</formula>
    </cfRule>
  </conditionalFormatting>
  <conditionalFormatting sqref="D47">
    <cfRule type="cellIs" dxfId="78" priority="19" stopIfTrue="1" operator="lessThan">
      <formula>1</formula>
    </cfRule>
    <cfRule type="cellIs" dxfId="77" priority="20" stopIfTrue="1" operator="greaterThan">
      <formula>1</formula>
    </cfRule>
  </conditionalFormatting>
  <conditionalFormatting sqref="D66">
    <cfRule type="cellIs" dxfId="76" priority="17" stopIfTrue="1" operator="lessThan">
      <formula>1</formula>
    </cfRule>
    <cfRule type="cellIs" dxfId="75" priority="18" stopIfTrue="1" operator="greaterThan">
      <formula>1</formula>
    </cfRule>
  </conditionalFormatting>
  <conditionalFormatting sqref="D78">
    <cfRule type="cellIs" dxfId="74" priority="15" stopIfTrue="1" operator="lessThan">
      <formula>1</formula>
    </cfRule>
    <cfRule type="cellIs" dxfId="73" priority="16" stopIfTrue="1" operator="greaterThan">
      <formula>1</formula>
    </cfRule>
  </conditionalFormatting>
  <conditionalFormatting sqref="D90">
    <cfRule type="cellIs" dxfId="72" priority="13" stopIfTrue="1" operator="lessThan">
      <formula>1</formula>
    </cfRule>
    <cfRule type="cellIs" dxfId="71" priority="14" stopIfTrue="1" operator="greaterThan">
      <formula>1</formula>
    </cfRule>
  </conditionalFormatting>
  <conditionalFormatting sqref="H23">
    <cfRule type="cellIs" dxfId="70" priority="1" stopIfTrue="1" operator="lessThan">
      <formula>1</formula>
    </cfRule>
    <cfRule type="cellIs" dxfId="69" priority="2" stopIfTrue="1" operator="greaterThan">
      <formula>1</formula>
    </cfRule>
  </conditionalFormatting>
  <conditionalFormatting sqref="H35">
    <cfRule type="cellIs" dxfId="68" priority="3" stopIfTrue="1" operator="lessThan">
      <formula>1</formula>
    </cfRule>
    <cfRule type="cellIs" dxfId="67" priority="4" stopIfTrue="1" operator="greaterThan">
      <formula>1</formula>
    </cfRule>
  </conditionalFormatting>
  <conditionalFormatting sqref="H47">
    <cfRule type="cellIs" dxfId="66" priority="5" stopIfTrue="1" operator="lessThan">
      <formula>1</formula>
    </cfRule>
    <cfRule type="cellIs" dxfId="65" priority="6" stopIfTrue="1" operator="greaterThan">
      <formula>1</formula>
    </cfRule>
  </conditionalFormatting>
  <conditionalFormatting sqref="H66">
    <cfRule type="cellIs" dxfId="64" priority="7" stopIfTrue="1" operator="lessThan">
      <formula>1</formula>
    </cfRule>
    <cfRule type="cellIs" dxfId="63" priority="8" stopIfTrue="1" operator="greaterThan">
      <formula>1</formula>
    </cfRule>
  </conditionalFormatting>
  <conditionalFormatting sqref="H78">
    <cfRule type="cellIs" dxfId="62" priority="9" stopIfTrue="1" operator="lessThan">
      <formula>1</formula>
    </cfRule>
    <cfRule type="cellIs" dxfId="61" priority="10" stopIfTrue="1" operator="greaterThan">
      <formula>1</formula>
    </cfRule>
  </conditionalFormatting>
  <conditionalFormatting sqref="H90">
    <cfRule type="cellIs" dxfId="60" priority="11" stopIfTrue="1" operator="lessThan">
      <formula>1</formula>
    </cfRule>
    <cfRule type="cellIs" dxfId="59" priority="12" stopIfTrue="1" operator="greaterThan">
      <formula>1</formula>
    </cfRule>
  </conditionalFormatting>
  <pageMargins left="0.75" right="0.75" top="1" bottom="1" header="0.5" footer="0.5"/>
  <pageSetup paperSize="9" scale="59" orientation="landscape" verticalDpi="2" r:id="rId1"/>
  <headerFooter alignWithMargins="0">
    <oddFooter>&amp;C_x000D_&amp;1#&amp;"Aptos"&amp;10&amp;K008000 APA-INTERNAL</oddFooter>
  </headerFooter>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7E6D5-3B85-4E33-BB14-F8C2A6CB72B6}">
  <sheetPr codeName="Sheet8">
    <tabColor rgb="FF17415D"/>
  </sheetPr>
  <dimension ref="B1:J29"/>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 style="4" customWidth="1"/>
    <col min="2" max="2" width="37.5703125" style="4" customWidth="1"/>
    <col min="3" max="3" width="42.7109375" style="4" customWidth="1"/>
    <col min="4" max="5" width="27.28515625" style="4" customWidth="1"/>
    <col min="6" max="6" width="18.42578125" style="4" customWidth="1"/>
    <col min="7" max="7" width="6.7109375" style="4" customWidth="1"/>
    <col min="8" max="10" width="19.7109375" style="4" customWidth="1"/>
    <col min="11" max="11" width="18.28515625" style="4" customWidth="1"/>
    <col min="12" max="16384" width="9.28515625" style="4"/>
  </cols>
  <sheetData>
    <row r="1" spans="2:10" ht="20.25" customHeight="1" x14ac:dyDescent="0.3">
      <c r="B1" s="146" t="s">
        <v>510</v>
      </c>
      <c r="C1" s="146"/>
      <c r="D1" s="215"/>
      <c r="E1" s="215"/>
      <c r="F1" s="215"/>
      <c r="G1" s="215"/>
      <c r="H1" s="215"/>
      <c r="I1" s="215"/>
      <c r="J1" s="215"/>
    </row>
    <row r="2" spans="2:10" ht="20.25" customHeight="1" x14ac:dyDescent="0.2">
      <c r="B2" s="146" t="str">
        <f>IF(Tradingname=0," ",Tradingname)</f>
        <v>EAST AUSTRALIAN PIPELINE PTY LIMITED</v>
      </c>
      <c r="C2" s="146"/>
    </row>
    <row r="3" spans="2:10" ht="20.25" customHeight="1" x14ac:dyDescent="0.45">
      <c r="B3" s="146" t="s">
        <v>110</v>
      </c>
      <c r="C3" s="110">
        <f>IF(Yearending=0, "01/01/2000", Yearending)</f>
        <v>45838</v>
      </c>
      <c r="F3" s="254"/>
    </row>
    <row r="4" spans="2:10" ht="20.25" x14ac:dyDescent="0.2">
      <c r="B4" s="102" t="s">
        <v>407</v>
      </c>
      <c r="C4" s="102"/>
    </row>
    <row r="6" spans="2:10" ht="20.25" x14ac:dyDescent="0.3">
      <c r="B6" s="255"/>
      <c r="G6" s="256"/>
      <c r="H6" s="257"/>
      <c r="I6" s="258"/>
      <c r="J6" s="258"/>
    </row>
    <row r="7" spans="2:10" ht="15.75" x14ac:dyDescent="0.25">
      <c r="B7" s="225" t="s">
        <v>476</v>
      </c>
    </row>
    <row r="8" spans="2:10" ht="13.9" customHeight="1" x14ac:dyDescent="0.2">
      <c r="B8" s="226"/>
      <c r="C8" s="227"/>
      <c r="D8" s="227"/>
      <c r="E8" s="227"/>
    </row>
    <row r="9" spans="2:10" ht="13.9" customHeight="1" x14ac:dyDescent="0.2">
      <c r="B9" s="46" t="s">
        <v>13</v>
      </c>
      <c r="C9" s="41" t="s">
        <v>41</v>
      </c>
      <c r="D9" s="41" t="s">
        <v>42</v>
      </c>
      <c r="E9" s="41" t="s">
        <v>18</v>
      </c>
      <c r="F9" s="227"/>
    </row>
    <row r="10" spans="2:10" ht="13.9" customHeight="1" x14ac:dyDescent="0.2">
      <c r="B10" s="40"/>
      <c r="C10" s="42" t="s">
        <v>111</v>
      </c>
      <c r="D10" s="42" t="s">
        <v>111</v>
      </c>
      <c r="E10" s="42" t="s">
        <v>111</v>
      </c>
    </row>
    <row r="11" spans="2:10" ht="13.9" customHeight="1" x14ac:dyDescent="0.2">
      <c r="B11" s="78"/>
      <c r="C11" s="79"/>
      <c r="D11" s="79"/>
      <c r="E11" s="22">
        <f t="shared" ref="E11:E17" si="0">SUM(C11:D11)</f>
        <v>0</v>
      </c>
    </row>
    <row r="12" spans="2:10" ht="13.9" customHeight="1" x14ac:dyDescent="0.2">
      <c r="B12" s="78"/>
      <c r="C12" s="79"/>
      <c r="D12" s="79"/>
      <c r="E12" s="22">
        <f t="shared" si="0"/>
        <v>0</v>
      </c>
    </row>
    <row r="13" spans="2:10" ht="13.9" customHeight="1" x14ac:dyDescent="0.2">
      <c r="B13" s="78"/>
      <c r="C13" s="79"/>
      <c r="D13" s="79"/>
      <c r="E13" s="22">
        <f t="shared" si="0"/>
        <v>0</v>
      </c>
    </row>
    <row r="14" spans="2:10" ht="13.9" customHeight="1" x14ac:dyDescent="0.2">
      <c r="B14" s="78"/>
      <c r="C14" s="79"/>
      <c r="D14" s="79"/>
      <c r="E14" s="22">
        <f t="shared" si="0"/>
        <v>0</v>
      </c>
    </row>
    <row r="15" spans="2:10" x14ac:dyDescent="0.2">
      <c r="B15" s="78"/>
      <c r="C15" s="79"/>
      <c r="D15" s="79"/>
      <c r="E15" s="22">
        <f t="shared" si="0"/>
        <v>0</v>
      </c>
    </row>
    <row r="16" spans="2:10" x14ac:dyDescent="0.2">
      <c r="B16" s="78"/>
      <c r="C16" s="79"/>
      <c r="D16" s="79"/>
      <c r="E16" s="22">
        <f t="shared" si="0"/>
        <v>0</v>
      </c>
    </row>
    <row r="17" spans="2:6" x14ac:dyDescent="0.2">
      <c r="B17" s="147" t="s">
        <v>18</v>
      </c>
      <c r="C17" s="22">
        <f>SUM(C11:C16)</f>
        <v>0</v>
      </c>
      <c r="D17" s="22">
        <f>SUM(D11:D16)</f>
        <v>0</v>
      </c>
      <c r="E17" s="22">
        <f t="shared" si="0"/>
        <v>0</v>
      </c>
    </row>
    <row r="18" spans="2:6" ht="19.5" customHeight="1" x14ac:dyDescent="0.2"/>
    <row r="19" spans="2:6" ht="15.75" x14ac:dyDescent="0.25">
      <c r="B19" s="225" t="s">
        <v>477</v>
      </c>
    </row>
    <row r="20" spans="2:6" x14ac:dyDescent="0.2">
      <c r="B20" s="226"/>
      <c r="C20" s="227"/>
      <c r="D20" s="227"/>
      <c r="E20" s="227"/>
    </row>
    <row r="21" spans="2:6" x14ac:dyDescent="0.2">
      <c r="B21" s="40" t="s">
        <v>83</v>
      </c>
      <c r="C21" s="47" t="s">
        <v>13</v>
      </c>
      <c r="D21" s="41" t="s">
        <v>18</v>
      </c>
      <c r="F21" s="227"/>
    </row>
    <row r="22" spans="2:6" x14ac:dyDescent="0.2">
      <c r="B22" s="40"/>
      <c r="C22" s="42"/>
      <c r="D22" s="42" t="s">
        <v>111</v>
      </c>
    </row>
    <row r="23" spans="2:6" x14ac:dyDescent="0.2">
      <c r="B23" s="78"/>
      <c r="C23" s="80"/>
      <c r="D23" s="79"/>
    </row>
    <row r="24" spans="2:6" x14ac:dyDescent="0.2">
      <c r="B24" s="78"/>
      <c r="C24" s="80"/>
      <c r="D24" s="79"/>
    </row>
    <row r="25" spans="2:6" x14ac:dyDescent="0.2">
      <c r="B25" s="78"/>
      <c r="C25" s="80"/>
      <c r="D25" s="79"/>
    </row>
    <row r="26" spans="2:6" x14ac:dyDescent="0.2">
      <c r="B26" s="78"/>
      <c r="C26" s="80"/>
      <c r="D26" s="79"/>
    </row>
    <row r="27" spans="2:6" x14ac:dyDescent="0.2">
      <c r="B27" s="78"/>
      <c r="C27" s="80"/>
      <c r="D27" s="79"/>
    </row>
    <row r="28" spans="2:6" x14ac:dyDescent="0.2">
      <c r="B28" s="78"/>
      <c r="C28" s="80"/>
      <c r="D28" s="79"/>
    </row>
    <row r="29" spans="2:6" x14ac:dyDescent="0.2">
      <c r="B29" s="472" t="s">
        <v>82</v>
      </c>
      <c r="C29" s="473"/>
      <c r="D29" s="22">
        <f>SUM(D23:D28)</f>
        <v>0</v>
      </c>
    </row>
  </sheetData>
  <sheetProtection sheet="1" insertRows="0"/>
  <mergeCells count="1">
    <mergeCell ref="B29:C29"/>
  </mergeCells>
  <pageMargins left="0.75" right="0.75" top="1" bottom="1" header="0.5" footer="0.5"/>
  <pageSetup paperSize="9" scale="59" orientation="landscape" r:id="rId1"/>
  <headerFooter alignWithMargins="0">
    <oddFooter>&amp;C_x000D_&amp;1#&amp;"Aptos"&amp;10&amp;K008000 APA-INTERNAL</oddFooter>
  </headerFooter>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EC0C8-C16F-4536-A4A7-0F4FA2555FD2}">
  <sheetPr codeName="Sheet10">
    <tabColor rgb="FF17415D"/>
  </sheetPr>
  <dimension ref="B1:I42"/>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28515625" defaultRowHeight="12.75" x14ac:dyDescent="0.2"/>
  <cols>
    <col min="1" max="1" width="12.42578125" style="216" customWidth="1"/>
    <col min="2" max="2" width="22.5703125" style="216" customWidth="1"/>
    <col min="3" max="3" width="42.28515625" style="216" customWidth="1"/>
    <col min="4" max="4" width="26.7109375" style="216" customWidth="1"/>
    <col min="5" max="5" width="22.5703125" style="216" customWidth="1"/>
    <col min="6" max="6" width="20.5703125" style="216" customWidth="1"/>
    <col min="7" max="8" width="22.5703125" style="216" customWidth="1"/>
    <col min="9" max="9" width="35.28515625" style="216" customWidth="1"/>
    <col min="10" max="10" width="25.28515625" style="216" customWidth="1"/>
    <col min="11" max="16384" width="9.28515625" style="216"/>
  </cols>
  <sheetData>
    <row r="1" spans="2:9" ht="20.25" customHeight="1" x14ac:dyDescent="0.3">
      <c r="B1" s="146" t="s">
        <v>510</v>
      </c>
      <c r="C1" s="146"/>
      <c r="D1" s="215"/>
      <c r="E1" s="215"/>
      <c r="F1" s="215"/>
      <c r="G1" s="215"/>
      <c r="H1" s="215"/>
    </row>
    <row r="2" spans="2:9" ht="20.25" customHeight="1" x14ac:dyDescent="0.3">
      <c r="B2" s="146" t="str">
        <f>IF(Tradingname=0," ",Tradingname)</f>
        <v>EAST AUSTRALIAN PIPELINE PTY LIMITED</v>
      </c>
      <c r="C2" s="146"/>
      <c r="H2" s="217"/>
    </row>
    <row r="3" spans="2:9" ht="20.25" customHeight="1" x14ac:dyDescent="0.3">
      <c r="B3" s="146" t="s">
        <v>110</v>
      </c>
      <c r="C3" s="110">
        <f>IF(Yearending=0, "01/01/2000", Yearending)</f>
        <v>45838</v>
      </c>
    </row>
    <row r="4" spans="2:9" ht="20.25" x14ac:dyDescent="0.2">
      <c r="B4" s="102" t="s">
        <v>116</v>
      </c>
      <c r="C4" s="102"/>
    </row>
    <row r="6" spans="2:9" x14ac:dyDescent="0.2">
      <c r="B6" s="474" t="s">
        <v>507</v>
      </c>
      <c r="C6" s="474"/>
      <c r="D6" s="474"/>
    </row>
    <row r="7" spans="2:9" ht="15.75" customHeight="1" x14ac:dyDescent="0.2">
      <c r="B7" s="474"/>
      <c r="C7" s="474"/>
      <c r="D7" s="474"/>
    </row>
    <row r="8" spans="2:9" ht="15.75" customHeight="1" x14ac:dyDescent="0.2">
      <c r="B8" s="474"/>
      <c r="C8" s="474"/>
      <c r="D8" s="474"/>
    </row>
    <row r="11" spans="2:9" s="276" customFormat="1" ht="15.75" x14ac:dyDescent="0.25">
      <c r="B11" s="218" t="s">
        <v>478</v>
      </c>
      <c r="C11" s="219"/>
      <c r="D11" s="219"/>
      <c r="E11" s="219"/>
      <c r="F11" s="222"/>
      <c r="G11" s="219"/>
      <c r="H11" s="219"/>
      <c r="I11" s="216"/>
    </row>
    <row r="12" spans="2:9" s="276" customFormat="1" ht="15.75" x14ac:dyDescent="0.25">
      <c r="B12" s="218"/>
      <c r="C12" s="219"/>
      <c r="D12" s="219"/>
      <c r="E12" s="219"/>
      <c r="F12" s="222"/>
      <c r="G12" s="219"/>
      <c r="H12" s="219"/>
      <c r="I12" s="216"/>
    </row>
    <row r="13" spans="2:9" ht="38.25" x14ac:dyDescent="0.2">
      <c r="B13" s="48" t="s">
        <v>515</v>
      </c>
      <c r="C13" s="48" t="s">
        <v>114</v>
      </c>
      <c r="D13" s="60" t="s">
        <v>128</v>
      </c>
      <c r="E13" s="60" t="s">
        <v>390</v>
      </c>
      <c r="F13" s="60" t="s">
        <v>47</v>
      </c>
      <c r="G13" s="60" t="s">
        <v>62</v>
      </c>
      <c r="H13" s="60" t="s">
        <v>63</v>
      </c>
      <c r="I13" s="60" t="s">
        <v>401</v>
      </c>
    </row>
    <row r="14" spans="2:9" x14ac:dyDescent="0.2">
      <c r="B14" s="100"/>
      <c r="C14" s="48" t="s">
        <v>115</v>
      </c>
      <c r="D14" s="64" t="s">
        <v>111</v>
      </c>
      <c r="E14" s="64" t="s">
        <v>111</v>
      </c>
      <c r="F14" s="64"/>
      <c r="G14" s="64" t="s">
        <v>111</v>
      </c>
      <c r="H14" s="64" t="s">
        <v>111</v>
      </c>
      <c r="I14" s="64" t="s">
        <v>111</v>
      </c>
    </row>
    <row r="15" spans="2:9" x14ac:dyDescent="0.2">
      <c r="B15" s="391" t="s">
        <v>954</v>
      </c>
      <c r="C15" s="81"/>
      <c r="D15" s="82">
        <v>0</v>
      </c>
      <c r="E15" s="82"/>
      <c r="F15" s="83"/>
      <c r="G15" s="21">
        <f>D15*F15</f>
        <v>0</v>
      </c>
      <c r="H15" s="21">
        <f t="shared" ref="H15:H41" si="0">E15*F15</f>
        <v>0</v>
      </c>
      <c r="I15" s="101">
        <f t="shared" ref="I15:I41" si="1">G15+H15</f>
        <v>0</v>
      </c>
    </row>
    <row r="16" spans="2:9" x14ac:dyDescent="0.2">
      <c r="B16" s="299"/>
      <c r="C16" s="81"/>
      <c r="D16" s="82"/>
      <c r="E16" s="82"/>
      <c r="F16" s="83"/>
      <c r="G16" s="21">
        <f>D16*F16</f>
        <v>0</v>
      </c>
      <c r="H16" s="21">
        <f t="shared" si="0"/>
        <v>0</v>
      </c>
      <c r="I16" s="101">
        <f t="shared" si="1"/>
        <v>0</v>
      </c>
    </row>
    <row r="17" spans="2:9" x14ac:dyDescent="0.2">
      <c r="B17" s="299"/>
      <c r="C17" s="81"/>
      <c r="D17" s="82"/>
      <c r="E17" s="82"/>
      <c r="F17" s="83"/>
      <c r="G17" s="21">
        <f>D17*F17</f>
        <v>0</v>
      </c>
      <c r="H17" s="21">
        <f t="shared" si="0"/>
        <v>0</v>
      </c>
      <c r="I17" s="101">
        <f t="shared" si="1"/>
        <v>0</v>
      </c>
    </row>
    <row r="18" spans="2:9" x14ac:dyDescent="0.2">
      <c r="B18" s="299"/>
      <c r="C18" s="81"/>
      <c r="D18" s="82"/>
      <c r="E18" s="82"/>
      <c r="F18" s="83"/>
      <c r="G18" s="21">
        <f>D18*F18</f>
        <v>0</v>
      </c>
      <c r="H18" s="101">
        <f t="shared" si="0"/>
        <v>0</v>
      </c>
      <c r="I18" s="101">
        <f t="shared" si="1"/>
        <v>0</v>
      </c>
    </row>
    <row r="19" spans="2:9" x14ac:dyDescent="0.2">
      <c r="B19" s="299"/>
      <c r="C19" s="81"/>
      <c r="D19" s="82"/>
      <c r="E19" s="82"/>
      <c r="F19" s="83"/>
      <c r="G19" s="21">
        <f t="shared" ref="G19:G41" si="2">D19*F19</f>
        <v>0</v>
      </c>
      <c r="H19" s="21">
        <f t="shared" si="0"/>
        <v>0</v>
      </c>
      <c r="I19" s="101">
        <f t="shared" si="1"/>
        <v>0</v>
      </c>
    </row>
    <row r="20" spans="2:9" x14ac:dyDescent="0.2">
      <c r="B20" s="299"/>
      <c r="C20" s="81"/>
      <c r="D20" s="82"/>
      <c r="E20" s="82"/>
      <c r="F20" s="83"/>
      <c r="G20" s="21">
        <f t="shared" si="2"/>
        <v>0</v>
      </c>
      <c r="H20" s="21">
        <f t="shared" si="0"/>
        <v>0</v>
      </c>
      <c r="I20" s="101">
        <f t="shared" si="1"/>
        <v>0</v>
      </c>
    </row>
    <row r="21" spans="2:9" x14ac:dyDescent="0.2">
      <c r="B21" s="299"/>
      <c r="C21" s="81"/>
      <c r="D21" s="82"/>
      <c r="E21" s="82"/>
      <c r="F21" s="83"/>
      <c r="G21" s="21">
        <f t="shared" si="2"/>
        <v>0</v>
      </c>
      <c r="H21" s="21">
        <f t="shared" si="0"/>
        <v>0</v>
      </c>
      <c r="I21" s="101">
        <f t="shared" si="1"/>
        <v>0</v>
      </c>
    </row>
    <row r="22" spans="2:9" x14ac:dyDescent="0.2">
      <c r="B22" s="299"/>
      <c r="C22" s="81"/>
      <c r="D22" s="82"/>
      <c r="E22" s="82"/>
      <c r="F22" s="83"/>
      <c r="G22" s="21">
        <f t="shared" si="2"/>
        <v>0</v>
      </c>
      <c r="H22" s="21">
        <f t="shared" si="0"/>
        <v>0</v>
      </c>
      <c r="I22" s="101">
        <f t="shared" si="1"/>
        <v>0</v>
      </c>
    </row>
    <row r="23" spans="2:9" x14ac:dyDescent="0.2">
      <c r="B23" s="299"/>
      <c r="C23" s="81"/>
      <c r="D23" s="82"/>
      <c r="E23" s="82"/>
      <c r="F23" s="83"/>
      <c r="G23" s="21">
        <f t="shared" si="2"/>
        <v>0</v>
      </c>
      <c r="H23" s="21">
        <f t="shared" si="0"/>
        <v>0</v>
      </c>
      <c r="I23" s="101">
        <f t="shared" si="1"/>
        <v>0</v>
      </c>
    </row>
    <row r="24" spans="2:9" x14ac:dyDescent="0.2">
      <c r="B24" s="299"/>
      <c r="C24" s="81"/>
      <c r="D24" s="82"/>
      <c r="E24" s="82"/>
      <c r="F24" s="83"/>
      <c r="G24" s="21">
        <f t="shared" si="2"/>
        <v>0</v>
      </c>
      <c r="H24" s="21">
        <f t="shared" si="0"/>
        <v>0</v>
      </c>
      <c r="I24" s="101">
        <f t="shared" si="1"/>
        <v>0</v>
      </c>
    </row>
    <row r="25" spans="2:9" x14ac:dyDescent="0.2">
      <c r="B25" s="299"/>
      <c r="C25" s="81"/>
      <c r="D25" s="82"/>
      <c r="E25" s="82"/>
      <c r="F25" s="83"/>
      <c r="G25" s="21">
        <f t="shared" si="2"/>
        <v>0</v>
      </c>
      <c r="H25" s="21">
        <f t="shared" si="0"/>
        <v>0</v>
      </c>
      <c r="I25" s="101">
        <f t="shared" si="1"/>
        <v>0</v>
      </c>
    </row>
    <row r="26" spans="2:9" x14ac:dyDescent="0.2">
      <c r="B26" s="299"/>
      <c r="C26" s="81"/>
      <c r="D26" s="82"/>
      <c r="E26" s="82"/>
      <c r="F26" s="83"/>
      <c r="G26" s="21">
        <f t="shared" si="2"/>
        <v>0</v>
      </c>
      <c r="H26" s="21">
        <f t="shared" si="0"/>
        <v>0</v>
      </c>
      <c r="I26" s="101">
        <f t="shared" si="1"/>
        <v>0</v>
      </c>
    </row>
    <row r="27" spans="2:9" x14ac:dyDescent="0.2">
      <c r="B27" s="299"/>
      <c r="C27" s="81"/>
      <c r="D27" s="82"/>
      <c r="E27" s="82"/>
      <c r="F27" s="83"/>
      <c r="G27" s="21">
        <f t="shared" si="2"/>
        <v>0</v>
      </c>
      <c r="H27" s="21">
        <f t="shared" si="0"/>
        <v>0</v>
      </c>
      <c r="I27" s="101">
        <f t="shared" si="1"/>
        <v>0</v>
      </c>
    </row>
    <row r="28" spans="2:9" x14ac:dyDescent="0.2">
      <c r="B28" s="299"/>
      <c r="C28" s="81"/>
      <c r="D28" s="82"/>
      <c r="E28" s="82"/>
      <c r="F28" s="83"/>
      <c r="G28" s="21">
        <f t="shared" si="2"/>
        <v>0</v>
      </c>
      <c r="H28" s="21">
        <f t="shared" si="0"/>
        <v>0</v>
      </c>
      <c r="I28" s="101">
        <f t="shared" si="1"/>
        <v>0</v>
      </c>
    </row>
    <row r="29" spans="2:9" x14ac:dyDescent="0.2">
      <c r="B29" s="299"/>
      <c r="C29" s="81"/>
      <c r="D29" s="82"/>
      <c r="E29" s="82"/>
      <c r="F29" s="83"/>
      <c r="G29" s="21">
        <f t="shared" si="2"/>
        <v>0</v>
      </c>
      <c r="H29" s="21">
        <f t="shared" si="0"/>
        <v>0</v>
      </c>
      <c r="I29" s="101">
        <f t="shared" si="1"/>
        <v>0</v>
      </c>
    </row>
    <row r="30" spans="2:9" x14ac:dyDescent="0.2">
      <c r="B30" s="299"/>
      <c r="C30" s="81"/>
      <c r="D30" s="82"/>
      <c r="E30" s="82"/>
      <c r="F30" s="83"/>
      <c r="G30" s="21">
        <f t="shared" si="2"/>
        <v>0</v>
      </c>
      <c r="H30" s="21">
        <f t="shared" si="0"/>
        <v>0</v>
      </c>
      <c r="I30" s="101">
        <f t="shared" si="1"/>
        <v>0</v>
      </c>
    </row>
    <row r="31" spans="2:9" x14ac:dyDescent="0.2">
      <c r="B31" s="299"/>
      <c r="C31" s="81"/>
      <c r="D31" s="82"/>
      <c r="E31" s="82"/>
      <c r="F31" s="83"/>
      <c r="G31" s="21">
        <f t="shared" si="2"/>
        <v>0</v>
      </c>
      <c r="H31" s="21">
        <f t="shared" si="0"/>
        <v>0</v>
      </c>
      <c r="I31" s="101">
        <f t="shared" si="1"/>
        <v>0</v>
      </c>
    </row>
    <row r="32" spans="2:9" x14ac:dyDescent="0.2">
      <c r="B32" s="299"/>
      <c r="C32" s="81"/>
      <c r="D32" s="82"/>
      <c r="E32" s="82"/>
      <c r="F32" s="83"/>
      <c r="G32" s="21">
        <f t="shared" si="2"/>
        <v>0</v>
      </c>
      <c r="H32" s="21">
        <f t="shared" si="0"/>
        <v>0</v>
      </c>
      <c r="I32" s="101">
        <f t="shared" si="1"/>
        <v>0</v>
      </c>
    </row>
    <row r="33" spans="2:9" x14ac:dyDescent="0.2">
      <c r="B33" s="299"/>
      <c r="C33" s="81"/>
      <c r="D33" s="82"/>
      <c r="E33" s="82"/>
      <c r="F33" s="83"/>
      <c r="G33" s="21">
        <f t="shared" si="2"/>
        <v>0</v>
      </c>
      <c r="H33" s="21">
        <f t="shared" si="0"/>
        <v>0</v>
      </c>
      <c r="I33" s="101">
        <f t="shared" si="1"/>
        <v>0</v>
      </c>
    </row>
    <row r="34" spans="2:9" x14ac:dyDescent="0.2">
      <c r="B34" s="299"/>
      <c r="C34" s="81"/>
      <c r="D34" s="82"/>
      <c r="E34" s="82"/>
      <c r="F34" s="83"/>
      <c r="G34" s="21">
        <f t="shared" si="2"/>
        <v>0</v>
      </c>
      <c r="H34" s="21">
        <f t="shared" si="0"/>
        <v>0</v>
      </c>
      <c r="I34" s="101">
        <f t="shared" si="1"/>
        <v>0</v>
      </c>
    </row>
    <row r="35" spans="2:9" x14ac:dyDescent="0.2">
      <c r="B35" s="299"/>
      <c r="C35" s="81"/>
      <c r="D35" s="82"/>
      <c r="E35" s="82"/>
      <c r="F35" s="83"/>
      <c r="G35" s="21">
        <f t="shared" si="2"/>
        <v>0</v>
      </c>
      <c r="H35" s="21">
        <f t="shared" si="0"/>
        <v>0</v>
      </c>
      <c r="I35" s="101">
        <f t="shared" si="1"/>
        <v>0</v>
      </c>
    </row>
    <row r="36" spans="2:9" x14ac:dyDescent="0.2">
      <c r="B36" s="299"/>
      <c r="C36" s="81"/>
      <c r="D36" s="82"/>
      <c r="E36" s="82"/>
      <c r="F36" s="83"/>
      <c r="G36" s="21">
        <f t="shared" si="2"/>
        <v>0</v>
      </c>
      <c r="H36" s="21">
        <f t="shared" si="0"/>
        <v>0</v>
      </c>
      <c r="I36" s="101">
        <f t="shared" si="1"/>
        <v>0</v>
      </c>
    </row>
    <row r="37" spans="2:9" x14ac:dyDescent="0.2">
      <c r="B37" s="299"/>
      <c r="C37" s="81"/>
      <c r="D37" s="82"/>
      <c r="E37" s="82"/>
      <c r="F37" s="83"/>
      <c r="G37" s="21">
        <f t="shared" si="2"/>
        <v>0</v>
      </c>
      <c r="H37" s="21">
        <f t="shared" si="0"/>
        <v>0</v>
      </c>
      <c r="I37" s="101">
        <f t="shared" si="1"/>
        <v>0</v>
      </c>
    </row>
    <row r="38" spans="2:9" x14ac:dyDescent="0.2">
      <c r="B38" s="299"/>
      <c r="C38" s="81"/>
      <c r="D38" s="82"/>
      <c r="E38" s="82"/>
      <c r="F38" s="83"/>
      <c r="G38" s="21">
        <f t="shared" si="2"/>
        <v>0</v>
      </c>
      <c r="H38" s="21">
        <f t="shared" si="0"/>
        <v>0</v>
      </c>
      <c r="I38" s="101">
        <f t="shared" si="1"/>
        <v>0</v>
      </c>
    </row>
    <row r="39" spans="2:9" x14ac:dyDescent="0.2">
      <c r="B39" s="299"/>
      <c r="C39" s="81"/>
      <c r="D39" s="82"/>
      <c r="E39" s="82"/>
      <c r="F39" s="83"/>
      <c r="G39" s="21">
        <f t="shared" si="2"/>
        <v>0</v>
      </c>
      <c r="H39" s="21">
        <f t="shared" si="0"/>
        <v>0</v>
      </c>
      <c r="I39" s="101">
        <f t="shared" si="1"/>
        <v>0</v>
      </c>
    </row>
    <row r="40" spans="2:9" x14ac:dyDescent="0.2">
      <c r="B40" s="299"/>
      <c r="C40" s="81"/>
      <c r="D40" s="82"/>
      <c r="E40" s="82"/>
      <c r="F40" s="83"/>
      <c r="G40" s="21">
        <f t="shared" si="2"/>
        <v>0</v>
      </c>
      <c r="H40" s="21">
        <f t="shared" si="0"/>
        <v>0</v>
      </c>
      <c r="I40" s="101">
        <f t="shared" si="1"/>
        <v>0</v>
      </c>
    </row>
    <row r="41" spans="2:9" x14ac:dyDescent="0.2">
      <c r="B41" s="299"/>
      <c r="C41" s="81"/>
      <c r="D41" s="82"/>
      <c r="E41" s="82"/>
      <c r="F41" s="83"/>
      <c r="G41" s="21">
        <f t="shared" si="2"/>
        <v>0</v>
      </c>
      <c r="H41" s="21">
        <f t="shared" si="0"/>
        <v>0</v>
      </c>
      <c r="I41" s="101">
        <f t="shared" si="1"/>
        <v>0</v>
      </c>
    </row>
    <row r="42" spans="2:9" x14ac:dyDescent="0.2">
      <c r="B42" s="300"/>
      <c r="C42" s="135" t="s">
        <v>18</v>
      </c>
      <c r="D42" s="21">
        <f>SUM(D15:D41)</f>
        <v>0</v>
      </c>
      <c r="E42" s="21">
        <f>SUM(E15:E41)</f>
        <v>0</v>
      </c>
      <c r="F42" s="23"/>
      <c r="G42" s="21">
        <f>SUM(G15:G41)</f>
        <v>0</v>
      </c>
      <c r="H42" s="21">
        <f>SUM(H15:H41)</f>
        <v>0</v>
      </c>
      <c r="I42" s="101">
        <f>SUM(I15:I41)</f>
        <v>0</v>
      </c>
    </row>
  </sheetData>
  <sheetProtection sheet="1" insertRows="0"/>
  <mergeCells count="1">
    <mergeCell ref="B6:D8"/>
  </mergeCells>
  <conditionalFormatting sqref="F15:F41">
    <cfRule type="cellIs" dxfId="58" priority="1" stopIfTrue="1" operator="greaterThan">
      <formula>1</formula>
    </cfRule>
  </conditionalFormatting>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C4807-0F34-44FE-96D4-450F756488FE}">
  <sheetPr codeName="Sheet11">
    <tabColor rgb="FF17415D"/>
  </sheetPr>
  <dimension ref="B1:J36"/>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28515625" defaultRowHeight="12.75" x14ac:dyDescent="0.2"/>
  <cols>
    <col min="1" max="1" width="11.28515625" style="216" customWidth="1"/>
    <col min="2" max="2" width="21" style="216" customWidth="1"/>
    <col min="3" max="3" width="36.28515625" style="216" customWidth="1"/>
    <col min="4" max="4" width="26.7109375" style="216" customWidth="1"/>
    <col min="5" max="5" width="23.5703125" style="216" customWidth="1"/>
    <col min="6" max="6" width="22.5703125" style="216" customWidth="1"/>
    <col min="7" max="7" width="20.5703125" style="216" customWidth="1"/>
    <col min="8" max="9" width="22.5703125" style="216" customWidth="1"/>
    <col min="10" max="10" width="35.28515625" style="216" customWidth="1"/>
    <col min="11" max="11" width="25.28515625" style="216" customWidth="1"/>
    <col min="12" max="16384" width="9.28515625" style="216"/>
  </cols>
  <sheetData>
    <row r="1" spans="2:10" ht="20.25" customHeight="1" x14ac:dyDescent="0.3">
      <c r="B1" s="146" t="s">
        <v>510</v>
      </c>
      <c r="C1" s="146"/>
      <c r="D1" s="215"/>
      <c r="E1" s="215"/>
      <c r="F1" s="215"/>
      <c r="G1" s="215"/>
      <c r="H1" s="215"/>
      <c r="I1" s="215"/>
    </row>
    <row r="2" spans="2:10" ht="20.25" customHeight="1" x14ac:dyDescent="0.3">
      <c r="B2" s="146" t="str">
        <f>IF(Tradingname=0," ",Tradingname)</f>
        <v>EAST AUSTRALIAN PIPELINE PTY LIMITED</v>
      </c>
      <c r="C2" s="146"/>
      <c r="H2" s="217"/>
      <c r="I2" s="217"/>
    </row>
    <row r="3" spans="2:10" ht="20.25" customHeight="1" x14ac:dyDescent="0.3">
      <c r="B3" s="146" t="s">
        <v>110</v>
      </c>
      <c r="C3" s="110">
        <f>IF(Yearending=0, "01/01/2000", Yearending)</f>
        <v>45838</v>
      </c>
    </row>
    <row r="4" spans="2:10" ht="20.25" x14ac:dyDescent="0.2">
      <c r="B4" s="102" t="s">
        <v>463</v>
      </c>
      <c r="C4" s="102"/>
    </row>
    <row r="6" spans="2:10" x14ac:dyDescent="0.2">
      <c r="B6" s="474" t="s">
        <v>507</v>
      </c>
      <c r="C6" s="474"/>
      <c r="D6" s="474"/>
    </row>
    <row r="7" spans="2:10" ht="15.75" customHeight="1" x14ac:dyDescent="0.2">
      <c r="B7" s="474"/>
      <c r="C7" s="474"/>
      <c r="D7" s="474"/>
    </row>
    <row r="8" spans="2:10" ht="24" customHeight="1" x14ac:dyDescent="0.2">
      <c r="B8" s="474"/>
      <c r="C8" s="474"/>
      <c r="D8" s="474"/>
    </row>
    <row r="11" spans="2:10" ht="15.75" x14ac:dyDescent="0.25">
      <c r="B11" s="218" t="s">
        <v>479</v>
      </c>
      <c r="C11" s="219"/>
      <c r="D11" s="219"/>
      <c r="E11" s="219"/>
      <c r="F11" s="219"/>
      <c r="G11" s="222"/>
      <c r="H11" s="219"/>
      <c r="I11" s="219"/>
    </row>
    <row r="12" spans="2:10" ht="15.75" x14ac:dyDescent="0.25">
      <c r="B12" s="218"/>
      <c r="C12" s="219"/>
      <c r="D12" s="219"/>
      <c r="E12" s="219"/>
      <c r="F12" s="219"/>
      <c r="G12" s="222"/>
      <c r="H12" s="219"/>
      <c r="I12" s="219"/>
    </row>
    <row r="13" spans="2:10" ht="38.25" x14ac:dyDescent="0.2">
      <c r="B13" s="48" t="s">
        <v>515</v>
      </c>
      <c r="C13" s="48" t="s">
        <v>13</v>
      </c>
      <c r="D13" s="52" t="s">
        <v>48</v>
      </c>
      <c r="E13" s="49" t="s">
        <v>471</v>
      </c>
      <c r="F13" s="49" t="s">
        <v>472</v>
      </c>
      <c r="G13" s="49" t="s">
        <v>47</v>
      </c>
      <c r="H13" s="49" t="s">
        <v>62</v>
      </c>
      <c r="I13" s="49" t="s">
        <v>63</v>
      </c>
      <c r="J13" s="49" t="s">
        <v>401</v>
      </c>
    </row>
    <row r="14" spans="2:10" x14ac:dyDescent="0.2">
      <c r="B14" s="50"/>
      <c r="C14" s="50" t="s">
        <v>117</v>
      </c>
      <c r="D14" s="53"/>
      <c r="E14" s="51" t="s">
        <v>111</v>
      </c>
      <c r="F14" s="51" t="s">
        <v>111</v>
      </c>
      <c r="G14" s="51"/>
      <c r="H14" s="51" t="s">
        <v>111</v>
      </c>
      <c r="I14" s="51" t="s">
        <v>111</v>
      </c>
      <c r="J14" s="51" t="s">
        <v>111</v>
      </c>
    </row>
    <row r="15" spans="2:10" x14ac:dyDescent="0.2">
      <c r="B15" s="299"/>
      <c r="C15" s="45" t="s">
        <v>464</v>
      </c>
      <c r="D15" s="136"/>
      <c r="E15" s="82"/>
      <c r="F15" s="82"/>
      <c r="G15" s="83"/>
      <c r="H15" s="21">
        <f t="shared" ref="H15:H22" si="0">E15*G15</f>
        <v>0</v>
      </c>
      <c r="I15" s="21">
        <f t="shared" ref="I15:I22" si="1">F15*G15</f>
        <v>0</v>
      </c>
      <c r="J15" s="101">
        <f t="shared" ref="J15:J35" si="2">H15+I15</f>
        <v>0</v>
      </c>
    </row>
    <row r="16" spans="2:10" ht="25.5" x14ac:dyDescent="0.2">
      <c r="B16" s="299"/>
      <c r="C16" s="45" t="s">
        <v>43</v>
      </c>
      <c r="D16" s="136"/>
      <c r="E16" s="82"/>
      <c r="F16" s="82"/>
      <c r="G16" s="83"/>
      <c r="H16" s="21">
        <f t="shared" si="0"/>
        <v>0</v>
      </c>
      <c r="I16" s="21">
        <f t="shared" si="1"/>
        <v>0</v>
      </c>
      <c r="J16" s="101">
        <f t="shared" si="2"/>
        <v>0</v>
      </c>
    </row>
    <row r="17" spans="2:10" x14ac:dyDescent="0.2">
      <c r="B17" s="299"/>
      <c r="C17" s="54" t="s">
        <v>221</v>
      </c>
      <c r="D17" s="136"/>
      <c r="E17" s="82"/>
      <c r="F17" s="82"/>
      <c r="G17" s="83"/>
      <c r="H17" s="21">
        <f t="shared" si="0"/>
        <v>0</v>
      </c>
      <c r="I17" s="21">
        <f t="shared" si="1"/>
        <v>0</v>
      </c>
      <c r="J17" s="101">
        <f t="shared" si="2"/>
        <v>0</v>
      </c>
    </row>
    <row r="18" spans="2:10" x14ac:dyDescent="0.2">
      <c r="B18" s="398" t="s">
        <v>966</v>
      </c>
      <c r="C18" s="45" t="s">
        <v>39</v>
      </c>
      <c r="D18" s="136"/>
      <c r="E18" s="82">
        <v>55278031</v>
      </c>
      <c r="F18" s="82"/>
      <c r="G18" s="83">
        <v>8.2191404086987496E-2</v>
      </c>
      <c r="H18" s="21">
        <f t="shared" si="0"/>
        <v>4543378.9830540214</v>
      </c>
      <c r="I18" s="21">
        <f t="shared" si="1"/>
        <v>0</v>
      </c>
      <c r="J18" s="101">
        <f t="shared" si="2"/>
        <v>4543378.9830540214</v>
      </c>
    </row>
    <row r="19" spans="2:10" x14ac:dyDescent="0.2">
      <c r="B19" s="391"/>
      <c r="C19" s="45" t="s">
        <v>44</v>
      </c>
      <c r="D19" s="136"/>
      <c r="E19" s="82"/>
      <c r="F19" s="82"/>
      <c r="G19" s="83"/>
      <c r="H19" s="21">
        <f t="shared" si="0"/>
        <v>0</v>
      </c>
      <c r="I19" s="21">
        <f t="shared" si="1"/>
        <v>0</v>
      </c>
      <c r="J19" s="101">
        <f t="shared" si="2"/>
        <v>0</v>
      </c>
    </row>
    <row r="20" spans="2:10" x14ac:dyDescent="0.2">
      <c r="B20" s="391"/>
      <c r="C20" s="54" t="s">
        <v>81</v>
      </c>
      <c r="D20" s="136"/>
      <c r="E20" s="82"/>
      <c r="F20" s="82"/>
      <c r="G20" s="83"/>
      <c r="H20" s="21">
        <f t="shared" si="0"/>
        <v>0</v>
      </c>
      <c r="I20" s="21">
        <f t="shared" si="1"/>
        <v>0</v>
      </c>
      <c r="J20" s="101">
        <f t="shared" si="2"/>
        <v>0</v>
      </c>
    </row>
    <row r="21" spans="2:10" x14ac:dyDescent="0.2">
      <c r="B21" s="391"/>
      <c r="C21" s="54" t="s">
        <v>40</v>
      </c>
      <c r="D21" s="136"/>
      <c r="E21" s="82"/>
      <c r="F21" s="82"/>
      <c r="G21" s="83"/>
      <c r="H21" s="21">
        <f t="shared" si="0"/>
        <v>0</v>
      </c>
      <c r="I21" s="21">
        <f t="shared" si="1"/>
        <v>0</v>
      </c>
      <c r="J21" s="101">
        <f t="shared" si="2"/>
        <v>0</v>
      </c>
    </row>
    <row r="22" spans="2:10" ht="25.5" x14ac:dyDescent="0.2">
      <c r="B22" s="391"/>
      <c r="C22" s="54" t="s">
        <v>222</v>
      </c>
      <c r="D22" s="136"/>
      <c r="E22" s="82"/>
      <c r="F22" s="82"/>
      <c r="G22" s="83"/>
      <c r="H22" s="21">
        <f t="shared" si="0"/>
        <v>0</v>
      </c>
      <c r="I22" s="21">
        <f t="shared" si="1"/>
        <v>0</v>
      </c>
      <c r="J22" s="101">
        <f t="shared" si="2"/>
        <v>0</v>
      </c>
    </row>
    <row r="23" spans="2:10" x14ac:dyDescent="0.2">
      <c r="B23" s="391"/>
      <c r="C23" s="45" t="s">
        <v>466</v>
      </c>
      <c r="D23" s="136"/>
      <c r="E23" s="137">
        <f>SUM(E24:E35)</f>
        <v>205056471.24199873</v>
      </c>
      <c r="F23" s="137">
        <f>SUM(F24:F35)</f>
        <v>0</v>
      </c>
      <c r="G23" s="138"/>
      <c r="H23" s="137">
        <f>SUM(H24:H35)</f>
        <v>16853879.288502853</v>
      </c>
      <c r="I23" s="137">
        <f>SUM(I24:I35)</f>
        <v>0</v>
      </c>
      <c r="J23" s="101">
        <f t="shared" si="2"/>
        <v>16853879.288502853</v>
      </c>
    </row>
    <row r="24" spans="2:10" x14ac:dyDescent="0.2">
      <c r="B24" s="398" t="s">
        <v>966</v>
      </c>
      <c r="C24" s="81" t="s">
        <v>805</v>
      </c>
      <c r="D24" s="136"/>
      <c r="E24" s="82">
        <v>190714348.27999875</v>
      </c>
      <c r="F24" s="82"/>
      <c r="G24" s="83">
        <v>8.219140408698751E-2</v>
      </c>
      <c r="H24" s="21">
        <f t="shared" ref="H24:H35" si="3">E24*G24</f>
        <v>15675080.064667849</v>
      </c>
      <c r="I24" s="21">
        <f t="shared" ref="I24:I35" si="4">F24*G24</f>
        <v>0</v>
      </c>
      <c r="J24" s="101">
        <f t="shared" si="2"/>
        <v>15675080.064667849</v>
      </c>
    </row>
    <row r="25" spans="2:10" x14ac:dyDescent="0.2">
      <c r="B25" s="391" t="s">
        <v>966</v>
      </c>
      <c r="C25" s="81" t="s">
        <v>817</v>
      </c>
      <c r="D25" s="136"/>
      <c r="E25" s="82">
        <v>1942424.69</v>
      </c>
      <c r="F25" s="82"/>
      <c r="G25" s="83">
        <v>8.219140408698751E-2</v>
      </c>
      <c r="H25" s="21">
        <f t="shared" si="3"/>
        <v>159650.61260433143</v>
      </c>
      <c r="I25" s="21">
        <f t="shared" si="4"/>
        <v>0</v>
      </c>
      <c r="J25" s="101">
        <f t="shared" si="2"/>
        <v>159650.61260433143</v>
      </c>
    </row>
    <row r="26" spans="2:10" x14ac:dyDescent="0.2">
      <c r="B26" s="391" t="s">
        <v>966</v>
      </c>
      <c r="C26" s="81" t="s">
        <v>818</v>
      </c>
      <c r="D26" s="136"/>
      <c r="E26" s="82">
        <v>12399698.271999989</v>
      </c>
      <c r="F26" s="82"/>
      <c r="G26" s="83">
        <v>8.219140408698751E-2</v>
      </c>
      <c r="H26" s="21">
        <f t="shared" si="3"/>
        <v>1019148.6112306719</v>
      </c>
      <c r="I26" s="21">
        <f t="shared" si="4"/>
        <v>0</v>
      </c>
      <c r="J26" s="101">
        <f t="shared" si="2"/>
        <v>1019148.6112306719</v>
      </c>
    </row>
    <row r="27" spans="2:10" x14ac:dyDescent="0.2">
      <c r="B27" s="299"/>
      <c r="C27" s="81"/>
      <c r="D27" s="136"/>
      <c r="E27" s="82"/>
      <c r="F27" s="82"/>
      <c r="G27" s="83"/>
      <c r="H27" s="21">
        <f t="shared" si="3"/>
        <v>0</v>
      </c>
      <c r="I27" s="21">
        <f t="shared" si="4"/>
        <v>0</v>
      </c>
      <c r="J27" s="101">
        <f t="shared" si="2"/>
        <v>0</v>
      </c>
    </row>
    <row r="28" spans="2:10" x14ac:dyDescent="0.2">
      <c r="B28" s="299"/>
      <c r="C28" s="81"/>
      <c r="D28" s="136"/>
      <c r="E28" s="82"/>
      <c r="F28" s="82"/>
      <c r="G28" s="83"/>
      <c r="H28" s="21">
        <f t="shared" si="3"/>
        <v>0</v>
      </c>
      <c r="I28" s="21">
        <f t="shared" si="4"/>
        <v>0</v>
      </c>
      <c r="J28" s="101">
        <f t="shared" si="2"/>
        <v>0</v>
      </c>
    </row>
    <row r="29" spans="2:10" x14ac:dyDescent="0.2">
      <c r="B29" s="299"/>
      <c r="C29" s="81"/>
      <c r="D29" s="136"/>
      <c r="E29" s="82"/>
      <c r="F29" s="82"/>
      <c r="G29" s="83"/>
      <c r="H29" s="21">
        <f t="shared" si="3"/>
        <v>0</v>
      </c>
      <c r="I29" s="21">
        <f t="shared" si="4"/>
        <v>0</v>
      </c>
      <c r="J29" s="101">
        <f t="shared" si="2"/>
        <v>0</v>
      </c>
    </row>
    <row r="30" spans="2:10" x14ac:dyDescent="0.2">
      <c r="B30" s="299"/>
      <c r="C30" s="81"/>
      <c r="D30" s="136"/>
      <c r="E30" s="82"/>
      <c r="F30" s="82"/>
      <c r="G30" s="83"/>
      <c r="H30" s="21">
        <f t="shared" si="3"/>
        <v>0</v>
      </c>
      <c r="I30" s="21">
        <f t="shared" si="4"/>
        <v>0</v>
      </c>
      <c r="J30" s="101">
        <f t="shared" si="2"/>
        <v>0</v>
      </c>
    </row>
    <row r="31" spans="2:10" x14ac:dyDescent="0.2">
      <c r="B31" s="299"/>
      <c r="C31" s="81"/>
      <c r="D31" s="136"/>
      <c r="E31" s="82"/>
      <c r="F31" s="82"/>
      <c r="G31" s="83"/>
      <c r="H31" s="21">
        <f t="shared" si="3"/>
        <v>0</v>
      </c>
      <c r="I31" s="21">
        <f t="shared" si="4"/>
        <v>0</v>
      </c>
      <c r="J31" s="101">
        <f t="shared" si="2"/>
        <v>0</v>
      </c>
    </row>
    <row r="32" spans="2:10" x14ac:dyDescent="0.2">
      <c r="B32" s="299"/>
      <c r="C32" s="81"/>
      <c r="D32" s="136"/>
      <c r="E32" s="82"/>
      <c r="F32" s="82"/>
      <c r="G32" s="83"/>
      <c r="H32" s="21">
        <f t="shared" si="3"/>
        <v>0</v>
      </c>
      <c r="I32" s="21">
        <f t="shared" si="4"/>
        <v>0</v>
      </c>
      <c r="J32" s="101">
        <f t="shared" si="2"/>
        <v>0</v>
      </c>
    </row>
    <row r="33" spans="2:10" x14ac:dyDescent="0.2">
      <c r="B33" s="299"/>
      <c r="C33" s="81"/>
      <c r="D33" s="136"/>
      <c r="E33" s="82"/>
      <c r="F33" s="82"/>
      <c r="G33" s="83"/>
      <c r="H33" s="21">
        <f t="shared" si="3"/>
        <v>0</v>
      </c>
      <c r="I33" s="21">
        <f t="shared" si="4"/>
        <v>0</v>
      </c>
      <c r="J33" s="101">
        <f t="shared" si="2"/>
        <v>0</v>
      </c>
    </row>
    <row r="34" spans="2:10" x14ac:dyDescent="0.2">
      <c r="B34" s="299"/>
      <c r="C34" s="81"/>
      <c r="D34" s="136"/>
      <c r="E34" s="82"/>
      <c r="F34" s="82"/>
      <c r="G34" s="83"/>
      <c r="H34" s="21">
        <f t="shared" si="3"/>
        <v>0</v>
      </c>
      <c r="I34" s="21">
        <f t="shared" si="4"/>
        <v>0</v>
      </c>
      <c r="J34" s="101">
        <f t="shared" si="2"/>
        <v>0</v>
      </c>
    </row>
    <row r="35" spans="2:10" x14ac:dyDescent="0.2">
      <c r="B35" s="299"/>
      <c r="C35" s="81"/>
      <c r="D35" s="136"/>
      <c r="E35" s="82"/>
      <c r="F35" s="82"/>
      <c r="G35" s="83"/>
      <c r="H35" s="21">
        <f t="shared" si="3"/>
        <v>0</v>
      </c>
      <c r="I35" s="21">
        <f t="shared" si="4"/>
        <v>0</v>
      </c>
      <c r="J35" s="101">
        <f t="shared" si="2"/>
        <v>0</v>
      </c>
    </row>
    <row r="36" spans="2:10" x14ac:dyDescent="0.2">
      <c r="B36" s="300"/>
      <c r="C36" s="475" t="s">
        <v>82</v>
      </c>
      <c r="D36" s="476"/>
      <c r="E36" s="21">
        <f>SUM(E15:E23)</f>
        <v>260334502.24199873</v>
      </c>
      <c r="F36" s="21">
        <f>SUM(F15:F23)</f>
        <v>0</v>
      </c>
      <c r="G36" s="139"/>
      <c r="H36" s="21">
        <f>SUM(H15:H23)</f>
        <v>21397258.271556877</v>
      </c>
      <c r="I36" s="21">
        <f>SUM(I15:I23)</f>
        <v>0</v>
      </c>
      <c r="J36" s="101">
        <f>SUM(J15:J23)</f>
        <v>21397258.271556877</v>
      </c>
    </row>
  </sheetData>
  <sheetProtection sheet="1"/>
  <mergeCells count="2">
    <mergeCell ref="B6:D8"/>
    <mergeCell ref="C36:D36"/>
  </mergeCells>
  <phoneticPr fontId="31" type="noConversion"/>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0FFC1-9F4A-4C37-839A-2A4DA9D96296}">
  <sheetPr codeName="Sheet3">
    <tabColor rgb="FF17415D"/>
    <pageSetUpPr fitToPage="1"/>
  </sheetPr>
  <dimension ref="B1:H132"/>
  <sheetViews>
    <sheetView zoomScaleNormal="100" workbookViewId="0">
      <pane xSplit="1" ySplit="10" topLeftCell="B11" activePane="bottomRight" state="frozen"/>
      <selection pane="topRight" activeCell="B1" sqref="B1"/>
      <selection pane="bottomLeft" activeCell="A11" sqref="A11"/>
      <selection pane="bottomRight"/>
    </sheetView>
  </sheetViews>
  <sheetFormatPr defaultColWidth="9.28515625" defaultRowHeight="12.75" x14ac:dyDescent="0.2"/>
  <cols>
    <col min="1" max="1" width="12" style="4" customWidth="1"/>
    <col min="2" max="2" width="18.7109375" style="4" customWidth="1"/>
    <col min="3" max="3" width="67.28515625" style="4" customWidth="1"/>
    <col min="4" max="5" width="20.7109375" style="4" customWidth="1"/>
    <col min="6" max="6" width="9.28515625" style="4"/>
    <col min="7" max="7" width="13.42578125" style="4" customWidth="1"/>
    <col min="8" max="8" width="15.42578125" style="4" customWidth="1"/>
    <col min="9" max="16384" width="9.28515625" style="4"/>
  </cols>
  <sheetData>
    <row r="1" spans="2:6" ht="20.25" x14ac:dyDescent="0.2">
      <c r="B1" s="146" t="s">
        <v>510</v>
      </c>
      <c r="C1" s="146"/>
    </row>
    <row r="2" spans="2:6" ht="20.25" x14ac:dyDescent="0.2">
      <c r="B2" s="146" t="str">
        <f>IF(Tradingname=0," ",Tradingname)</f>
        <v>EAST AUSTRALIAN PIPELINE PTY LIMITED</v>
      </c>
      <c r="C2" s="146"/>
      <c r="E2" s="277"/>
    </row>
    <row r="3" spans="2:6" ht="20.25" x14ac:dyDescent="0.3">
      <c r="B3" s="146" t="s">
        <v>110</v>
      </c>
      <c r="C3" s="110">
        <f>IF(Yearending=0, "01/01/2000", Yearending)</f>
        <v>45838</v>
      </c>
    </row>
    <row r="4" spans="2:6" ht="45" customHeight="1" x14ac:dyDescent="0.2">
      <c r="B4" s="478" t="s">
        <v>655</v>
      </c>
      <c r="C4" s="478"/>
      <c r="D4" s="260"/>
    </row>
    <row r="5" spans="2:6" x14ac:dyDescent="0.2">
      <c r="D5" s="278"/>
    </row>
    <row r="6" spans="2:6" ht="12.75" customHeight="1" x14ac:dyDescent="0.2">
      <c r="B6" s="474" t="s">
        <v>684</v>
      </c>
      <c r="C6" s="474"/>
      <c r="D6" s="474"/>
      <c r="E6" s="474"/>
      <c r="F6" s="474"/>
    </row>
    <row r="7" spans="2:6" ht="12.75" customHeight="1" x14ac:dyDescent="0.2">
      <c r="B7" s="474"/>
      <c r="C7" s="474"/>
      <c r="D7" s="474"/>
      <c r="E7" s="474"/>
      <c r="F7" s="474"/>
    </row>
    <row r="8" spans="2:6" ht="12.75" customHeight="1" x14ac:dyDescent="0.2">
      <c r="B8" s="474"/>
      <c r="C8" s="474"/>
      <c r="D8" s="474"/>
      <c r="E8" s="474"/>
      <c r="F8" s="474"/>
    </row>
    <row r="9" spans="2:6" ht="12.75" customHeight="1" x14ac:dyDescent="0.2">
      <c r="B9" s="474"/>
      <c r="C9" s="474"/>
      <c r="D9" s="474"/>
      <c r="E9" s="474"/>
      <c r="F9" s="474"/>
    </row>
    <row r="10" spans="2:6" ht="12.75" customHeight="1" x14ac:dyDescent="0.2">
      <c r="B10" s="474"/>
      <c r="C10" s="474"/>
      <c r="D10" s="474"/>
      <c r="E10" s="474"/>
      <c r="F10" s="474"/>
    </row>
    <row r="11" spans="2:6" x14ac:dyDescent="0.2">
      <c r="D11" s="278"/>
    </row>
    <row r="12" spans="2:6" x14ac:dyDescent="0.2">
      <c r="D12" s="278"/>
    </row>
    <row r="13" spans="2:6" ht="15.75" x14ac:dyDescent="0.2">
      <c r="B13" s="477" t="s">
        <v>581</v>
      </c>
      <c r="C13" s="477"/>
      <c r="D13" s="278"/>
    </row>
    <row r="15" spans="2:6" ht="25.5" x14ac:dyDescent="0.2">
      <c r="B15" s="55" t="s">
        <v>515</v>
      </c>
      <c r="C15" s="56" t="s">
        <v>13</v>
      </c>
      <c r="D15" s="56" t="s">
        <v>130</v>
      </c>
      <c r="E15" s="231" t="s">
        <v>131</v>
      </c>
    </row>
    <row r="16" spans="2:6" x14ac:dyDescent="0.2">
      <c r="B16" s="55"/>
      <c r="C16" s="57" t="s">
        <v>46</v>
      </c>
      <c r="D16" s="231"/>
      <c r="E16" s="231"/>
    </row>
    <row r="17" spans="2:7" x14ac:dyDescent="0.2">
      <c r="B17" s="301"/>
      <c r="C17" s="59" t="s">
        <v>548</v>
      </c>
      <c r="D17" s="56"/>
      <c r="E17" s="231"/>
    </row>
    <row r="18" spans="2:7" x14ac:dyDescent="0.2">
      <c r="B18" s="392" t="s">
        <v>955</v>
      </c>
      <c r="C18" s="58" t="s">
        <v>585</v>
      </c>
      <c r="D18" s="140">
        <f>IF(Cover!C23="Scheme pipeline","-",SUMIF('3.5 Depreciation amortisation'!$D$15:$D$58,'3.1 Depreciated Book Value'!C17,'3.5 Depreciation amortisation'!$H$15:$H$58))</f>
        <v>1386382727.569998</v>
      </c>
      <c r="E18" s="77">
        <v>1342744211.049998</v>
      </c>
    </row>
    <row r="19" spans="2:7" x14ac:dyDescent="0.2">
      <c r="B19" s="392" t="s">
        <v>955</v>
      </c>
      <c r="C19" s="58" t="s">
        <v>52</v>
      </c>
      <c r="D19" s="140">
        <f>IF(Cover!C23="Scheme pipeline","-",SUMIF('3.5 Depreciation amortisation'!$D$15:$D$58,'3.1 Depreciated Book Value'!C17,'3.5 Depreciation amortisation'!$I$15:$I$58))</f>
        <v>23660640.050000004</v>
      </c>
      <c r="E19" s="77">
        <v>43638516.519999996</v>
      </c>
    </row>
    <row r="20" spans="2:7" x14ac:dyDescent="0.2">
      <c r="B20" s="392" t="s">
        <v>955</v>
      </c>
      <c r="C20" s="58" t="s">
        <v>227</v>
      </c>
      <c r="D20" s="140">
        <f>IF(Cover!C23="Scheme pipeline","-",SUMIF('3.5 Depreciation amortisation'!$D$15:$D$58,'3.1 Depreciated Book Value'!C17,'3.5 Depreciation amortisation'!$J$15:$J$58))</f>
        <v>2635301.83</v>
      </c>
      <c r="E20" s="77">
        <v>0</v>
      </c>
    </row>
    <row r="21" spans="2:7" x14ac:dyDescent="0.2">
      <c r="B21" s="298"/>
      <c r="C21" s="95" t="s">
        <v>87</v>
      </c>
      <c r="D21" s="140">
        <f>IF(Cover!C23="Scheme pipeline","-",SUM(D18:D20))</f>
        <v>1412678669.4499979</v>
      </c>
      <c r="E21" s="140">
        <f>SUM(E18:E20)</f>
        <v>1386382727.569998</v>
      </c>
    </row>
    <row r="22" spans="2:7" x14ac:dyDescent="0.2">
      <c r="B22" s="392" t="s">
        <v>955</v>
      </c>
      <c r="C22" s="58" t="s">
        <v>564</v>
      </c>
      <c r="D22" s="140">
        <f>IF(Cover!C23="Scheme pipeline","-",-ABS(SUMIF('3.5 Depreciation amortisation'!$D$15:$D$58,'3.1 Depreciated Book Value'!C17,'3.5 Depreciation amortisation'!$O$15:$O$58)+SUMIF('3.5 Depreciation amortisation'!$D$15:$D$58,'3.1 Depreciated Book Value'!C17,'3.5 Depreciation amortisation'!$P$15:$P$58))-D23)</f>
        <v>-573338488.29141474</v>
      </c>
      <c r="E22" s="77">
        <v>-558018344.13284516</v>
      </c>
    </row>
    <row r="23" spans="2:7" x14ac:dyDescent="0.2">
      <c r="B23" s="392" t="s">
        <v>955</v>
      </c>
      <c r="C23" s="58" t="s">
        <v>565</v>
      </c>
      <c r="D23" s="140">
        <f>IF(Cover!C23="Scheme pipeline","-",-ABS(SUMIF('3.4 Asset impairment'!$C$10:$C$24,'3.1 Depreciated Book Value'!C17,'3.4 Asset impairment'!$D$10:$D$24))+SUMIF('3.4 Asset impairment'!$C$30:$C$56,'3.1 Depreciated Book Value'!C17,'3.4 Asset impairment'!$G$30:$G$56))</f>
        <v>-475653944.06349093</v>
      </c>
      <c r="E23" s="77">
        <v>-475653944.06349093</v>
      </c>
    </row>
    <row r="24" spans="2:7" x14ac:dyDescent="0.2">
      <c r="B24" s="392" t="s">
        <v>955</v>
      </c>
      <c r="C24" s="58" t="s">
        <v>236</v>
      </c>
      <c r="D24" s="140">
        <f>IF(Cover!C23="Scheme pipeline","-",SUMIF('3.5 Depreciation amortisation'!$D$15:$D$58,'3.1 Depreciated Book Value'!C17,'3.5 Depreciation amortisation'!$K$15:$K$58))</f>
        <v>0</v>
      </c>
      <c r="E24" s="77">
        <v>0</v>
      </c>
      <c r="F24" s="258"/>
    </row>
    <row r="25" spans="2:7" x14ac:dyDescent="0.2">
      <c r="B25" s="389"/>
      <c r="C25" s="95" t="s">
        <v>229</v>
      </c>
      <c r="D25" s="140">
        <f>IF(Cover!C23="Scheme pipeline","-",SUM(D21:D24))</f>
        <v>363686237.09509224</v>
      </c>
      <c r="E25" s="140">
        <f>SUM(E21:E24)</f>
        <v>352710439.37366194</v>
      </c>
    </row>
    <row r="26" spans="2:7" x14ac:dyDescent="0.2">
      <c r="B26" s="389"/>
      <c r="C26" s="59" t="s">
        <v>549</v>
      </c>
      <c r="D26" s="141"/>
      <c r="E26" s="141"/>
      <c r="G26" s="171"/>
    </row>
    <row r="27" spans="2:7" x14ac:dyDescent="0.2">
      <c r="B27" s="392" t="s">
        <v>955</v>
      </c>
      <c r="C27" s="58" t="s">
        <v>585</v>
      </c>
      <c r="D27" s="140">
        <f>IF(Cover!C23="Scheme pipeline","-",SUMIF('3.5 Depreciation amortisation'!$D$15:$D$58,'3.1 Depreciated Book Value'!C26,'3.5 Depreciation amortisation'!$H$15:$H$58))</f>
        <v>307625415.03999996</v>
      </c>
      <c r="E27" s="77">
        <v>209749291.34</v>
      </c>
      <c r="G27" s="171"/>
    </row>
    <row r="28" spans="2:7" x14ac:dyDescent="0.2">
      <c r="B28" s="392" t="s">
        <v>955</v>
      </c>
      <c r="C28" s="58" t="s">
        <v>52</v>
      </c>
      <c r="D28" s="140">
        <f>IF(Cover!C23="Scheme pipeline","-",SUMIF('3.5 Depreciation amortisation'!$D$15:$D$58,'3.1 Depreciated Book Value'!C26,'3.5 Depreciation amortisation'!$I$15:$I$58))</f>
        <v>1619348.669999999</v>
      </c>
      <c r="E28" s="77">
        <v>97876123.699999988</v>
      </c>
      <c r="G28" s="171"/>
    </row>
    <row r="29" spans="2:7" x14ac:dyDescent="0.2">
      <c r="B29" s="392" t="s">
        <v>955</v>
      </c>
      <c r="C29" s="58" t="s">
        <v>227</v>
      </c>
      <c r="D29" s="140">
        <f>IF(Cover!C23="Scheme pipeline","-",SUMIF('3.5 Depreciation amortisation'!$D$15:$D$58,'3.1 Depreciated Book Value'!C26,'3.5 Depreciation amortisation'!$J$15:$J$58))</f>
        <v>0</v>
      </c>
      <c r="E29" s="77">
        <v>0</v>
      </c>
      <c r="G29" s="171"/>
    </row>
    <row r="30" spans="2:7" x14ac:dyDescent="0.2">
      <c r="B30" s="392" t="s">
        <v>955</v>
      </c>
      <c r="C30" s="58" t="s">
        <v>564</v>
      </c>
      <c r="D30" s="140">
        <f>IF(Cover!C23="Scheme pipeline","-",-ABS(SUMIF('3.5 Depreciation amortisation'!$D$15:$D$58,'3.1 Depreciated Book Value'!C26,'3.5 Depreciation amortisation'!$O$15:$O$58)+SUMIF('3.5 Depreciation amortisation'!$D$15:$D$58,'3.1 Depreciated Book Value'!C26,'3.5 Depreciation amortisation'!$P$15:$P$58))-D31)</f>
        <v>-93933724.884407029</v>
      </c>
      <c r="E30" s="77">
        <v>-79337259.000000015</v>
      </c>
      <c r="F30" s="258"/>
      <c r="G30" s="171"/>
    </row>
    <row r="31" spans="2:7" x14ac:dyDescent="0.2">
      <c r="B31" s="392" t="s">
        <v>955</v>
      </c>
      <c r="C31" s="58" t="s">
        <v>565</v>
      </c>
      <c r="D31" s="140">
        <f>IF(Cover!C23="Scheme pipeline","-",-ABS(SUMIF('3.4 Asset impairment'!$C$10:$C$24,'3.1 Depreciated Book Value'!C26,'3.4 Asset impairment'!$D$10:$D$24))+SUMIF('3.4 Asset impairment'!$C$30:$C$56,C26,'3.4 Asset impairment'!$G$30:$G$56))</f>
        <v>0</v>
      </c>
      <c r="E31" s="77"/>
      <c r="F31" s="258"/>
      <c r="G31" s="171"/>
    </row>
    <row r="32" spans="2:7" ht="11.25" customHeight="1" x14ac:dyDescent="0.2">
      <c r="B32" s="392" t="s">
        <v>955</v>
      </c>
      <c r="C32" s="58" t="s">
        <v>236</v>
      </c>
      <c r="D32" s="140">
        <f>IF(Cover!C23="Scheme pipeline","-",SUMIF('3.5 Depreciation amortisation'!$D$15:$D$58,'3.1 Depreciated Book Value'!C26,'3.5 Depreciation amortisation'!$K$15:$K$58))</f>
        <v>0</v>
      </c>
      <c r="E32" s="77">
        <v>0</v>
      </c>
      <c r="G32" s="171"/>
    </row>
    <row r="33" spans="2:7" x14ac:dyDescent="0.2">
      <c r="B33" s="389"/>
      <c r="C33" s="95" t="s">
        <v>60</v>
      </c>
      <c r="D33" s="140">
        <f>IF(Cover!C23="Scheme pipeline","-",SUM(D27:D32))</f>
        <v>215311038.82559294</v>
      </c>
      <c r="E33" s="140">
        <f>SUM(E27:E32)</f>
        <v>228288156.03999996</v>
      </c>
      <c r="G33" s="171"/>
    </row>
    <row r="34" spans="2:7" x14ac:dyDescent="0.2">
      <c r="B34" s="298"/>
      <c r="C34" s="59" t="s">
        <v>550</v>
      </c>
      <c r="D34" s="141"/>
      <c r="E34" s="141"/>
      <c r="G34" s="170"/>
    </row>
    <row r="35" spans="2:7" x14ac:dyDescent="0.2">
      <c r="B35" s="392" t="s">
        <v>955</v>
      </c>
      <c r="C35" s="58" t="s">
        <v>585</v>
      </c>
      <c r="D35" s="140">
        <f>IF(Cover!C23="Scheme pipeline","-",SUMIF('3.5 Depreciation amortisation'!$D$15:$D$58,'3.1 Depreciated Book Value'!C34,'3.5 Depreciation amortisation'!$H$15:$H$58))</f>
        <v>30258550.389999997</v>
      </c>
      <c r="E35" s="77">
        <v>27776596.979999997</v>
      </c>
    </row>
    <row r="36" spans="2:7" x14ac:dyDescent="0.2">
      <c r="B36" s="392" t="s">
        <v>955</v>
      </c>
      <c r="C36" s="58" t="s">
        <v>52</v>
      </c>
      <c r="D36" s="140">
        <f>IF(Cover!C23="Scheme pipeline","-",SUMIF('3.5 Depreciation amortisation'!$D$15:$D$58,'3.1 Depreciated Book Value'!C34,'3.5 Depreciation amortisation'!$I$15:$I$58))</f>
        <v>10105666.26</v>
      </c>
      <c r="E36" s="77">
        <v>2481953.41</v>
      </c>
    </row>
    <row r="37" spans="2:7" x14ac:dyDescent="0.2">
      <c r="B37" s="392" t="s">
        <v>955</v>
      </c>
      <c r="C37" s="58" t="s">
        <v>227</v>
      </c>
      <c r="D37" s="140">
        <f>IF(Cover!C23="Scheme pipeline","-",SUMIF('3.5 Depreciation amortisation'!$D$15:$D$58,'3.1 Depreciated Book Value'!C34,'3.5 Depreciation amortisation'!$J$15:$J$58))</f>
        <v>0</v>
      </c>
      <c r="E37" s="77">
        <v>0</v>
      </c>
    </row>
    <row r="38" spans="2:7" x14ac:dyDescent="0.2">
      <c r="B38" s="392" t="s">
        <v>955</v>
      </c>
      <c r="C38" s="58" t="s">
        <v>564</v>
      </c>
      <c r="D38" s="140">
        <f>IF(Cover!C23="Scheme pipeline","-",-ABS(SUMIF('3.5 Depreciation amortisation'!$D$15:$D$58,'3.1 Depreciated Book Value'!C34,'3.5 Depreciation amortisation'!$O$15:$O$58)+SUMIF('3.5 Depreciation amortisation'!$D$15:$D$58,'3.1 Depreciated Book Value'!C34,'3.5 Depreciation amortisation'!$P$15:$P$58))-D39)</f>
        <v>-7609012.1570931878</v>
      </c>
      <c r="E38" s="77">
        <v>-5546633.4300000016</v>
      </c>
      <c r="F38" s="258"/>
    </row>
    <row r="39" spans="2:7" x14ac:dyDescent="0.2">
      <c r="B39" s="392" t="s">
        <v>955</v>
      </c>
      <c r="C39" s="58" t="s">
        <v>565</v>
      </c>
      <c r="D39" s="140">
        <f>IF(Cover!C23="Scheme pipeline","-",-ABS(SUMIF('3.4 Asset impairment'!$C$10:$C$24,'3.1 Depreciated Book Value'!C34,'3.4 Asset impairment'!$D$10:$D$24))+SUMIF('3.4 Asset impairment'!$C$30:$C$56,'3.1 Depreciated Book Value'!C34,'3.4 Asset impairment'!$G$30:$G$56))</f>
        <v>0</v>
      </c>
      <c r="E39" s="77"/>
      <c r="F39" s="258"/>
    </row>
    <row r="40" spans="2:7" ht="11.25" customHeight="1" x14ac:dyDescent="0.2">
      <c r="B40" s="392" t="s">
        <v>955</v>
      </c>
      <c r="C40" s="58" t="s">
        <v>236</v>
      </c>
      <c r="D40" s="140">
        <f>IF(Cover!C23="Scheme pipeline","-",SUMIF('3.5 Depreciation amortisation'!$D$15:$D$58,'3.1 Depreciated Book Value'!C34,'3.5 Depreciation amortisation'!$K$15:$K$58))</f>
        <v>0</v>
      </c>
      <c r="E40" s="77">
        <v>0</v>
      </c>
    </row>
    <row r="41" spans="2:7" x14ac:dyDescent="0.2">
      <c r="B41" s="298"/>
      <c r="C41" s="95" t="s">
        <v>88</v>
      </c>
      <c r="D41" s="140">
        <f>SUM(D35:D40)</f>
        <v>32755204.492906809</v>
      </c>
      <c r="E41" s="140">
        <f>SUM(E35:E40)</f>
        <v>24711916.959999993</v>
      </c>
    </row>
    <row r="42" spans="2:7" x14ac:dyDescent="0.2">
      <c r="B42" s="298"/>
      <c r="C42" s="59" t="s">
        <v>551</v>
      </c>
      <c r="D42" s="141"/>
      <c r="E42" s="141"/>
    </row>
    <row r="43" spans="2:7" x14ac:dyDescent="0.2">
      <c r="B43" s="392" t="s">
        <v>955</v>
      </c>
      <c r="C43" s="58" t="s">
        <v>585</v>
      </c>
      <c r="D43" s="140">
        <f>IF(Cover!C23="Scheme pipeline","-",SUMIF('3.5 Depreciation amortisation'!$D$15:$D$58,'3.1 Depreciated Book Value'!C42,'3.5 Depreciation amortisation'!$H$15:$H$58))</f>
        <v>8476747.8399999999</v>
      </c>
      <c r="E43" s="77">
        <v>7892152.6399999997</v>
      </c>
    </row>
    <row r="44" spans="2:7" x14ac:dyDescent="0.2">
      <c r="B44" s="392" t="s">
        <v>955</v>
      </c>
      <c r="C44" s="58" t="s">
        <v>230</v>
      </c>
      <c r="D44" s="140">
        <f>IF(Cover!C23="Scheme pipeline","-",SUMIF('3.5 Depreciation amortisation'!$D$15:$D$58,'3.1 Depreciated Book Value'!C42,'3.5 Depreciation amortisation'!$I$15:$I$58))</f>
        <v>6716244.5300000003</v>
      </c>
      <c r="E44" s="77">
        <v>584595.20000000007</v>
      </c>
    </row>
    <row r="45" spans="2:7" x14ac:dyDescent="0.2">
      <c r="B45" s="392" t="s">
        <v>955</v>
      </c>
      <c r="C45" s="58" t="s">
        <v>227</v>
      </c>
      <c r="D45" s="140">
        <f>IF(Cover!C23="Scheme pipeline","-",SUMIF('3.5 Depreciation amortisation'!$D$15:$D$58,'3.1 Depreciated Book Value'!C42,'3.5 Depreciation amortisation'!$J$15:$J$58))</f>
        <v>0</v>
      </c>
      <c r="E45" s="77">
        <v>0</v>
      </c>
    </row>
    <row r="46" spans="2:7" x14ac:dyDescent="0.2">
      <c r="B46" s="392" t="s">
        <v>955</v>
      </c>
      <c r="C46" s="58" t="s">
        <v>564</v>
      </c>
      <c r="D46" s="140">
        <f>IF(Cover!C23="Scheme pipeline","-",-ABS(SUMIF('3.5 Depreciation amortisation'!$D$15:$D$58,'3.1 Depreciated Book Value'!C42,'3.5 Depreciation amortisation'!$O$15:$O$58)+SUMIF('3.5 Depreciation amortisation'!$D$15:$D$58,'3.1 Depreciated Book Value'!C42,'3.5 Depreciation amortisation'!$P$15:$P$58))-D47)</f>
        <v>-3302668.9931285605</v>
      </c>
      <c r="E46" s="77">
        <v>-2885006.5699999994</v>
      </c>
      <c r="F46" s="258"/>
    </row>
    <row r="47" spans="2:7" x14ac:dyDescent="0.2">
      <c r="B47" s="392" t="s">
        <v>955</v>
      </c>
      <c r="C47" s="58" t="s">
        <v>565</v>
      </c>
      <c r="D47" s="140">
        <f>IF(Cover!C23="Scheme pipeline","-",-ABS(SUMIF('3.4 Asset impairment'!$C$10:$C$24,'3.1 Depreciated Book Value'!C42,'3.4 Asset impairment'!$D$10:$D$24))+SUMIF('3.4 Asset impairment'!$C$30:$C$56,'3.1 Depreciated Book Value'!C42,'3.4 Asset impairment'!$G$30:$G$56))</f>
        <v>0</v>
      </c>
      <c r="E47" s="77"/>
      <c r="F47" s="258"/>
    </row>
    <row r="48" spans="2:7" ht="11.25" customHeight="1" x14ac:dyDescent="0.2">
      <c r="B48" s="392" t="s">
        <v>955</v>
      </c>
      <c r="C48" s="58" t="s">
        <v>236</v>
      </c>
      <c r="D48" s="140">
        <f>IF(Cover!C23="Scheme pipeline","-",SUMIF('3.5 Depreciation amortisation'!$D$15:$D$58,'3.1 Depreciated Book Value'!C42,'3.5 Depreciation amortisation'!$K$15:$K$58))</f>
        <v>0</v>
      </c>
      <c r="E48" s="77">
        <v>0</v>
      </c>
    </row>
    <row r="49" spans="2:6" x14ac:dyDescent="0.2">
      <c r="B49" s="298"/>
      <c r="C49" s="95" t="s">
        <v>231</v>
      </c>
      <c r="D49" s="140">
        <f>SUM(D43:D48)</f>
        <v>11890323.376871441</v>
      </c>
      <c r="E49" s="140">
        <f>SUM(E43:E48)</f>
        <v>5591741.2700000005</v>
      </c>
    </row>
    <row r="50" spans="2:6" x14ac:dyDescent="0.2">
      <c r="B50" s="298"/>
      <c r="C50" s="59" t="s">
        <v>552</v>
      </c>
      <c r="D50" s="141"/>
      <c r="E50" s="141"/>
    </row>
    <row r="51" spans="2:6" x14ac:dyDescent="0.2">
      <c r="B51" s="392" t="s">
        <v>955</v>
      </c>
      <c r="C51" s="58" t="s">
        <v>585</v>
      </c>
      <c r="D51" s="140">
        <f>IF(Cover!C23="Scheme pipeline","-",SUMIF('3.5 Depreciation amortisation'!$D$15:$D$58,'3.1 Depreciated Book Value'!C50,'3.5 Depreciation amortisation'!$H$15:$H$58))</f>
        <v>906504.53</v>
      </c>
      <c r="E51" s="77">
        <v>906504.53</v>
      </c>
    </row>
    <row r="52" spans="2:6" x14ac:dyDescent="0.2">
      <c r="B52" s="392" t="s">
        <v>955</v>
      </c>
      <c r="C52" s="58" t="s">
        <v>52</v>
      </c>
      <c r="D52" s="140">
        <f>IF(Cover!C23="Scheme pipeline","-",SUMIF('3.5 Depreciation amortisation'!$D$15:$D$58,'3.1 Depreciated Book Value'!C50,'3.5 Depreciation amortisation'!$I$15:$I$58))</f>
        <v>2727179.3</v>
      </c>
      <c r="E52" s="77">
        <v>0</v>
      </c>
    </row>
    <row r="53" spans="2:6" x14ac:dyDescent="0.2">
      <c r="B53" s="392" t="s">
        <v>955</v>
      </c>
      <c r="C53" s="58" t="s">
        <v>227</v>
      </c>
      <c r="D53" s="140">
        <f>IF(Cover!C23="Scheme pipeline","-",SUMIF('3.5 Depreciation amortisation'!$D$15:$D$58,'3.1 Depreciated Book Value'!C50,'3.5 Depreciation amortisation'!$J$15:$J$58))</f>
        <v>0</v>
      </c>
      <c r="E53" s="77">
        <v>0</v>
      </c>
    </row>
    <row r="54" spans="2:6" x14ac:dyDescent="0.2">
      <c r="B54" s="392" t="s">
        <v>955</v>
      </c>
      <c r="C54" s="58" t="s">
        <v>564</v>
      </c>
      <c r="D54" s="140">
        <f>IF(Cover!C23="Scheme pipeline","-",-ABS(SUMIF('3.5 Depreciation amortisation'!$D$15:$D$58,'3.1 Depreciated Book Value'!C50,'3.5 Depreciation amortisation'!$O$15:$O$58)+SUMIF('3.5 Depreciation amortisation'!$D$15:$D$58,'3.1 Depreciated Book Value'!C50,'3.5 Depreciation amortisation'!$P$15:$P$58))-D55)</f>
        <v>-512428.81616438355</v>
      </c>
      <c r="E54" s="77">
        <v>-456301.55</v>
      </c>
      <c r="F54" s="258"/>
    </row>
    <row r="55" spans="2:6" x14ac:dyDescent="0.2">
      <c r="B55" s="392" t="s">
        <v>955</v>
      </c>
      <c r="C55" s="58" t="s">
        <v>565</v>
      </c>
      <c r="D55" s="140">
        <f>IF(Cover!C23="Scheme pipeline","-",-ABS(SUMIF('3.4 Asset impairment'!$C$10:$C$24,'3.1 Depreciated Book Value'!C50,'3.4 Asset impairment'!$D$10:$D$24))+SUMIF('3.4 Asset impairment'!$C$30:$C$56,'3.1 Depreciated Book Value'!C50,'3.4 Asset impairment'!$G$30:$G$56))</f>
        <v>0</v>
      </c>
      <c r="E55" s="77"/>
      <c r="F55" s="258"/>
    </row>
    <row r="56" spans="2:6" ht="11.25" customHeight="1" x14ac:dyDescent="0.2">
      <c r="B56" s="392" t="s">
        <v>955</v>
      </c>
      <c r="C56" s="58" t="s">
        <v>236</v>
      </c>
      <c r="D56" s="140">
        <f>IF(Cover!C23="Scheme pipeline","-",SUMIF('3.5 Depreciation amortisation'!$D$15:$D$58,'3.1 Depreciated Book Value'!C50,'3.5 Depreciation amortisation'!$K$15:$K$58))</f>
        <v>0</v>
      </c>
      <c r="E56" s="77">
        <v>0</v>
      </c>
    </row>
    <row r="57" spans="2:6" x14ac:dyDescent="0.2">
      <c r="B57" s="298"/>
      <c r="C57" s="95" t="s">
        <v>371</v>
      </c>
      <c r="D57" s="140">
        <f>SUM(D51:D56)</f>
        <v>3121255.0138356164</v>
      </c>
      <c r="E57" s="140">
        <f>SUM(E51:E56)</f>
        <v>450202.98000000004</v>
      </c>
    </row>
    <row r="58" spans="2:6" x14ac:dyDescent="0.2">
      <c r="B58" s="298"/>
      <c r="C58" s="59" t="s">
        <v>553</v>
      </c>
      <c r="D58" s="141"/>
      <c r="E58" s="141"/>
    </row>
    <row r="59" spans="2:6" x14ac:dyDescent="0.2">
      <c r="B59" s="392" t="s">
        <v>955</v>
      </c>
      <c r="C59" s="58" t="s">
        <v>585</v>
      </c>
      <c r="D59" s="140">
        <f>IF(Cover!C23="Scheme pipeline","-",SUMIF('3.5 Depreciation amortisation'!$D$15:$D$58,'3.1 Depreciated Book Value'!C58,'3.5 Depreciation amortisation'!$H$15:$H$58))</f>
        <v>6113254.799999998</v>
      </c>
      <c r="E59" s="77">
        <v>5680354.6499999976</v>
      </c>
    </row>
    <row r="60" spans="2:6" x14ac:dyDescent="0.2">
      <c r="B60" s="392" t="s">
        <v>955</v>
      </c>
      <c r="C60" s="58" t="s">
        <v>52</v>
      </c>
      <c r="D60" s="140">
        <f>IF(Cover!C23="Scheme pipeline","-",SUMIF('3.5 Depreciation amortisation'!$D$15:$D$58,'3.1 Depreciated Book Value'!C58,'3.5 Depreciation amortisation'!$I$15:$I$58))</f>
        <v>-653147.86</v>
      </c>
      <c r="E60" s="77">
        <v>432900.14999999997</v>
      </c>
    </row>
    <row r="61" spans="2:6" x14ac:dyDescent="0.2">
      <c r="B61" s="392" t="s">
        <v>955</v>
      </c>
      <c r="C61" s="58" t="s">
        <v>227</v>
      </c>
      <c r="D61" s="140">
        <f>IF(Cover!C23="Scheme pipeline","-",SUMIF('3.5 Depreciation amortisation'!$D$15:$D$58,'3.1 Depreciated Book Value'!C58,'3.5 Depreciation amortisation'!$J$15:$J$58))</f>
        <v>0</v>
      </c>
      <c r="E61" s="77">
        <v>0</v>
      </c>
    </row>
    <row r="62" spans="2:6" ht="11.25" customHeight="1" x14ac:dyDescent="0.2">
      <c r="B62" s="392" t="s">
        <v>955</v>
      </c>
      <c r="C62" s="58" t="s">
        <v>564</v>
      </c>
      <c r="D62" s="140">
        <f>IF(Cover!C23="Scheme pipeline","-",-ABS(SUMIF('3.5 Depreciation amortisation'!$D$15:$D$58,'3.1 Depreciated Book Value'!C58,'3.5 Depreciation amortisation'!$O$15:$O$58)+SUMIF('3.5 Depreciation amortisation'!$D$15:$D$58,'3.1 Depreciated Book Value'!C58,'3.5 Depreciation amortisation'!$P$15:$P$58))-D63)</f>
        <v>-3600004.0200000014</v>
      </c>
      <c r="E62" s="77">
        <v>-3215848.3000000017</v>
      </c>
      <c r="F62" s="258"/>
    </row>
    <row r="63" spans="2:6" ht="11.25" customHeight="1" x14ac:dyDescent="0.2">
      <c r="B63" s="392" t="s">
        <v>955</v>
      </c>
      <c r="C63" s="58" t="s">
        <v>565</v>
      </c>
      <c r="D63" s="140">
        <f>IF(Cover!C23="Scheme pipeline","-",-ABS(SUMIF('3.4 Asset impairment'!$C$10:$C$24,'3.1 Depreciated Book Value'!C58,'3.4 Asset impairment'!$D$10:$D$24))+SUMIF('3.4 Asset impairment'!$C$30:$C$56,'3.1 Depreciated Book Value'!C58,'3.4 Asset impairment'!$G$30:$G$56))</f>
        <v>0</v>
      </c>
      <c r="E63" s="77"/>
      <c r="F63" s="258"/>
    </row>
    <row r="64" spans="2:6" ht="11.25" customHeight="1" x14ac:dyDescent="0.2">
      <c r="B64" s="392" t="s">
        <v>955</v>
      </c>
      <c r="C64" s="58" t="s">
        <v>236</v>
      </c>
      <c r="D64" s="140">
        <f>IF(Cover!C23="Scheme pipeline","-",SUMIF('3.5 Depreciation amortisation'!$D$15:$D$58,'3.1 Depreciated Book Value'!C58,'3.5 Depreciation amortisation'!$K$15:$K$58))</f>
        <v>0</v>
      </c>
      <c r="E64" s="77">
        <v>0</v>
      </c>
    </row>
    <row r="65" spans="2:6" x14ac:dyDescent="0.2">
      <c r="B65" s="298"/>
      <c r="C65" s="95" t="s">
        <v>89</v>
      </c>
      <c r="D65" s="140">
        <f>SUM(D59:D64)</f>
        <v>1860102.9199999962</v>
      </c>
      <c r="E65" s="140">
        <f>SUM(E59:E64)</f>
        <v>2897406.4999999963</v>
      </c>
    </row>
    <row r="66" spans="2:6" x14ac:dyDescent="0.2">
      <c r="B66" s="298"/>
      <c r="C66" s="59" t="s">
        <v>554</v>
      </c>
      <c r="D66" s="141"/>
      <c r="E66" s="141"/>
    </row>
    <row r="67" spans="2:6" x14ac:dyDescent="0.2">
      <c r="B67" s="392" t="s">
        <v>955</v>
      </c>
      <c r="C67" s="58" t="s">
        <v>585</v>
      </c>
      <c r="D67" s="140">
        <f>IF(Cover!C23="Scheme pipeline","-",SUMIF('3.5 Depreciation amortisation'!$D$15:$D$58,'3.1 Depreciated Book Value'!C66,'3.5 Depreciation amortisation'!$H$15:$H$58))</f>
        <v>6508408.75</v>
      </c>
      <c r="E67" s="77">
        <v>2970347.16</v>
      </c>
    </row>
    <row r="68" spans="2:6" x14ac:dyDescent="0.2">
      <c r="B68" s="392" t="s">
        <v>955</v>
      </c>
      <c r="C68" s="58" t="s">
        <v>52</v>
      </c>
      <c r="D68" s="140">
        <f>IF(Cover!C23="Scheme pipeline","-",SUMIF('3.5 Depreciation amortisation'!$D$15:$D$58,'3.1 Depreciated Book Value'!C66,'3.5 Depreciation amortisation'!$I$15:$I$58))</f>
        <v>279519</v>
      </c>
      <c r="E68" s="77">
        <v>3538061.59</v>
      </c>
    </row>
    <row r="69" spans="2:6" x14ac:dyDescent="0.2">
      <c r="B69" s="392" t="s">
        <v>955</v>
      </c>
      <c r="C69" s="58" t="s">
        <v>227</v>
      </c>
      <c r="D69" s="140">
        <f>IF(Cover!C23="Scheme pipeline","-",SUMIF('3.5 Depreciation amortisation'!$D$15:$D$58,'3.1 Depreciated Book Value'!C66,'3.5 Depreciation amortisation'!$J$15:$J$58))</f>
        <v>0</v>
      </c>
      <c r="E69" s="77">
        <v>0</v>
      </c>
    </row>
    <row r="70" spans="2:6" x14ac:dyDescent="0.2">
      <c r="B70" s="392" t="s">
        <v>955</v>
      </c>
      <c r="C70" s="58" t="s">
        <v>564</v>
      </c>
      <c r="D70" s="140">
        <f>IF(Cover!C23="Scheme pipeline","-",-ABS(SUMIF('3.5 Depreciation amortisation'!$D$15:$D$58,'3.1 Depreciated Book Value'!C66,'3.5 Depreciation amortisation'!$O$15:$O$58)+SUMIF('3.5 Depreciation amortisation'!$D$15:$D$58,'3.1 Depreciated Book Value'!C66,'3.5 Depreciation amortisation'!$P$15:$P$58))-D71)</f>
        <v>-1851770.2214199312</v>
      </c>
      <c r="E70" s="77">
        <v>-1644398.4500000002</v>
      </c>
      <c r="F70" s="258"/>
    </row>
    <row r="71" spans="2:6" x14ac:dyDescent="0.2">
      <c r="B71" s="392" t="s">
        <v>955</v>
      </c>
      <c r="C71" s="58" t="s">
        <v>565</v>
      </c>
      <c r="D71" s="140">
        <f>IF(Cover!C23="Scheme pipeline","-",-ABS(SUMIF('3.4 Asset impairment'!$C$10:$C$24,'3.1 Depreciated Book Value'!C66,'3.4 Asset impairment'!$D$10:$D$24))+SUMIF('3.4 Asset impairment'!$C$30:$C$56,'3.1 Depreciated Book Value'!C66,'3.4 Asset impairment'!$G$30:$G$56))</f>
        <v>0</v>
      </c>
      <c r="E71" s="77"/>
      <c r="F71" s="258"/>
    </row>
    <row r="72" spans="2:6" ht="11.25" customHeight="1" x14ac:dyDescent="0.2">
      <c r="B72" s="392" t="s">
        <v>955</v>
      </c>
      <c r="C72" s="58" t="s">
        <v>236</v>
      </c>
      <c r="D72" s="140">
        <f>IF(Cover!C23="Scheme pipeline","-",SUMIF('3.5 Depreciation amortisation'!$D$15:$D$58,'3.1 Depreciated Book Value'!C66,'3.5 Depreciation amortisation'!$K$15:$K$58))</f>
        <v>0</v>
      </c>
      <c r="E72" s="77">
        <v>0</v>
      </c>
    </row>
    <row r="73" spans="2:6" x14ac:dyDescent="0.2">
      <c r="B73" s="298"/>
      <c r="C73" s="95" t="s">
        <v>61</v>
      </c>
      <c r="D73" s="140">
        <f>SUM(D67:D72)</f>
        <v>4936157.5285800686</v>
      </c>
      <c r="E73" s="140">
        <f>SUM(E67:E72)</f>
        <v>4864010.3</v>
      </c>
    </row>
    <row r="74" spans="2:6" x14ac:dyDescent="0.2">
      <c r="B74" s="298"/>
      <c r="C74" s="59" t="s">
        <v>90</v>
      </c>
      <c r="D74" s="141"/>
      <c r="E74" s="141"/>
    </row>
    <row r="75" spans="2:6" x14ac:dyDescent="0.2">
      <c r="B75" s="392" t="s">
        <v>955</v>
      </c>
      <c r="C75" s="58" t="s">
        <v>585</v>
      </c>
      <c r="D75" s="140">
        <f>IF(Cover!C23="Scheme pipeline","-",SUMIF('3.5 Depreciation amortisation'!$D$15:$D$58,'3.1 Depreciated Book Value'!C74,'3.5 Depreciation amortisation'!$H$15:$H$58))</f>
        <v>1215942.4700000002</v>
      </c>
      <c r="E75" s="77">
        <v>1215942.4700000002</v>
      </c>
    </row>
    <row r="76" spans="2:6" x14ac:dyDescent="0.2">
      <c r="B76" s="392" t="s">
        <v>955</v>
      </c>
      <c r="C76" s="58" t="s">
        <v>52</v>
      </c>
      <c r="D76" s="140">
        <f>IF(Cover!C23="Scheme pipeline","-",SUMIF('3.5 Depreciation amortisation'!$D$15:$D$58,'3.1 Depreciated Book Value'!C74,'3.5 Depreciation amortisation'!$I$15:$I$58))</f>
        <v>6346459</v>
      </c>
      <c r="E76" s="77">
        <v>0</v>
      </c>
    </row>
    <row r="77" spans="2:6" x14ac:dyDescent="0.2">
      <c r="B77" s="392" t="s">
        <v>955</v>
      </c>
      <c r="C77" s="58" t="s">
        <v>227</v>
      </c>
      <c r="D77" s="140">
        <f>IF(Cover!C23="Scheme pipeline","-",SUMIF('3.5 Depreciation amortisation'!$D$15:$D$58,'3.1 Depreciated Book Value'!C74,'3.5 Depreciation amortisation'!$J$15:$J$58))</f>
        <v>0</v>
      </c>
      <c r="E77" s="77">
        <v>0</v>
      </c>
    </row>
    <row r="78" spans="2:6" x14ac:dyDescent="0.2">
      <c r="B78" s="392" t="s">
        <v>955</v>
      </c>
      <c r="C78" s="58" t="s">
        <v>565</v>
      </c>
      <c r="D78" s="140">
        <f>IF(Cover!C23="Scheme pipeline","-",-ABS(SUMIF('3.4 Asset impairment'!$C$10:$C$24,'3.1 Depreciated Book Value'!C74,'3.4 Asset impairment'!$D$10:$D$24))+SUMIF('3.4 Asset impairment'!$C$30:$C$56,'3.1 Depreciated Book Value'!C74,'3.4 Asset impairment'!$G$30:$G$56))</f>
        <v>0</v>
      </c>
      <c r="E78" s="77"/>
    </row>
    <row r="79" spans="2:6" ht="11.25" customHeight="1" x14ac:dyDescent="0.2">
      <c r="B79" s="392" t="s">
        <v>955</v>
      </c>
      <c r="C79" s="58" t="s">
        <v>236</v>
      </c>
      <c r="D79" s="140">
        <f>IF(Cover!C23="Scheme pipeline","-",SUMIF('3.5 Depreciation amortisation'!$D$15:$D$58,'3.1 Depreciated Book Value'!C74,'3.5 Depreciation amortisation'!$K$15:$K$58))</f>
        <v>0</v>
      </c>
      <c r="E79" s="77">
        <v>0</v>
      </c>
    </row>
    <row r="80" spans="2:6" x14ac:dyDescent="0.2">
      <c r="B80" s="298"/>
      <c r="C80" s="95" t="s">
        <v>91</v>
      </c>
      <c r="D80" s="140">
        <f>SUM(D75:D79)</f>
        <v>7562401.4700000007</v>
      </c>
      <c r="E80" s="140">
        <f>SUM(E75:E79)</f>
        <v>1215942.4700000002</v>
      </c>
    </row>
    <row r="81" spans="2:8" x14ac:dyDescent="0.2">
      <c r="B81" s="298"/>
      <c r="C81" s="59" t="s">
        <v>132</v>
      </c>
      <c r="D81" s="141"/>
      <c r="E81" s="141"/>
      <c r="G81" s="279"/>
      <c r="H81" s="279"/>
    </row>
    <row r="82" spans="2:8" s="279" customFormat="1" x14ac:dyDescent="0.2">
      <c r="B82" s="392" t="s">
        <v>955</v>
      </c>
      <c r="C82" s="58" t="s">
        <v>585</v>
      </c>
      <c r="D82" s="140">
        <f>IF(Cover!C23="Scheme pipeline","-",SUMIF('3.5 Depreciation amortisation'!$D$15:$D$58,'3.1 Depreciated Book Value'!C81,'3.5 Depreciation amortisation'!$H$15:$H$58))</f>
        <v>25167198.019999996</v>
      </c>
      <c r="E82" s="142">
        <v>24007172.849999998</v>
      </c>
      <c r="F82" s="280"/>
    </row>
    <row r="83" spans="2:8" s="279" customFormat="1" x14ac:dyDescent="0.2">
      <c r="B83" s="392" t="s">
        <v>955</v>
      </c>
      <c r="C83" s="58" t="s">
        <v>52</v>
      </c>
      <c r="D83" s="140">
        <f>IF(Cover!C23="Scheme pipeline","-",SUMIF('3.5 Depreciation amortisation'!$D$15:$D$58,'3.1 Depreciated Book Value'!C81,'3.5 Depreciation amortisation'!$I$15:$I$58))</f>
        <v>18438011.089999996</v>
      </c>
      <c r="E83" s="142">
        <v>1160025.1699999997</v>
      </c>
      <c r="F83" s="280"/>
    </row>
    <row r="84" spans="2:8" s="279" customFormat="1" x14ac:dyDescent="0.2">
      <c r="B84" s="392" t="s">
        <v>955</v>
      </c>
      <c r="C84" s="58" t="s">
        <v>227</v>
      </c>
      <c r="D84" s="140">
        <f>IF(Cover!C23="Scheme pipeline","-",SUMIF('3.5 Depreciation amortisation'!$D$15:$D$58,'3.1 Depreciated Book Value'!C81,'3.5 Depreciation amortisation'!$J$15:$J$58))</f>
        <v>0</v>
      </c>
      <c r="E84" s="142">
        <v>0</v>
      </c>
      <c r="F84" s="280"/>
    </row>
    <row r="85" spans="2:8" s="279" customFormat="1" x14ac:dyDescent="0.2">
      <c r="B85" s="392" t="s">
        <v>955</v>
      </c>
      <c r="C85" s="58" t="s">
        <v>564</v>
      </c>
      <c r="D85" s="140">
        <f>IF(Cover!C23="Scheme pipeline","-",-ABS(SUMIF('3.5 Depreciation amortisation'!$D$15:$D$58,'3.1 Depreciated Book Value'!C81,'3.5 Depreciation amortisation'!$O$15:$O$58)+SUMIF('3.5 Depreciation amortisation'!$D$15:$D$58,'3.1 Depreciated Book Value'!C81,'3.5 Depreciation amortisation'!$P$15:$P$58))-D86)</f>
        <v>-21558576.121410247</v>
      </c>
      <c r="E85" s="142">
        <v>-17904161.439999994</v>
      </c>
      <c r="F85" s="280"/>
    </row>
    <row r="86" spans="2:8" s="279" customFormat="1" x14ac:dyDescent="0.2">
      <c r="B86" s="392" t="s">
        <v>955</v>
      </c>
      <c r="C86" s="58" t="s">
        <v>565</v>
      </c>
      <c r="D86" s="140">
        <f>IF(Cover!C23="Scheme pipeline","-",-ABS(SUMIF('3.4 Asset impairment'!$C$10:$C$24,'3.1 Depreciated Book Value'!C81,'3.4 Asset impairment'!$D$10:$D$24))+SUMIF('3.4 Asset impairment'!$C$30:$C$56,'3.1 Depreciated Book Value'!C81,'3.4 Asset impairment'!$G$30:$G$56))</f>
        <v>0</v>
      </c>
      <c r="E86" s="142"/>
      <c r="F86" s="280"/>
    </row>
    <row r="87" spans="2:8" s="279" customFormat="1" x14ac:dyDescent="0.2">
      <c r="B87" s="392" t="s">
        <v>955</v>
      </c>
      <c r="C87" s="58" t="s">
        <v>236</v>
      </c>
      <c r="D87" s="140">
        <f>IF(Cover!C23="Scheme pipeline","-",SUMIF('3.5 Depreciation amortisation'!$D$15:$D$58,'3.1 Depreciated Book Value'!C81,'3.5 Depreciation amortisation'!$K$15:$K$58))</f>
        <v>0</v>
      </c>
      <c r="E87" s="142">
        <v>0</v>
      </c>
      <c r="G87" s="4"/>
      <c r="H87" s="4"/>
    </row>
    <row r="88" spans="2:8" x14ac:dyDescent="0.2">
      <c r="B88" s="298"/>
      <c r="C88" s="95" t="s">
        <v>133</v>
      </c>
      <c r="D88" s="140">
        <f>SUM(D82:D87)</f>
        <v>22046632.988589745</v>
      </c>
      <c r="E88" s="140">
        <f>SUM(E82:E87)</f>
        <v>7263036.5800000019</v>
      </c>
    </row>
    <row r="89" spans="2:8" x14ac:dyDescent="0.2">
      <c r="B89" s="298"/>
      <c r="C89" s="59" t="s">
        <v>555</v>
      </c>
      <c r="D89" s="141"/>
      <c r="E89" s="141"/>
      <c r="F89" s="111"/>
    </row>
    <row r="90" spans="2:8" x14ac:dyDescent="0.2">
      <c r="B90" s="392" t="s">
        <v>955</v>
      </c>
      <c r="C90" s="58" t="s">
        <v>585</v>
      </c>
      <c r="D90" s="140">
        <f>IF(Cover!C23="Scheme pipeline","-",SUMIF('3.5 Depreciation amortisation'!$D$15:$D$58,'3.1 Depreciated Book Value'!C89,'3.5 Depreciation amortisation'!$H$15:$H$58))</f>
        <v>315269.08</v>
      </c>
      <c r="E90" s="77">
        <v>315269.08</v>
      </c>
      <c r="F90" s="111"/>
    </row>
    <row r="91" spans="2:8" x14ac:dyDescent="0.2">
      <c r="B91" s="392" t="s">
        <v>955</v>
      </c>
      <c r="C91" s="58" t="s">
        <v>52</v>
      </c>
      <c r="D91" s="140">
        <f>IF(Cover!C23="Scheme pipeline","-",SUMIF('3.5 Depreciation amortisation'!$D$15:$D$58,'3.1 Depreciated Book Value'!C89,'3.5 Depreciation amortisation'!$I$15:$I$58))</f>
        <v>2226789.59</v>
      </c>
      <c r="E91" s="77">
        <v>1963171.8</v>
      </c>
      <c r="F91" s="111"/>
    </row>
    <row r="92" spans="2:8" x14ac:dyDescent="0.2">
      <c r="B92" s="392" t="s">
        <v>955</v>
      </c>
      <c r="C92" s="58" t="s">
        <v>227</v>
      </c>
      <c r="D92" s="140">
        <f>IF(Cover!C23="Scheme pipeline","-",SUMIF('3.5 Depreciation amortisation'!$D$15:$D$58,'3.1 Depreciated Book Value'!C89,'3.5 Depreciation amortisation'!$J$15:$J$58))</f>
        <v>0</v>
      </c>
      <c r="E92" s="77"/>
      <c r="F92" s="111"/>
    </row>
    <row r="93" spans="2:8" x14ac:dyDescent="0.2">
      <c r="B93" s="392" t="s">
        <v>955</v>
      </c>
      <c r="C93" s="58" t="s">
        <v>566</v>
      </c>
      <c r="D93" s="140">
        <f>IF(Cover!C23="Scheme pipeline","-",-ABS(SUMIF('3.5 Depreciation amortisation'!$D$15:$D$58,'3.1 Depreciated Book Value'!C89,'3.5 Depreciation amortisation'!$O$15:$O$58)+SUMIF('3.5 Depreciation amortisation'!$D$15:$D$58,'3.1 Depreciated Book Value'!C89,'3.5 Depreciation amortisation'!$P$15:$P$58))-D94)</f>
        <v>-1091003.8999999999</v>
      </c>
      <c r="E93" s="77">
        <v>-684497.71</v>
      </c>
      <c r="F93" s="111"/>
      <c r="G93" s="111"/>
    </row>
    <row r="94" spans="2:8" x14ac:dyDescent="0.2">
      <c r="B94" s="392" t="s">
        <v>955</v>
      </c>
      <c r="C94" s="58" t="s">
        <v>565</v>
      </c>
      <c r="D94" s="140">
        <f>IF(Cover!C23="Scheme pipeline","-",-ABS(SUMIF('3.4 Asset impairment'!$C$10:$C$24,'3.1 Depreciated Book Value'!C89,'3.4 Asset impairment'!$D$10:$D$24))+SUMIF('3.4 Asset impairment'!$C$30:$C$56,'3.1 Depreciated Book Value'!C89,'3.4 Asset impairment'!$G$30:$G$56))</f>
        <v>0</v>
      </c>
      <c r="E94" s="77"/>
      <c r="F94" s="111"/>
      <c r="G94" s="111"/>
    </row>
    <row r="95" spans="2:8" ht="11.25" customHeight="1" x14ac:dyDescent="0.2">
      <c r="B95" s="392" t="s">
        <v>955</v>
      </c>
      <c r="C95" s="58" t="s">
        <v>236</v>
      </c>
      <c r="D95" s="140">
        <f>IF(Cover!C23="Scheme pipeline","-",SUMIF('3.5 Depreciation amortisation'!$D$15:$D$58,'3.1 Depreciated Book Value'!C89,'3.5 Depreciation amortisation'!$K$15:$K$58))</f>
        <v>-93071.360000000001</v>
      </c>
      <c r="E95" s="77"/>
      <c r="F95" s="111"/>
    </row>
    <row r="96" spans="2:8" x14ac:dyDescent="0.2">
      <c r="B96" s="298"/>
      <c r="C96" s="95" t="s">
        <v>168</v>
      </c>
      <c r="D96" s="140">
        <f>SUM(D90:D95)</f>
        <v>1357983.41</v>
      </c>
      <c r="E96" s="140">
        <f>SUM(E90:E95)</f>
        <v>1593943.17</v>
      </c>
      <c r="F96" s="111"/>
    </row>
    <row r="97" spans="2:7" x14ac:dyDescent="0.2">
      <c r="B97" s="392" t="s">
        <v>955</v>
      </c>
      <c r="C97" s="59" t="s">
        <v>92</v>
      </c>
      <c r="D97" s="141"/>
      <c r="E97" s="141"/>
    </row>
    <row r="98" spans="2:7" x14ac:dyDescent="0.2">
      <c r="B98" s="392" t="s">
        <v>955</v>
      </c>
      <c r="C98" s="58" t="s">
        <v>585</v>
      </c>
      <c r="D98" s="77"/>
      <c r="E98" s="77"/>
      <c r="F98" s="111"/>
    </row>
    <row r="99" spans="2:7" x14ac:dyDescent="0.2">
      <c r="B99" s="392" t="s">
        <v>955</v>
      </c>
      <c r="C99" s="58" t="s">
        <v>52</v>
      </c>
      <c r="D99" s="77"/>
      <c r="E99" s="77"/>
      <c r="F99" s="111"/>
    </row>
    <row r="100" spans="2:7" x14ac:dyDescent="0.2">
      <c r="B100" s="392" t="s">
        <v>955</v>
      </c>
      <c r="C100" s="58" t="s">
        <v>227</v>
      </c>
      <c r="D100" s="77"/>
      <c r="E100" s="77"/>
      <c r="F100" s="111"/>
    </row>
    <row r="101" spans="2:7" x14ac:dyDescent="0.2">
      <c r="B101" s="392" t="s">
        <v>955</v>
      </c>
      <c r="C101" s="58" t="s">
        <v>236</v>
      </c>
      <c r="D101" s="77"/>
      <c r="E101" s="77"/>
      <c r="F101" s="111"/>
      <c r="G101" s="111"/>
    </row>
    <row r="102" spans="2:7" x14ac:dyDescent="0.2">
      <c r="B102" s="298"/>
      <c r="C102" s="95" t="s">
        <v>562</v>
      </c>
      <c r="D102" s="140">
        <f>SUM(D98:D101)</f>
        <v>0</v>
      </c>
      <c r="E102" s="140">
        <f>SUM(E98:E101)</f>
        <v>0</v>
      </c>
      <c r="F102" s="111"/>
    </row>
    <row r="103" spans="2:7" x14ac:dyDescent="0.2">
      <c r="B103" s="298"/>
      <c r="C103" s="96" t="s">
        <v>56</v>
      </c>
      <c r="D103" s="140">
        <f>SUM(D25,D33,D41,D49,D57,D65,D73,D80,D88,D102,D96)</f>
        <v>664527337.1214689</v>
      </c>
      <c r="E103" s="140">
        <f>SUM(E25,E33,E41,E49,E57,E65,E73,E80,E88,E102,E96)</f>
        <v>629586795.64366198</v>
      </c>
      <c r="F103" s="111"/>
    </row>
    <row r="104" spans="2:7" x14ac:dyDescent="0.2">
      <c r="B104" s="298"/>
      <c r="C104" s="57" t="s">
        <v>232</v>
      </c>
      <c r="D104" s="141"/>
      <c r="E104" s="141"/>
    </row>
    <row r="105" spans="2:7" x14ac:dyDescent="0.2">
      <c r="B105" s="298"/>
      <c r="C105" s="59" t="s">
        <v>224</v>
      </c>
      <c r="D105" s="141"/>
      <c r="E105" s="141"/>
    </row>
    <row r="106" spans="2:7" x14ac:dyDescent="0.2">
      <c r="B106" s="392" t="s">
        <v>955</v>
      </c>
      <c r="C106" s="58" t="s">
        <v>585</v>
      </c>
      <c r="D106" s="140">
        <f>IF(Cover!C23="Scheme pipeline","-",SUMIF('3.5 Depreciation amortisation'!$D$66:$D$83,$C$105,'3.5 Depreciation amortisation'!$G$66:$G$83))</f>
        <v>52514634.129768044</v>
      </c>
      <c r="E106" s="77">
        <v>52081063.227360003</v>
      </c>
      <c r="F106" s="111"/>
    </row>
    <row r="107" spans="2:7" x14ac:dyDescent="0.2">
      <c r="B107" s="392" t="s">
        <v>955</v>
      </c>
      <c r="C107" s="58" t="s">
        <v>52</v>
      </c>
      <c r="D107" s="140">
        <f>IF(Cover!C23="Scheme pipeline","-",SUMIF('3.5 Depreciation amortisation'!$D$66:$D$83,$C$105,'3.5 Depreciation amortisation'!$H$66:$H$83))</f>
        <v>7961668.5392653225</v>
      </c>
      <c r="E107" s="77">
        <v>1796885.5257494359</v>
      </c>
      <c r="F107" s="111"/>
    </row>
    <row r="108" spans="2:7" x14ac:dyDescent="0.2">
      <c r="B108" s="392" t="s">
        <v>955</v>
      </c>
      <c r="C108" s="58" t="s">
        <v>227</v>
      </c>
      <c r="D108" s="140">
        <f>IF(Cover!C23="Scheme pipeline","-",SUMIF('3.5 Depreciation amortisation'!$D$66:$D$83,$C$105,'3.5 Depreciation amortisation'!$I$66:$I$83))</f>
        <v>0</v>
      </c>
      <c r="E108" s="77"/>
    </row>
    <row r="109" spans="2:7" x14ac:dyDescent="0.2">
      <c r="B109" s="392" t="s">
        <v>955</v>
      </c>
      <c r="C109" s="58" t="s">
        <v>564</v>
      </c>
      <c r="D109" s="140">
        <f>IF(Cover!C23="Scheme pipeline","-",-ABS(SUMIF('3.5 Depreciation amortisation'!$D$66:$D$83,$C$105,'3.5 Depreciation amortisation'!$N$66:$N$83)+SUMIF('3.5 Depreciation amortisation'!$D$66:$D$83,$C$105,'3.5 Depreciation amortisation'!$O$66:$O$83))-D110)</f>
        <v>-42114104.900254697</v>
      </c>
      <c r="E109" s="77">
        <v>-37570725.917200677</v>
      </c>
      <c r="F109" s="111"/>
    </row>
    <row r="110" spans="2:7" x14ac:dyDescent="0.2">
      <c r="B110" s="392" t="s">
        <v>955</v>
      </c>
      <c r="C110" s="58" t="s">
        <v>565</v>
      </c>
      <c r="D110" s="140">
        <f>IF(Cover!C23="Scheme pipeline","-",-ABS(SUMIF('3.4 Asset impairment'!$C$10:$C$24,'3.1 Depreciated Book Value'!C105,'3.4 Asset impairment'!$D$10:$D$24))+SUMIF('3.4 Asset impairment'!$C$30:$C$56,'3.1 Depreciated Book Value'!C105,'3.4 Asset impairment'!$G$30:$G$56))</f>
        <v>0</v>
      </c>
      <c r="E110" s="77"/>
      <c r="F110" s="111"/>
    </row>
    <row r="111" spans="2:7" x14ac:dyDescent="0.2">
      <c r="B111" s="392" t="s">
        <v>955</v>
      </c>
      <c r="C111" s="58" t="s">
        <v>236</v>
      </c>
      <c r="D111" s="140">
        <f>IF(Cover!C23="Scheme pipeline","-",SUMIF('3.5 Depreciation amortisation'!$D$66:$D$83,$C$105,'3.5 Depreciation amortisation'!$J$66:$J$83))</f>
        <v>-87471.760431736489</v>
      </c>
      <c r="E111" s="77">
        <v>-1363314.6233413932</v>
      </c>
      <c r="F111" s="111"/>
    </row>
    <row r="112" spans="2:7" x14ac:dyDescent="0.2">
      <c r="B112" s="298"/>
      <c r="C112" s="95" t="s">
        <v>235</v>
      </c>
      <c r="D112" s="140">
        <f>SUM(D106:D111)</f>
        <v>18274726.00834693</v>
      </c>
      <c r="E112" s="140">
        <f>SUM(E106:E111)</f>
        <v>14943908.21256737</v>
      </c>
    </row>
    <row r="113" spans="2:7" x14ac:dyDescent="0.2">
      <c r="B113" s="298"/>
      <c r="C113" s="59" t="s">
        <v>199</v>
      </c>
      <c r="D113" s="141"/>
      <c r="E113" s="141"/>
      <c r="F113" s="111"/>
    </row>
    <row r="114" spans="2:7" x14ac:dyDescent="0.2">
      <c r="B114" s="392" t="s">
        <v>955</v>
      </c>
      <c r="C114" s="58" t="s">
        <v>585</v>
      </c>
      <c r="D114" s="140">
        <f>IF(Cover!C23="Scheme pipeline","-",SUMIF('3.5 Depreciation amortisation'!$D$66:$D$83,$C$113,'3.5 Depreciation amortisation'!$G$66:$G$83))</f>
        <v>7332029.4594881115</v>
      </c>
      <c r="E114" s="77">
        <v>5804759.764968616</v>
      </c>
      <c r="F114" s="111"/>
    </row>
    <row r="115" spans="2:7" x14ac:dyDescent="0.2">
      <c r="B115" s="392" t="s">
        <v>955</v>
      </c>
      <c r="C115" s="58" t="s">
        <v>52</v>
      </c>
      <c r="D115" s="140">
        <f>IF(Cover!C23="Scheme pipeline","-",SUMIF('3.5 Depreciation amortisation'!$D$66:$D$83,$C$113,'3.5 Depreciation amortisation'!$H$66:$H$83))</f>
        <v>1068695.7727530769</v>
      </c>
      <c r="E115" s="77">
        <v>1524306.0210896805</v>
      </c>
      <c r="F115" s="111"/>
    </row>
    <row r="116" spans="2:7" x14ac:dyDescent="0.2">
      <c r="B116" s="392" t="s">
        <v>955</v>
      </c>
      <c r="C116" s="58" t="s">
        <v>227</v>
      </c>
      <c r="D116" s="140">
        <f>IF(Cover!C23="Scheme pipeline","-",SUMIF('3.5 Depreciation amortisation'!$D$66:$D$83,$C$113,'3.5 Depreciation amortisation'!$I$66:$I$83))</f>
        <v>0</v>
      </c>
      <c r="E116" s="77"/>
      <c r="F116" s="111"/>
    </row>
    <row r="117" spans="2:7" x14ac:dyDescent="0.2">
      <c r="B117" s="392" t="s">
        <v>955</v>
      </c>
      <c r="C117" s="58" t="s">
        <v>566</v>
      </c>
      <c r="D117" s="140">
        <f>IF(Cover!C23="Scheme pipeline","-",-ABS(SUMIF('3.5 Depreciation amortisation'!$D$66:$D$83,$C$113,'3.5 Depreciation amortisation'!$N$66:$N$83)+SUMIF('3.5 Depreciation amortisation'!$D$66:$D$83,$C$113,'3.5 Depreciation amortisation'!$O$66:$O$83))-D118)</f>
        <v>-4674748.8474986497</v>
      </c>
      <c r="E117" s="77">
        <v>-3655600.2362679774</v>
      </c>
      <c r="F117" s="111"/>
      <c r="G117" s="111"/>
    </row>
    <row r="118" spans="2:7" x14ac:dyDescent="0.2">
      <c r="B118" s="392" t="s">
        <v>955</v>
      </c>
      <c r="C118" s="58" t="s">
        <v>565</v>
      </c>
      <c r="D118" s="140">
        <f>IF(Cover!C23="Scheme pipeline","-",-ABS(SUMIF('3.4 Asset impairment'!$C$10:$C$24,'3.1 Depreciated Book Value'!C113,'3.4 Asset impairment'!$D$10:$D$24))+SUMIF('3.4 Asset impairment'!$C$30:$C$56,'3.1 Depreciated Book Value'!C113,'3.4 Asset impairment'!$G$30:$G$56))</f>
        <v>0</v>
      </c>
      <c r="E118" s="77"/>
      <c r="F118" s="111"/>
      <c r="G118" s="111"/>
    </row>
    <row r="119" spans="2:7" ht="11.25" customHeight="1" x14ac:dyDescent="0.2">
      <c r="B119" s="392" t="s">
        <v>955</v>
      </c>
      <c r="C119" s="58" t="s">
        <v>236</v>
      </c>
      <c r="D119" s="140">
        <f>IF(Cover!C23="Scheme pipeline","-",SUMIF('3.5 Depreciation amortisation'!$D$66:$D$83,$C$113,'3.5 Depreciation amortisation'!$J$66:$J$83))</f>
        <v>-24146.957538475333</v>
      </c>
      <c r="E119" s="77">
        <v>2963.6734298153415</v>
      </c>
      <c r="F119" s="111"/>
    </row>
    <row r="120" spans="2:7" x14ac:dyDescent="0.2">
      <c r="B120" s="298"/>
      <c r="C120" s="95" t="s">
        <v>234</v>
      </c>
      <c r="D120" s="140">
        <f>SUM(D114:D119)</f>
        <v>3701829.4272040641</v>
      </c>
      <c r="E120" s="140">
        <f>SUM(E114:E119)</f>
        <v>3676429.2232201346</v>
      </c>
      <c r="F120" s="111"/>
    </row>
    <row r="121" spans="2:7" x14ac:dyDescent="0.2">
      <c r="B121" s="392" t="s">
        <v>955</v>
      </c>
      <c r="C121" s="59" t="s">
        <v>70</v>
      </c>
      <c r="D121" s="77">
        <v>8301599.4500000002</v>
      </c>
      <c r="E121" s="77">
        <v>5405124.1799999997</v>
      </c>
      <c r="F121" s="111"/>
    </row>
    <row r="122" spans="2:7" x14ac:dyDescent="0.2">
      <c r="B122" s="392" t="s">
        <v>955</v>
      </c>
      <c r="C122" s="59" t="s">
        <v>71</v>
      </c>
      <c r="D122" s="77">
        <v>0</v>
      </c>
      <c r="E122" s="77">
        <v>0</v>
      </c>
    </row>
    <row r="123" spans="2:7" x14ac:dyDescent="0.2">
      <c r="B123" s="392" t="s">
        <v>955</v>
      </c>
      <c r="C123" s="59" t="s">
        <v>241</v>
      </c>
      <c r="D123" s="77">
        <v>181862986.47</v>
      </c>
      <c r="E123" s="77">
        <v>127614947.73</v>
      </c>
    </row>
    <row r="124" spans="2:7" x14ac:dyDescent="0.2">
      <c r="B124" s="298"/>
      <c r="C124" s="97" t="s">
        <v>233</v>
      </c>
      <c r="D124" s="140">
        <f>SUM(D112,D120:D123)</f>
        <v>212141141.355551</v>
      </c>
      <c r="E124" s="140">
        <f>SUM(E112,E120:E123)</f>
        <v>151640409.34578753</v>
      </c>
      <c r="F124" s="111"/>
    </row>
    <row r="125" spans="2:7" ht="12.75" customHeight="1" x14ac:dyDescent="0.2">
      <c r="B125" s="298"/>
      <c r="C125" s="97" t="s">
        <v>17</v>
      </c>
      <c r="D125" s="143">
        <f>SUM(D103,D124)</f>
        <v>876668478.47701991</v>
      </c>
      <c r="E125" s="143">
        <f>SUM(E103,E124)</f>
        <v>781227204.9894495</v>
      </c>
    </row>
    <row r="128" spans="2:7" ht="15.75" x14ac:dyDescent="0.25">
      <c r="B128" s="225" t="s">
        <v>683</v>
      </c>
    </row>
    <row r="129" spans="2:4" ht="12.75" customHeight="1" x14ac:dyDescent="0.25">
      <c r="B129" s="225"/>
    </row>
    <row r="130" spans="2:4" ht="25.5" x14ac:dyDescent="0.2">
      <c r="B130" s="55" t="s">
        <v>515</v>
      </c>
      <c r="C130" s="56" t="s">
        <v>13</v>
      </c>
      <c r="D130" s="231" t="str">
        <f>IFERROR(VLOOKUP(C132,rInitialyears,2,FALSE),"")</f>
        <v>Acquisition year</v>
      </c>
    </row>
    <row r="131" spans="2:4" x14ac:dyDescent="0.2">
      <c r="B131" s="55"/>
      <c r="C131" s="97" t="s">
        <v>17</v>
      </c>
      <c r="D131" s="231"/>
    </row>
    <row r="132" spans="2:4" x14ac:dyDescent="0.2">
      <c r="B132" s="392" t="s">
        <v>955</v>
      </c>
      <c r="C132" s="309" t="s">
        <v>679</v>
      </c>
      <c r="D132" s="310">
        <v>814170211.31703389</v>
      </c>
    </row>
  </sheetData>
  <sheetProtection sheet="1"/>
  <mergeCells count="3">
    <mergeCell ref="B13:C13"/>
    <mergeCell ref="B4:C4"/>
    <mergeCell ref="B6:F10"/>
  </mergeCells>
  <phoneticPr fontId="31" type="noConversion"/>
  <dataValidations disablePrompts="1" count="1">
    <dataValidation type="list" allowBlank="1" showInputMessage="1" showErrorMessage="1" sqref="C132" xr:uid="{0B5FD9E3-BE28-488A-A82B-2174A3553289}">
      <formula1>rInitialcosts</formula1>
    </dataValidation>
  </dataValidations>
  <pageMargins left="0.75" right="0.75" top="1" bottom="1" header="0.5" footer="0.5"/>
  <pageSetup paperSize="9" scale="27" orientation="landscape" verticalDpi="2" r:id="rId1"/>
  <headerFooter alignWithMargins="0">
    <oddFooter>&amp;C_x000D_&amp;1#&amp;"Aptos"&amp;10&amp;K008000 APA-INTERNAL</oddFooter>
  </headerFooter>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C4F8A-C237-4718-BF8C-7ECB83838570}">
  <sheetPr codeName="Sheet20">
    <tabColor rgb="FF17415D"/>
    <pageSetUpPr fitToPage="1"/>
  </sheetPr>
  <dimension ref="B1:L119"/>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28515625" defaultRowHeight="12.75" x14ac:dyDescent="0.2"/>
  <cols>
    <col min="1" max="1" width="12" style="4" customWidth="1"/>
    <col min="2" max="2" width="34.5703125" style="4" customWidth="1"/>
    <col min="3" max="3" width="70.7109375" style="4" customWidth="1"/>
    <col min="4" max="8" width="20.7109375" style="4" customWidth="1"/>
    <col min="9" max="16384" width="9.28515625" style="4"/>
  </cols>
  <sheetData>
    <row r="1" spans="2:8" ht="20.25" x14ac:dyDescent="0.2">
      <c r="B1" s="146" t="s">
        <v>510</v>
      </c>
      <c r="C1" s="146"/>
    </row>
    <row r="2" spans="2:8" ht="20.25" x14ac:dyDescent="0.2">
      <c r="B2" s="146" t="str">
        <f>IF(Tradingname=0," ",Tradingname)</f>
        <v>EAST AUSTRALIAN PIPELINE PTY LIMITED</v>
      </c>
      <c r="C2" s="146"/>
      <c r="E2" s="277"/>
    </row>
    <row r="3" spans="2:8" ht="20.25" x14ac:dyDescent="0.3">
      <c r="B3" s="146" t="s">
        <v>110</v>
      </c>
      <c r="C3" s="110">
        <f>IF(Yearending=0, "01/01/2000", Yearending)</f>
        <v>45838</v>
      </c>
    </row>
    <row r="4" spans="2:8" ht="20.25" x14ac:dyDescent="0.3">
      <c r="B4" s="146" t="s">
        <v>590</v>
      </c>
      <c r="C4" s="110">
        <f>'1. Pipeline information'!C15</f>
        <v>0</v>
      </c>
    </row>
    <row r="5" spans="2:8" ht="20.25" x14ac:dyDescent="0.2">
      <c r="B5" s="102" t="s">
        <v>656</v>
      </c>
      <c r="C5" s="102"/>
      <c r="D5" s="260"/>
    </row>
    <row r="6" spans="2:8" x14ac:dyDescent="0.2">
      <c r="D6" s="278"/>
    </row>
    <row r="7" spans="2:8" x14ac:dyDescent="0.2">
      <c r="B7" s="474" t="s">
        <v>667</v>
      </c>
      <c r="C7" s="474"/>
      <c r="D7" s="474"/>
    </row>
    <row r="8" spans="2:8" x14ac:dyDescent="0.2">
      <c r="B8" s="474"/>
      <c r="C8" s="474"/>
      <c r="D8" s="474"/>
    </row>
    <row r="9" spans="2:8" x14ac:dyDescent="0.2">
      <c r="B9" s="474"/>
      <c r="C9" s="474"/>
      <c r="D9" s="474"/>
    </row>
    <row r="12" spans="2:8" ht="15.75" x14ac:dyDescent="0.2">
      <c r="B12" s="477" t="s">
        <v>582</v>
      </c>
      <c r="C12" s="477"/>
      <c r="D12" s="278"/>
    </row>
    <row r="14" spans="2:8" x14ac:dyDescent="0.2">
      <c r="B14" s="278"/>
      <c r="C14" s="278"/>
      <c r="D14" s="479" t="s">
        <v>58</v>
      </c>
      <c r="E14" s="479"/>
      <c r="F14" s="479"/>
      <c r="G14" s="479"/>
      <c r="H14" s="479"/>
    </row>
    <row r="15" spans="2:8" x14ac:dyDescent="0.2">
      <c r="B15" s="55" t="s">
        <v>515</v>
      </c>
      <c r="C15" s="231" t="s">
        <v>13</v>
      </c>
      <c r="D15" s="231" t="str">
        <f>YEAR(Yearstart)-4&amp;"-"&amp;RIGHT(YEAR(Yearstart)-3,2)</f>
        <v>2020-21</v>
      </c>
      <c r="E15" s="231" t="str">
        <f>YEAR(Yearstart)-3&amp;"-"&amp;RIGHT(YEAR(Yearstart)-2,2)</f>
        <v>2021-22</v>
      </c>
      <c r="F15" s="56" t="str">
        <f>YEAR(Yearstart)-2&amp;"-"&amp;RIGHT(YEAR(Yearstart)-1,2)</f>
        <v>2022-23</v>
      </c>
      <c r="G15" s="56" t="str">
        <f>YEAR(Yearstart)-1&amp;"-"&amp;RIGHT(YEAR(Yearstart),2)</f>
        <v>2023-24</v>
      </c>
      <c r="H15" s="231" t="str">
        <f>YEAR(Yearstart)&amp;"-"&amp;RIGHT(YEAR(Yearstart)+1,2)</f>
        <v>2024-25</v>
      </c>
    </row>
    <row r="16" spans="2:8" x14ac:dyDescent="0.2">
      <c r="B16" s="302"/>
      <c r="C16" s="56"/>
      <c r="D16" s="56"/>
      <c r="E16" s="56"/>
      <c r="F16" s="56"/>
      <c r="G16" s="56"/>
      <c r="H16" s="231"/>
    </row>
    <row r="17" spans="2:12" x14ac:dyDescent="0.2">
      <c r="B17" s="301"/>
      <c r="C17" s="59" t="s">
        <v>591</v>
      </c>
      <c r="D17" s="173" t="s">
        <v>589</v>
      </c>
      <c r="E17" s="173" t="s">
        <v>589</v>
      </c>
      <c r="F17" s="173" t="s">
        <v>589</v>
      </c>
      <c r="G17" s="173" t="s">
        <v>589</v>
      </c>
      <c r="H17" s="173" t="s">
        <v>589</v>
      </c>
    </row>
    <row r="18" spans="2:12" x14ac:dyDescent="0.2">
      <c r="B18" s="387" t="s">
        <v>971</v>
      </c>
      <c r="C18" s="174" t="s">
        <v>592</v>
      </c>
      <c r="D18" s="77"/>
      <c r="E18" s="140">
        <f>D23</f>
        <v>0</v>
      </c>
      <c r="F18" s="140">
        <f>E23</f>
        <v>0</v>
      </c>
      <c r="G18" s="140">
        <f>F23</f>
        <v>0</v>
      </c>
      <c r="H18" s="140">
        <f>G23</f>
        <v>0</v>
      </c>
    </row>
    <row r="19" spans="2:12" x14ac:dyDescent="0.2">
      <c r="B19" s="387" t="s">
        <v>971</v>
      </c>
      <c r="C19" s="174" t="s">
        <v>593</v>
      </c>
      <c r="D19" s="77"/>
      <c r="E19" s="77"/>
      <c r="F19" s="77"/>
      <c r="G19" s="77"/>
      <c r="H19" s="77"/>
    </row>
    <row r="20" spans="2:12" x14ac:dyDescent="0.2">
      <c r="B20" s="301"/>
      <c r="C20" s="95" t="s">
        <v>594</v>
      </c>
      <c r="D20" s="140">
        <f>SUM(D18:D19)</f>
        <v>0</v>
      </c>
      <c r="E20" s="140">
        <f>SUM(E18:E19)</f>
        <v>0</v>
      </c>
      <c r="F20" s="140">
        <f>SUM(F18:F19)</f>
        <v>0</v>
      </c>
      <c r="G20" s="140">
        <f>SUM(G18:G19)</f>
        <v>0</v>
      </c>
      <c r="H20" s="140">
        <f>SUM(H18:H19)</f>
        <v>0</v>
      </c>
    </row>
    <row r="21" spans="2:12" x14ac:dyDescent="0.2">
      <c r="B21" s="387" t="s">
        <v>971</v>
      </c>
      <c r="C21" s="174" t="s">
        <v>595</v>
      </c>
      <c r="D21" s="77"/>
      <c r="E21" s="77"/>
      <c r="F21" s="77"/>
      <c r="G21" s="77"/>
      <c r="H21" s="77"/>
    </row>
    <row r="22" spans="2:12" x14ac:dyDescent="0.2">
      <c r="B22" s="387" t="s">
        <v>971</v>
      </c>
      <c r="C22" s="174" t="s">
        <v>596</v>
      </c>
      <c r="D22" s="77"/>
      <c r="E22" s="77"/>
      <c r="F22" s="77"/>
      <c r="G22" s="77"/>
      <c r="H22" s="77"/>
      <c r="L22" s="20"/>
    </row>
    <row r="23" spans="2:12" x14ac:dyDescent="0.2">
      <c r="B23" s="301"/>
      <c r="C23" s="95" t="s">
        <v>597</v>
      </c>
      <c r="D23" s="140">
        <f>SUM(D20:D22)</f>
        <v>0</v>
      </c>
      <c r="E23" s="140">
        <f>SUM(E20:E22)</f>
        <v>0</v>
      </c>
      <c r="F23" s="140">
        <f>SUM(F20:F22)</f>
        <v>0</v>
      </c>
      <c r="G23" s="140">
        <f>SUM(G20:G22)</f>
        <v>0</v>
      </c>
      <c r="H23" s="140">
        <f>SUM(H20:H22)</f>
        <v>0</v>
      </c>
    </row>
    <row r="24" spans="2:12" x14ac:dyDescent="0.2">
      <c r="B24" s="301"/>
      <c r="C24" s="59" t="s">
        <v>598</v>
      </c>
      <c r="D24" s="231"/>
      <c r="E24" s="231"/>
      <c r="F24" s="231"/>
      <c r="G24" s="231"/>
      <c r="H24" s="231"/>
    </row>
    <row r="25" spans="2:12" x14ac:dyDescent="0.2">
      <c r="B25" s="387" t="s">
        <v>971</v>
      </c>
      <c r="C25" s="174" t="s">
        <v>592</v>
      </c>
      <c r="D25" s="77"/>
      <c r="E25" s="140">
        <f>D29</f>
        <v>0</v>
      </c>
      <c r="F25" s="140">
        <f>E29</f>
        <v>0</v>
      </c>
      <c r="G25" s="140">
        <f>F29</f>
        <v>0</v>
      </c>
      <c r="H25" s="140">
        <f>G29</f>
        <v>0</v>
      </c>
    </row>
    <row r="26" spans="2:12" x14ac:dyDescent="0.2">
      <c r="B26" s="387" t="s">
        <v>971</v>
      </c>
      <c r="C26" s="174" t="s">
        <v>599</v>
      </c>
      <c r="D26" s="77"/>
      <c r="E26" s="77"/>
      <c r="F26" s="77"/>
      <c r="G26" s="77"/>
      <c r="H26" s="77"/>
    </row>
    <row r="27" spans="2:12" x14ac:dyDescent="0.2">
      <c r="B27" s="387" t="s">
        <v>971</v>
      </c>
      <c r="C27" s="174" t="s">
        <v>600</v>
      </c>
      <c r="D27" s="77"/>
      <c r="E27" s="77"/>
      <c r="F27" s="77"/>
      <c r="G27" s="77"/>
      <c r="H27" s="77"/>
    </row>
    <row r="28" spans="2:12" x14ac:dyDescent="0.2">
      <c r="B28" s="387" t="s">
        <v>971</v>
      </c>
      <c r="C28" s="174" t="s">
        <v>601</v>
      </c>
      <c r="D28" s="77"/>
      <c r="E28" s="77"/>
      <c r="F28" s="77"/>
      <c r="G28" s="77"/>
      <c r="H28" s="77"/>
    </row>
    <row r="29" spans="2:12" x14ac:dyDescent="0.2">
      <c r="B29" s="301"/>
      <c r="C29" s="95" t="s">
        <v>602</v>
      </c>
      <c r="D29" s="140">
        <f>SUM(D25:D28)</f>
        <v>0</v>
      </c>
      <c r="E29" s="140">
        <f>SUM(E25:E28)</f>
        <v>0</v>
      </c>
      <c r="F29" s="140">
        <f>SUM(F25:F28)</f>
        <v>0</v>
      </c>
      <c r="G29" s="140">
        <f>SUM(G25:G28)</f>
        <v>0</v>
      </c>
      <c r="H29" s="140">
        <f>SUM(H25:H28)</f>
        <v>0</v>
      </c>
    </row>
    <row r="30" spans="2:12" x14ac:dyDescent="0.2">
      <c r="B30" s="301"/>
      <c r="C30" s="59" t="s">
        <v>603</v>
      </c>
      <c r="D30" s="231"/>
      <c r="E30" s="231"/>
      <c r="F30" s="231"/>
      <c r="G30" s="231"/>
      <c r="H30" s="231"/>
    </row>
    <row r="31" spans="2:12" x14ac:dyDescent="0.2">
      <c r="B31" s="387" t="s">
        <v>971</v>
      </c>
      <c r="C31" s="174" t="s">
        <v>592</v>
      </c>
      <c r="D31" s="77"/>
      <c r="E31" s="140">
        <f>D35</f>
        <v>0</v>
      </c>
      <c r="F31" s="140">
        <f>E35</f>
        <v>0</v>
      </c>
      <c r="G31" s="140">
        <f>F35</f>
        <v>0</v>
      </c>
      <c r="H31" s="140">
        <f>G35</f>
        <v>0</v>
      </c>
    </row>
    <row r="32" spans="2:12" x14ac:dyDescent="0.2">
      <c r="B32" s="387" t="s">
        <v>971</v>
      </c>
      <c r="C32" s="174" t="s">
        <v>604</v>
      </c>
      <c r="D32" s="77"/>
      <c r="E32" s="77"/>
      <c r="F32" s="77"/>
      <c r="G32" s="77"/>
      <c r="H32" s="77"/>
    </row>
    <row r="33" spans="2:8" ht="11.25" customHeight="1" x14ac:dyDescent="0.2">
      <c r="B33" s="387" t="s">
        <v>971</v>
      </c>
      <c r="C33" s="174" t="s">
        <v>605</v>
      </c>
      <c r="D33" s="77"/>
      <c r="E33" s="77"/>
      <c r="F33" s="77"/>
      <c r="G33" s="77"/>
      <c r="H33" s="77"/>
    </row>
    <row r="34" spans="2:8" x14ac:dyDescent="0.2">
      <c r="B34" s="387" t="s">
        <v>971</v>
      </c>
      <c r="C34" s="174" t="s">
        <v>601</v>
      </c>
      <c r="D34" s="77"/>
      <c r="E34" s="77"/>
      <c r="F34" s="77"/>
      <c r="G34" s="77"/>
      <c r="H34" s="77"/>
    </row>
    <row r="35" spans="2:8" x14ac:dyDescent="0.2">
      <c r="B35" s="301"/>
      <c r="C35" s="95" t="s">
        <v>606</v>
      </c>
      <c r="D35" s="140">
        <f>SUM(D31:D34)</f>
        <v>0</v>
      </c>
      <c r="E35" s="140">
        <f>SUM(E31:E34)</f>
        <v>0</v>
      </c>
      <c r="F35" s="140">
        <f>SUM(F31:F34)</f>
        <v>0</v>
      </c>
      <c r="G35" s="140">
        <f>SUM(G31:G34)</f>
        <v>0</v>
      </c>
      <c r="H35" s="140">
        <f>SUM(H31:H34)</f>
        <v>0</v>
      </c>
    </row>
    <row r="36" spans="2:8" x14ac:dyDescent="0.2">
      <c r="B36" s="301"/>
      <c r="C36" s="59" t="s">
        <v>607</v>
      </c>
      <c r="D36" s="231"/>
      <c r="E36" s="231"/>
      <c r="F36" s="231"/>
      <c r="G36" s="231"/>
      <c r="H36" s="231"/>
    </row>
    <row r="37" spans="2:8" x14ac:dyDescent="0.2">
      <c r="B37" s="387" t="s">
        <v>971</v>
      </c>
      <c r="C37" s="174" t="s">
        <v>592</v>
      </c>
      <c r="D37" s="77"/>
      <c r="E37" s="140">
        <f>D41</f>
        <v>0</v>
      </c>
      <c r="F37" s="140">
        <f>E41</f>
        <v>0</v>
      </c>
      <c r="G37" s="140">
        <f>F41</f>
        <v>0</v>
      </c>
      <c r="H37" s="140">
        <f>G41</f>
        <v>0</v>
      </c>
    </row>
    <row r="38" spans="2:8" x14ac:dyDescent="0.2">
      <c r="B38" s="387" t="s">
        <v>971</v>
      </c>
      <c r="C38" s="174" t="s">
        <v>599</v>
      </c>
      <c r="D38" s="77"/>
      <c r="E38" s="77"/>
      <c r="F38" s="77"/>
      <c r="G38" s="77"/>
      <c r="H38" s="77"/>
    </row>
    <row r="39" spans="2:8" x14ac:dyDescent="0.2">
      <c r="B39" s="387" t="s">
        <v>971</v>
      </c>
      <c r="C39" s="174" t="s">
        <v>608</v>
      </c>
      <c r="D39" s="77"/>
      <c r="E39" s="77"/>
      <c r="F39" s="77"/>
      <c r="G39" s="77"/>
      <c r="H39" s="77"/>
    </row>
    <row r="40" spans="2:8" x14ac:dyDescent="0.2">
      <c r="B40" s="387" t="s">
        <v>971</v>
      </c>
      <c r="C40" s="174" t="s">
        <v>601</v>
      </c>
      <c r="D40" s="77"/>
      <c r="E40" s="77"/>
      <c r="F40" s="77"/>
      <c r="G40" s="77"/>
      <c r="H40" s="77"/>
    </row>
    <row r="41" spans="2:8" ht="11.25" customHeight="1" x14ac:dyDescent="0.2">
      <c r="B41" s="301"/>
      <c r="C41" s="95" t="s">
        <v>609</v>
      </c>
      <c r="D41" s="140">
        <f>SUM(D37:D40)</f>
        <v>0</v>
      </c>
      <c r="E41" s="140">
        <f>SUM(E37:E40)</f>
        <v>0</v>
      </c>
      <c r="F41" s="140">
        <f>SUM(F37:F40)</f>
        <v>0</v>
      </c>
      <c r="G41" s="140">
        <f>SUM(G37:G40)</f>
        <v>0</v>
      </c>
      <c r="H41" s="140">
        <f>SUM(H37:H40)</f>
        <v>0</v>
      </c>
    </row>
    <row r="42" spans="2:8" x14ac:dyDescent="0.2">
      <c r="B42" s="301"/>
      <c r="C42" s="59" t="s">
        <v>637</v>
      </c>
      <c r="D42" s="231"/>
      <c r="E42" s="231"/>
      <c r="F42" s="231"/>
      <c r="G42" s="231"/>
      <c r="H42" s="231"/>
    </row>
    <row r="43" spans="2:8" x14ac:dyDescent="0.2">
      <c r="B43" s="387" t="s">
        <v>971</v>
      </c>
      <c r="C43" s="174" t="s">
        <v>592</v>
      </c>
      <c r="D43" s="77"/>
      <c r="E43" s="140">
        <f>D47</f>
        <v>0</v>
      </c>
      <c r="F43" s="140">
        <f>E47</f>
        <v>0</v>
      </c>
      <c r="G43" s="140">
        <f>F47</f>
        <v>0</v>
      </c>
      <c r="H43" s="140">
        <f>G47</f>
        <v>0</v>
      </c>
    </row>
    <row r="44" spans="2:8" x14ac:dyDescent="0.2">
      <c r="B44" s="387" t="s">
        <v>971</v>
      </c>
      <c r="C44" s="174" t="s">
        <v>599</v>
      </c>
      <c r="D44" s="77"/>
      <c r="E44" s="77"/>
      <c r="F44" s="77"/>
      <c r="G44" s="77"/>
      <c r="H44" s="77"/>
    </row>
    <row r="45" spans="2:8" x14ac:dyDescent="0.2">
      <c r="B45" s="387" t="s">
        <v>971</v>
      </c>
      <c r="C45" s="174" t="s">
        <v>610</v>
      </c>
      <c r="D45" s="77"/>
      <c r="E45" s="77"/>
      <c r="F45" s="77"/>
      <c r="G45" s="77"/>
      <c r="H45" s="77"/>
    </row>
    <row r="46" spans="2:8" x14ac:dyDescent="0.2">
      <c r="B46" s="387" t="s">
        <v>971</v>
      </c>
      <c r="C46" s="174" t="s">
        <v>601</v>
      </c>
      <c r="D46" s="77"/>
      <c r="E46" s="77"/>
      <c r="F46" s="77"/>
      <c r="G46" s="77"/>
      <c r="H46" s="77"/>
    </row>
    <row r="47" spans="2:8" x14ac:dyDescent="0.2">
      <c r="B47" s="301"/>
      <c r="C47" s="95" t="s">
        <v>611</v>
      </c>
      <c r="D47" s="140">
        <f>SUM(D43:D46)</f>
        <v>0</v>
      </c>
      <c r="E47" s="140">
        <f>SUM(E43:E46)</f>
        <v>0</v>
      </c>
      <c r="F47" s="140">
        <f>SUM(F43:F46)</f>
        <v>0</v>
      </c>
      <c r="G47" s="140">
        <f>SUM(G43:G46)</f>
        <v>0</v>
      </c>
      <c r="H47" s="140">
        <f>SUM(H43:H46)</f>
        <v>0</v>
      </c>
    </row>
    <row r="48" spans="2:8" x14ac:dyDescent="0.2">
      <c r="B48" s="301"/>
      <c r="C48" s="59" t="s">
        <v>612</v>
      </c>
      <c r="D48" s="231"/>
      <c r="E48" s="231"/>
      <c r="F48" s="231"/>
      <c r="G48" s="231"/>
      <c r="H48" s="231"/>
    </row>
    <row r="49" spans="2:8" ht="11.25" customHeight="1" x14ac:dyDescent="0.2">
      <c r="B49" s="387" t="s">
        <v>971</v>
      </c>
      <c r="C49" s="174" t="s">
        <v>592</v>
      </c>
      <c r="D49" s="77"/>
      <c r="E49" s="140">
        <f>D53</f>
        <v>0</v>
      </c>
      <c r="F49" s="140">
        <f>E53</f>
        <v>0</v>
      </c>
      <c r="G49" s="140">
        <f>F53</f>
        <v>0</v>
      </c>
      <c r="H49" s="140">
        <f>G53</f>
        <v>0</v>
      </c>
    </row>
    <row r="50" spans="2:8" x14ac:dyDescent="0.2">
      <c r="B50" s="387" t="s">
        <v>971</v>
      </c>
      <c r="C50" s="174" t="s">
        <v>599</v>
      </c>
      <c r="D50" s="77"/>
      <c r="E50" s="77"/>
      <c r="F50" s="77"/>
      <c r="G50" s="77"/>
      <c r="H50" s="77"/>
    </row>
    <row r="51" spans="2:8" x14ac:dyDescent="0.2">
      <c r="B51" s="387" t="s">
        <v>971</v>
      </c>
      <c r="C51" s="174" t="s">
        <v>613</v>
      </c>
      <c r="D51" s="77"/>
      <c r="E51" s="77"/>
      <c r="F51" s="77"/>
      <c r="G51" s="77"/>
      <c r="H51" s="77"/>
    </row>
    <row r="52" spans="2:8" x14ac:dyDescent="0.2">
      <c r="B52" s="387" t="s">
        <v>971</v>
      </c>
      <c r="C52" s="174" t="s">
        <v>601</v>
      </c>
      <c r="D52" s="77"/>
      <c r="E52" s="77"/>
      <c r="F52" s="77"/>
      <c r="G52" s="77"/>
      <c r="H52" s="77"/>
    </row>
    <row r="53" spans="2:8" x14ac:dyDescent="0.2">
      <c r="B53" s="301"/>
      <c r="C53" s="95" t="s">
        <v>614</v>
      </c>
      <c r="D53" s="140">
        <f>SUM(D49:D52)</f>
        <v>0</v>
      </c>
      <c r="E53" s="140">
        <f>SUM(E49:E52)</f>
        <v>0</v>
      </c>
      <c r="F53" s="140">
        <f>SUM(F49:F52)</f>
        <v>0</v>
      </c>
      <c r="G53" s="140">
        <f>SUM(G49:G52)</f>
        <v>0</v>
      </c>
      <c r="H53" s="140">
        <f>SUM(H49:H52)</f>
        <v>0</v>
      </c>
    </row>
    <row r="54" spans="2:8" x14ac:dyDescent="0.2">
      <c r="B54" s="301"/>
      <c r="C54" s="59" t="s">
        <v>615</v>
      </c>
      <c r="D54" s="231"/>
      <c r="E54" s="231"/>
      <c r="F54" s="231"/>
      <c r="G54" s="231"/>
      <c r="H54" s="231"/>
    </row>
    <row r="55" spans="2:8" x14ac:dyDescent="0.2">
      <c r="B55" s="387" t="s">
        <v>971</v>
      </c>
      <c r="C55" s="174" t="s">
        <v>592</v>
      </c>
      <c r="D55" s="77"/>
      <c r="E55" s="140">
        <f>D59</f>
        <v>0</v>
      </c>
      <c r="F55" s="140">
        <f>E59</f>
        <v>0</v>
      </c>
      <c r="G55" s="140">
        <f>F59</f>
        <v>0</v>
      </c>
      <c r="H55" s="140">
        <f>G59</f>
        <v>0</v>
      </c>
    </row>
    <row r="56" spans="2:8" x14ac:dyDescent="0.2">
      <c r="B56" s="387" t="s">
        <v>971</v>
      </c>
      <c r="C56" s="174" t="s">
        <v>599</v>
      </c>
      <c r="D56" s="77"/>
      <c r="E56" s="77"/>
      <c r="F56" s="77"/>
      <c r="G56" s="77"/>
      <c r="H56" s="77"/>
    </row>
    <row r="57" spans="2:8" ht="11.25" customHeight="1" x14ac:dyDescent="0.2">
      <c r="B57" s="387" t="s">
        <v>971</v>
      </c>
      <c r="C57" s="174" t="s">
        <v>616</v>
      </c>
      <c r="D57" s="77"/>
      <c r="E57" s="77"/>
      <c r="F57" s="77"/>
      <c r="G57" s="77"/>
      <c r="H57" s="77"/>
    </row>
    <row r="58" spans="2:8" x14ac:dyDescent="0.2">
      <c r="B58" s="387" t="s">
        <v>971</v>
      </c>
      <c r="C58" s="174" t="s">
        <v>601</v>
      </c>
      <c r="D58" s="77"/>
      <c r="E58" s="77"/>
      <c r="F58" s="77"/>
      <c r="G58" s="77"/>
      <c r="H58" s="77"/>
    </row>
    <row r="59" spans="2:8" x14ac:dyDescent="0.2">
      <c r="B59" s="301"/>
      <c r="C59" s="95" t="s">
        <v>617</v>
      </c>
      <c r="D59" s="140">
        <f>SUM(D55:D58)</f>
        <v>0</v>
      </c>
      <c r="E59" s="140">
        <f>SUM(E55:E58)</f>
        <v>0</v>
      </c>
      <c r="F59" s="140">
        <f>SUM(F55:F58)</f>
        <v>0</v>
      </c>
      <c r="G59" s="140">
        <f>SUM(G55:G58)</f>
        <v>0</v>
      </c>
      <c r="H59" s="140">
        <f>SUM(H55:H58)</f>
        <v>0</v>
      </c>
    </row>
    <row r="60" spans="2:8" x14ac:dyDescent="0.2">
      <c r="B60" s="301"/>
      <c r="C60" s="59" t="s">
        <v>618</v>
      </c>
      <c r="D60" s="231"/>
      <c r="E60" s="231"/>
      <c r="F60" s="231"/>
      <c r="G60" s="231"/>
      <c r="H60" s="231"/>
    </row>
    <row r="61" spans="2:8" x14ac:dyDescent="0.2">
      <c r="B61" s="387" t="s">
        <v>971</v>
      </c>
      <c r="C61" s="174" t="s">
        <v>592</v>
      </c>
      <c r="D61" s="77"/>
      <c r="E61" s="140">
        <f>D65</f>
        <v>0</v>
      </c>
      <c r="F61" s="140">
        <f>E65</f>
        <v>0</v>
      </c>
      <c r="G61" s="140">
        <f>F65</f>
        <v>0</v>
      </c>
      <c r="H61" s="140">
        <f>G65</f>
        <v>0</v>
      </c>
    </row>
    <row r="62" spans="2:8" x14ac:dyDescent="0.2">
      <c r="B62" s="387" t="s">
        <v>971</v>
      </c>
      <c r="C62" s="174" t="s">
        <v>599</v>
      </c>
      <c r="D62" s="77"/>
      <c r="E62" s="77"/>
      <c r="F62" s="77"/>
      <c r="G62" s="77"/>
      <c r="H62" s="77"/>
    </row>
    <row r="63" spans="2:8" ht="11.25" customHeight="1" x14ac:dyDescent="0.2">
      <c r="B63" s="387" t="s">
        <v>971</v>
      </c>
      <c r="C63" s="174" t="s">
        <v>619</v>
      </c>
      <c r="D63" s="77"/>
      <c r="E63" s="77"/>
      <c r="F63" s="77"/>
      <c r="G63" s="77"/>
      <c r="H63" s="77"/>
    </row>
    <row r="64" spans="2:8" ht="11.25" customHeight="1" x14ac:dyDescent="0.2">
      <c r="B64" s="387" t="s">
        <v>971</v>
      </c>
      <c r="C64" s="174" t="s">
        <v>601</v>
      </c>
      <c r="D64" s="77"/>
      <c r="E64" s="77"/>
      <c r="F64" s="77"/>
      <c r="G64" s="77"/>
      <c r="H64" s="77"/>
    </row>
    <row r="65" spans="2:8" ht="11.25" customHeight="1" x14ac:dyDescent="0.2">
      <c r="B65" s="301"/>
      <c r="C65" s="95" t="s">
        <v>620</v>
      </c>
      <c r="D65" s="140">
        <f>SUM(D61:D64)</f>
        <v>0</v>
      </c>
      <c r="E65" s="140">
        <f>SUM(E61:E64)</f>
        <v>0</v>
      </c>
      <c r="F65" s="140">
        <f>SUM(F61:F64)</f>
        <v>0</v>
      </c>
      <c r="G65" s="140">
        <f>SUM(G61:G64)</f>
        <v>0</v>
      </c>
      <c r="H65" s="140">
        <f>SUM(H61:H64)</f>
        <v>0</v>
      </c>
    </row>
    <row r="66" spans="2:8" x14ac:dyDescent="0.2">
      <c r="B66" s="301"/>
      <c r="C66" s="59" t="s">
        <v>621</v>
      </c>
      <c r="D66" s="231"/>
      <c r="E66" s="231"/>
      <c r="F66" s="231"/>
      <c r="G66" s="231"/>
      <c r="H66" s="231"/>
    </row>
    <row r="67" spans="2:8" x14ac:dyDescent="0.2">
      <c r="B67" s="387" t="s">
        <v>971</v>
      </c>
      <c r="C67" s="174" t="s">
        <v>592</v>
      </c>
      <c r="D67" s="77"/>
      <c r="E67" s="140">
        <f>D71</f>
        <v>0</v>
      </c>
      <c r="F67" s="140">
        <f>E71</f>
        <v>0</v>
      </c>
      <c r="G67" s="140">
        <f>F71</f>
        <v>0</v>
      </c>
      <c r="H67" s="140">
        <f>G71</f>
        <v>0</v>
      </c>
    </row>
    <row r="68" spans="2:8" x14ac:dyDescent="0.2">
      <c r="B68" s="387" t="s">
        <v>971</v>
      </c>
      <c r="C68" s="174" t="s">
        <v>599</v>
      </c>
      <c r="D68" s="77"/>
      <c r="E68" s="77"/>
      <c r="F68" s="77"/>
      <c r="G68" s="77"/>
      <c r="H68" s="77"/>
    </row>
    <row r="69" spans="2:8" x14ac:dyDescent="0.2">
      <c r="B69" s="387" t="s">
        <v>971</v>
      </c>
      <c r="C69" s="174" t="s">
        <v>622</v>
      </c>
      <c r="D69" s="77"/>
      <c r="E69" s="77"/>
      <c r="F69" s="77"/>
      <c r="G69" s="77"/>
      <c r="H69" s="77"/>
    </row>
    <row r="70" spans="2:8" x14ac:dyDescent="0.2">
      <c r="B70" s="387" t="s">
        <v>971</v>
      </c>
      <c r="C70" s="174" t="s">
        <v>601</v>
      </c>
      <c r="D70" s="77"/>
      <c r="E70" s="77"/>
      <c r="F70" s="77"/>
      <c r="G70" s="77"/>
      <c r="H70" s="77"/>
    </row>
    <row r="71" spans="2:8" x14ac:dyDescent="0.2">
      <c r="B71" s="301"/>
      <c r="C71" s="95" t="s">
        <v>623</v>
      </c>
      <c r="D71" s="140">
        <f>SUM(D67:D70)</f>
        <v>0</v>
      </c>
      <c r="E71" s="140">
        <f>SUM(E67:E70)</f>
        <v>0</v>
      </c>
      <c r="F71" s="140">
        <f>SUM(F67:F70)</f>
        <v>0</v>
      </c>
      <c r="G71" s="140">
        <f>SUM(G67:G70)</f>
        <v>0</v>
      </c>
      <c r="H71" s="140">
        <f>SUM(H67:H70)</f>
        <v>0</v>
      </c>
    </row>
    <row r="72" spans="2:8" x14ac:dyDescent="0.2">
      <c r="B72" s="301"/>
      <c r="C72" s="59" t="s">
        <v>624</v>
      </c>
      <c r="D72" s="231"/>
      <c r="E72" s="231"/>
      <c r="F72" s="231"/>
      <c r="G72" s="231"/>
      <c r="H72" s="231"/>
    </row>
    <row r="73" spans="2:8" ht="11.25" customHeight="1" x14ac:dyDescent="0.2">
      <c r="B73" s="387" t="s">
        <v>971</v>
      </c>
      <c r="C73" s="174" t="s">
        <v>592</v>
      </c>
      <c r="D73" s="77"/>
      <c r="E73" s="140">
        <f>D77</f>
        <v>0</v>
      </c>
      <c r="F73" s="140">
        <f>E77</f>
        <v>0</v>
      </c>
      <c r="G73" s="140">
        <f>F77</f>
        <v>0</v>
      </c>
      <c r="H73" s="140">
        <f>G77</f>
        <v>0</v>
      </c>
    </row>
    <row r="74" spans="2:8" x14ac:dyDescent="0.2">
      <c r="B74" s="387" t="s">
        <v>971</v>
      </c>
      <c r="C74" s="174" t="s">
        <v>599</v>
      </c>
      <c r="D74" s="77"/>
      <c r="E74" s="77"/>
      <c r="F74" s="77"/>
      <c r="G74" s="77"/>
      <c r="H74" s="77"/>
    </row>
    <row r="75" spans="2:8" x14ac:dyDescent="0.2">
      <c r="B75" s="387" t="s">
        <v>971</v>
      </c>
      <c r="C75" s="174" t="s">
        <v>622</v>
      </c>
      <c r="D75" s="77"/>
      <c r="E75" s="77"/>
      <c r="F75" s="77"/>
      <c r="G75" s="77"/>
      <c r="H75" s="77"/>
    </row>
    <row r="76" spans="2:8" x14ac:dyDescent="0.2">
      <c r="B76" s="387" t="s">
        <v>971</v>
      </c>
      <c r="C76" s="174" t="s">
        <v>601</v>
      </c>
      <c r="D76" s="77"/>
      <c r="E76" s="77"/>
      <c r="F76" s="77"/>
      <c r="G76" s="77"/>
      <c r="H76" s="77"/>
    </row>
    <row r="77" spans="2:8" x14ac:dyDescent="0.2">
      <c r="B77" s="301"/>
      <c r="C77" s="95" t="s">
        <v>625</v>
      </c>
      <c r="D77" s="140">
        <f>SUM(D73:D76)</f>
        <v>0</v>
      </c>
      <c r="E77" s="140">
        <f>SUM(E73:E76)</f>
        <v>0</v>
      </c>
      <c r="F77" s="140">
        <f>SUM(F73:F76)</f>
        <v>0</v>
      </c>
      <c r="G77" s="140">
        <f>SUM(G73:G76)</f>
        <v>0</v>
      </c>
      <c r="H77" s="140">
        <f>SUM(H73:H76)</f>
        <v>0</v>
      </c>
    </row>
    <row r="78" spans="2:8" x14ac:dyDescent="0.2">
      <c r="B78" s="301"/>
      <c r="C78" s="95" t="s">
        <v>626</v>
      </c>
      <c r="D78" s="140">
        <f>SUM(D23,D29,D35,D41,D47,D53,D59,D65,D71,D77)</f>
        <v>0</v>
      </c>
      <c r="E78" s="140">
        <f>SUM(E23,E29,E35,E41,E47,E53,E59,E65,E71,E77)</f>
        <v>0</v>
      </c>
      <c r="F78" s="140">
        <f>SUM(F23,F29,F35,F41,F47,F53,F59,F65,F71,F77)</f>
        <v>0</v>
      </c>
      <c r="G78" s="140">
        <f>SUM(G23,G29,G35,G41,G47,G53,G59,G65,G71,G77)</f>
        <v>0</v>
      </c>
      <c r="H78" s="140">
        <f>SUM(H23,H29,H35,H41,H47,H53,H59,H65,H71,H77)</f>
        <v>0</v>
      </c>
    </row>
    <row r="79" spans="2:8" x14ac:dyDescent="0.2">
      <c r="B79" s="301"/>
      <c r="C79" s="59" t="s">
        <v>669</v>
      </c>
      <c r="D79" s="231"/>
      <c r="E79" s="231"/>
      <c r="F79" s="231"/>
      <c r="G79" s="231"/>
      <c r="H79" s="231"/>
    </row>
    <row r="80" spans="2:8" ht="11.25" customHeight="1" x14ac:dyDescent="0.2">
      <c r="B80" s="387" t="s">
        <v>971</v>
      </c>
      <c r="C80" s="174" t="s">
        <v>592</v>
      </c>
      <c r="D80" s="77"/>
      <c r="E80" s="140">
        <f>D84</f>
        <v>0</v>
      </c>
      <c r="F80" s="140">
        <f>E84</f>
        <v>0</v>
      </c>
      <c r="G80" s="140">
        <f>F84</f>
        <v>0</v>
      </c>
      <c r="H80" s="140">
        <f>G84</f>
        <v>0</v>
      </c>
    </row>
    <row r="81" spans="2:8" x14ac:dyDescent="0.2">
      <c r="B81" s="387" t="s">
        <v>971</v>
      </c>
      <c r="C81" s="174" t="s">
        <v>599</v>
      </c>
      <c r="D81" s="77"/>
      <c r="E81" s="77"/>
      <c r="F81" s="77"/>
      <c r="G81" s="77"/>
      <c r="H81" s="77"/>
    </row>
    <row r="82" spans="2:8" x14ac:dyDescent="0.2">
      <c r="B82" s="387" t="s">
        <v>971</v>
      </c>
      <c r="C82" s="174" t="s">
        <v>627</v>
      </c>
      <c r="D82" s="77"/>
      <c r="E82" s="77"/>
      <c r="F82" s="77"/>
      <c r="G82" s="77"/>
      <c r="H82" s="77"/>
    </row>
    <row r="83" spans="2:8" s="279" customFormat="1" x14ac:dyDescent="0.2">
      <c r="B83" s="387" t="s">
        <v>971</v>
      </c>
      <c r="C83" s="174" t="s">
        <v>628</v>
      </c>
      <c r="D83" s="77"/>
      <c r="E83" s="77"/>
      <c r="F83" s="77"/>
      <c r="G83" s="77"/>
      <c r="H83" s="77"/>
    </row>
    <row r="84" spans="2:8" s="279" customFormat="1" x14ac:dyDescent="0.2">
      <c r="B84" s="301"/>
      <c r="C84" s="95" t="s">
        <v>629</v>
      </c>
      <c r="D84" s="140">
        <f>SUM(D80:D83)</f>
        <v>0</v>
      </c>
      <c r="E84" s="140">
        <f>SUM(E80:E83)</f>
        <v>0</v>
      </c>
      <c r="F84" s="140">
        <f>SUM(F80:F83)</f>
        <v>0</v>
      </c>
      <c r="G84" s="140">
        <f>SUM(G80:G83)</f>
        <v>0</v>
      </c>
      <c r="H84" s="140">
        <f>SUM(H80:H83)</f>
        <v>0</v>
      </c>
    </row>
    <row r="85" spans="2:8" s="279" customFormat="1" x14ac:dyDescent="0.2">
      <c r="B85" s="301"/>
      <c r="C85" s="59" t="s">
        <v>630</v>
      </c>
      <c r="D85" s="231"/>
      <c r="E85" s="231"/>
      <c r="F85" s="231"/>
      <c r="G85" s="231"/>
      <c r="H85" s="231"/>
    </row>
    <row r="86" spans="2:8" s="279" customFormat="1" x14ac:dyDescent="0.2">
      <c r="B86" s="387" t="s">
        <v>971</v>
      </c>
      <c r="C86" s="174" t="s">
        <v>592</v>
      </c>
      <c r="D86" s="77"/>
      <c r="E86" s="140">
        <f>D90</f>
        <v>0</v>
      </c>
      <c r="F86" s="140">
        <f>E90</f>
        <v>0</v>
      </c>
      <c r="G86" s="140">
        <f>F90</f>
        <v>0</v>
      </c>
      <c r="H86" s="140">
        <f>G90</f>
        <v>0</v>
      </c>
    </row>
    <row r="87" spans="2:8" s="279" customFormat="1" x14ac:dyDescent="0.2">
      <c r="B87" s="387" t="s">
        <v>971</v>
      </c>
      <c r="C87" s="174" t="s">
        <v>599</v>
      </c>
      <c r="D87" s="77"/>
      <c r="E87" s="77"/>
      <c r="F87" s="77"/>
      <c r="G87" s="77"/>
      <c r="H87" s="77"/>
    </row>
    <row r="88" spans="2:8" s="279" customFormat="1" x14ac:dyDescent="0.2">
      <c r="B88" s="387" t="s">
        <v>971</v>
      </c>
      <c r="C88" s="174" t="s">
        <v>622</v>
      </c>
      <c r="D88" s="77"/>
      <c r="E88" s="77"/>
      <c r="F88" s="77"/>
      <c r="G88" s="77"/>
      <c r="H88" s="77"/>
    </row>
    <row r="89" spans="2:8" x14ac:dyDescent="0.2">
      <c r="B89" s="387" t="s">
        <v>971</v>
      </c>
      <c r="C89" s="174" t="s">
        <v>601</v>
      </c>
      <c r="D89" s="77"/>
      <c r="E89" s="77"/>
      <c r="F89" s="77"/>
      <c r="G89" s="77"/>
      <c r="H89" s="77"/>
    </row>
    <row r="90" spans="2:8" x14ac:dyDescent="0.2">
      <c r="B90" s="301"/>
      <c r="C90" s="95" t="s">
        <v>631</v>
      </c>
      <c r="D90" s="140">
        <f>SUM(D86:D89)</f>
        <v>0</v>
      </c>
      <c r="E90" s="140">
        <f>SUM(E86:E89)</f>
        <v>0</v>
      </c>
      <c r="F90" s="140">
        <f>SUM(F86:F89)</f>
        <v>0</v>
      </c>
      <c r="G90" s="140">
        <f>SUM(G86:G89)</f>
        <v>0</v>
      </c>
      <c r="H90" s="140">
        <f>SUM(H86:H89)</f>
        <v>0</v>
      </c>
    </row>
    <row r="91" spans="2:8" x14ac:dyDescent="0.2">
      <c r="B91" s="387" t="s">
        <v>971</v>
      </c>
      <c r="C91" s="174" t="s">
        <v>632</v>
      </c>
      <c r="D91" s="77"/>
      <c r="E91" s="140">
        <f>D93</f>
        <v>0</v>
      </c>
      <c r="F91" s="140">
        <f>E93</f>
        <v>0</v>
      </c>
      <c r="G91" s="140">
        <f>F93</f>
        <v>0</v>
      </c>
      <c r="H91" s="140">
        <f>G93</f>
        <v>0</v>
      </c>
    </row>
    <row r="92" spans="2:8" x14ac:dyDescent="0.2">
      <c r="B92" s="387" t="s">
        <v>971</v>
      </c>
      <c r="C92" s="174" t="s">
        <v>633</v>
      </c>
      <c r="D92" s="77"/>
      <c r="E92" s="77"/>
      <c r="F92" s="77"/>
      <c r="G92" s="77"/>
      <c r="H92" s="77"/>
    </row>
    <row r="93" spans="2:8" x14ac:dyDescent="0.2">
      <c r="B93" s="301"/>
      <c r="C93" s="95" t="s">
        <v>634</v>
      </c>
      <c r="D93" s="140">
        <f>SUM(D91:D92)</f>
        <v>0</v>
      </c>
      <c r="E93" s="140">
        <f>SUM(E91:E92)</f>
        <v>0</v>
      </c>
      <c r="F93" s="140">
        <f>SUM(F91:F92)</f>
        <v>0</v>
      </c>
      <c r="G93" s="140">
        <f>SUM(G91:G92)</f>
        <v>0</v>
      </c>
      <c r="H93" s="140">
        <f>SUM(H91:H92)</f>
        <v>0</v>
      </c>
    </row>
    <row r="94" spans="2:8" x14ac:dyDescent="0.2">
      <c r="B94" s="301"/>
      <c r="C94" s="95" t="s">
        <v>635</v>
      </c>
      <c r="D94" s="140">
        <f>SUM(D84,D90,D93)</f>
        <v>0</v>
      </c>
      <c r="E94" s="140">
        <f>SUM(E84,E90,E93)</f>
        <v>0</v>
      </c>
      <c r="F94" s="140">
        <f>SUM(F84,F90,F93)</f>
        <v>0</v>
      </c>
      <c r="G94" s="140">
        <f>SUM(G84,G90,G93)</f>
        <v>0</v>
      </c>
      <c r="H94" s="140">
        <f>SUM(H84,H90,H93)</f>
        <v>0</v>
      </c>
    </row>
    <row r="95" spans="2:8" x14ac:dyDescent="0.2">
      <c r="B95" s="301"/>
      <c r="C95" s="95" t="s">
        <v>636</v>
      </c>
      <c r="D95" s="140">
        <f>D78+D94</f>
        <v>0</v>
      </c>
      <c r="E95" s="140">
        <f>E78+E94</f>
        <v>0</v>
      </c>
      <c r="F95" s="140">
        <f>F78+F94</f>
        <v>0</v>
      </c>
      <c r="G95" s="140">
        <f>G78+G94</f>
        <v>0</v>
      </c>
      <c r="H95" s="140">
        <f>H78+H94</f>
        <v>0</v>
      </c>
    </row>
    <row r="119" spans="3:3" x14ac:dyDescent="0.2">
      <c r="C119" s="281"/>
    </row>
  </sheetData>
  <mergeCells count="3">
    <mergeCell ref="B12:C12"/>
    <mergeCell ref="D14:H14"/>
    <mergeCell ref="B7:D9"/>
  </mergeCells>
  <pageMargins left="0.75" right="0.75" top="1" bottom="1" header="0.5" footer="0.5"/>
  <pageSetup paperSize="9" scale="47" orientation="landscape" verticalDpi="2" r:id="rId1"/>
  <headerFooter alignWithMargins="0">
    <oddFooter>&amp;C_x000D_&amp;1#&amp;"Aptos"&amp;10&amp;K008000 APA-INTERNAL</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E24FA-54FC-47D2-AE91-1D241232671E}">
  <sheetPr codeName="Sheet12">
    <tabColor rgb="FF17415D"/>
  </sheetPr>
  <dimension ref="B1:G39"/>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28515625" style="216" customWidth="1"/>
    <col min="2" max="2" width="21" style="216" customWidth="1"/>
    <col min="3" max="6" width="42.28515625" style="216" customWidth="1"/>
    <col min="7" max="7" width="9.42578125" style="216" customWidth="1"/>
    <col min="8" max="8" width="25.28515625" style="216" customWidth="1"/>
    <col min="9" max="16384" width="9.28515625" style="216"/>
  </cols>
  <sheetData>
    <row r="1" spans="2:6" ht="20.25" customHeight="1" x14ac:dyDescent="0.2">
      <c r="B1" s="146" t="s">
        <v>510</v>
      </c>
      <c r="C1" s="146"/>
    </row>
    <row r="2" spans="2:6" ht="20.25" x14ac:dyDescent="0.2">
      <c r="B2" s="146" t="str">
        <f>IF(Tradingname=0," ",Tradingname)</f>
        <v>EAST AUSTRALIAN PIPELINE PTY LIMITED</v>
      </c>
      <c r="C2" s="146"/>
    </row>
    <row r="3" spans="2:6" ht="20.25" x14ac:dyDescent="0.3">
      <c r="B3" s="146" t="s">
        <v>110</v>
      </c>
      <c r="C3" s="110">
        <f>IF(Yearending=0, "01/01/2000", Yearending)</f>
        <v>45838</v>
      </c>
    </row>
    <row r="4" spans="2:6" ht="20.25" x14ac:dyDescent="0.2">
      <c r="B4" s="102" t="s">
        <v>86</v>
      </c>
      <c r="C4" s="102"/>
    </row>
    <row r="7" spans="2:6" ht="15.75" x14ac:dyDescent="0.25">
      <c r="B7" s="218" t="s">
        <v>641</v>
      </c>
      <c r="C7" s="219"/>
      <c r="D7" s="219"/>
      <c r="E7" s="219"/>
    </row>
    <row r="8" spans="2:6" ht="15.75" x14ac:dyDescent="0.25">
      <c r="B8" s="218"/>
      <c r="C8" s="219"/>
      <c r="D8" s="219"/>
      <c r="E8" s="219"/>
    </row>
    <row r="9" spans="2:6" ht="25.5" x14ac:dyDescent="0.2">
      <c r="B9" s="48" t="s">
        <v>515</v>
      </c>
      <c r="C9" s="48" t="s">
        <v>73</v>
      </c>
      <c r="D9" s="48" t="s">
        <v>456</v>
      </c>
      <c r="E9" s="48" t="s">
        <v>74</v>
      </c>
      <c r="F9" s="60" t="s">
        <v>76</v>
      </c>
    </row>
    <row r="10" spans="2:6" x14ac:dyDescent="0.2">
      <c r="B10" s="50"/>
      <c r="C10" s="50"/>
      <c r="D10" s="53"/>
      <c r="E10" s="282" t="s">
        <v>75</v>
      </c>
      <c r="F10" s="283"/>
    </row>
    <row r="11" spans="2:6" ht="25.5" x14ac:dyDescent="0.2">
      <c r="B11" s="391" t="s">
        <v>956</v>
      </c>
      <c r="C11" s="24" t="str">
        <f>'3.1 Depreciated Book Value'!C17</f>
        <v xml:space="preserve">Pipelines </v>
      </c>
      <c r="D11" s="332" t="s">
        <v>989</v>
      </c>
      <c r="E11" s="144">
        <v>41.721315448474101</v>
      </c>
      <c r="F11" s="383" t="s">
        <v>969</v>
      </c>
    </row>
    <row r="12" spans="2:6" ht="25.5" x14ac:dyDescent="0.2">
      <c r="B12" s="391" t="s">
        <v>956</v>
      </c>
      <c r="C12" s="24" t="str">
        <f>'3.1 Depreciated Book Value'!C26</f>
        <v xml:space="preserve">Compressors </v>
      </c>
      <c r="D12" s="85" t="s">
        <v>989</v>
      </c>
      <c r="E12" s="144">
        <v>19.582620479327776</v>
      </c>
      <c r="F12" s="145" t="s">
        <v>969</v>
      </c>
    </row>
    <row r="13" spans="2:6" ht="25.5" x14ac:dyDescent="0.2">
      <c r="B13" s="391" t="s">
        <v>956</v>
      </c>
      <c r="C13" s="24" t="str">
        <f>'3.1 Depreciated Book Value'!C34</f>
        <v xml:space="preserve">City Gates, supply regulators and valve stations </v>
      </c>
      <c r="D13" s="85" t="s">
        <v>990</v>
      </c>
      <c r="E13" s="144">
        <v>28.132573370051819</v>
      </c>
      <c r="F13" s="145" t="s">
        <v>969</v>
      </c>
    </row>
    <row r="14" spans="2:6" ht="25.5" x14ac:dyDescent="0.2">
      <c r="B14" s="391" t="s">
        <v>956</v>
      </c>
      <c r="C14" s="24" t="str">
        <f>'3.1 Depreciated Book Value'!C42</f>
        <v xml:space="preserve">Metering </v>
      </c>
      <c r="D14" s="85" t="s">
        <v>991</v>
      </c>
      <c r="E14" s="144">
        <v>19.651483643263987</v>
      </c>
      <c r="F14" s="145" t="s">
        <v>969</v>
      </c>
    </row>
    <row r="15" spans="2:6" ht="25.5" x14ac:dyDescent="0.2">
      <c r="B15" s="391" t="s">
        <v>956</v>
      </c>
      <c r="C15" s="24" t="str">
        <f>'3.1 Depreciated Book Value'!C50</f>
        <v xml:space="preserve">Odorant plants </v>
      </c>
      <c r="D15" s="85" t="s">
        <v>992</v>
      </c>
      <c r="E15" s="144">
        <v>19.999999999999996</v>
      </c>
      <c r="F15" s="145" t="s">
        <v>969</v>
      </c>
    </row>
    <row r="16" spans="2:6" ht="25.5" x14ac:dyDescent="0.2">
      <c r="B16" s="391" t="s">
        <v>956</v>
      </c>
      <c r="C16" s="24" t="str">
        <f>'3.1 Depreciated Book Value'!C58</f>
        <v xml:space="preserve">SCADA (Communications) </v>
      </c>
      <c r="D16" s="85" t="s">
        <v>993</v>
      </c>
      <c r="E16" s="144">
        <v>7.327501969372296</v>
      </c>
      <c r="F16" s="145" t="s">
        <v>969</v>
      </c>
    </row>
    <row r="17" spans="2:7" ht="25.5" x14ac:dyDescent="0.2">
      <c r="B17" s="391" t="s">
        <v>956</v>
      </c>
      <c r="C17" s="24" t="str">
        <f>'3.1 Depreciated Book Value'!C66</f>
        <v xml:space="preserve">Buildings </v>
      </c>
      <c r="D17" s="85" t="s">
        <v>989</v>
      </c>
      <c r="E17" s="144">
        <v>32.804794637900898</v>
      </c>
      <c r="F17" s="145" t="s">
        <v>969</v>
      </c>
    </row>
    <row r="18" spans="2:7" ht="25.5" x14ac:dyDescent="0.2">
      <c r="B18" s="391" t="s">
        <v>956</v>
      </c>
      <c r="C18" s="24" t="str">
        <f>'3.1 Depreciated Book Value'!C81</f>
        <v>Other depreciable pipeline assets</v>
      </c>
      <c r="D18" s="85" t="s">
        <v>989</v>
      </c>
      <c r="E18" s="144">
        <v>12.77824897668431</v>
      </c>
      <c r="F18" s="145" t="s">
        <v>969</v>
      </c>
    </row>
    <row r="19" spans="2:7" x14ac:dyDescent="0.2">
      <c r="B19" s="391"/>
      <c r="C19" s="84" t="str">
        <f>'3.1 Depreciated Book Value'!C74</f>
        <v>Land and easements</v>
      </c>
      <c r="D19" s="85" t="s">
        <v>989</v>
      </c>
      <c r="E19" s="144" t="s">
        <v>798</v>
      </c>
      <c r="F19" s="145" t="s">
        <v>932</v>
      </c>
    </row>
    <row r="20" spans="2:7" x14ac:dyDescent="0.2">
      <c r="B20" s="391"/>
      <c r="C20" s="84" t="s">
        <v>125</v>
      </c>
      <c r="D20" s="85"/>
      <c r="E20" s="144"/>
      <c r="F20" s="145"/>
    </row>
    <row r="21" spans="2:7" x14ac:dyDescent="0.2">
      <c r="B21" s="391"/>
      <c r="C21" s="84" t="s">
        <v>125</v>
      </c>
      <c r="D21" s="85"/>
      <c r="E21" s="144"/>
      <c r="F21" s="145"/>
      <c r="G21" s="284"/>
    </row>
    <row r="22" spans="2:7" x14ac:dyDescent="0.2">
      <c r="B22" s="391"/>
      <c r="C22" s="84" t="s">
        <v>125</v>
      </c>
      <c r="D22" s="85"/>
      <c r="E22" s="144"/>
      <c r="F22" s="145"/>
      <c r="G22" s="284"/>
    </row>
    <row r="23" spans="2:7" x14ac:dyDescent="0.2">
      <c r="B23" s="391" t="s">
        <v>956</v>
      </c>
      <c r="C23" s="24" t="str">
        <f>'3.1 Depreciated Book Value'!C89</f>
        <v xml:space="preserve">Leased assets </v>
      </c>
      <c r="D23" s="85" t="s">
        <v>994</v>
      </c>
      <c r="E23" s="144" t="s">
        <v>820</v>
      </c>
      <c r="F23" s="383" t="s">
        <v>946</v>
      </c>
      <c r="G23" s="284"/>
    </row>
    <row r="24" spans="2:7" x14ac:dyDescent="0.2">
      <c r="B24" s="391"/>
      <c r="C24" s="84" t="s">
        <v>125</v>
      </c>
      <c r="D24" s="85"/>
      <c r="E24" s="144"/>
      <c r="F24" s="145"/>
      <c r="G24" s="284"/>
    </row>
    <row r="25" spans="2:7" x14ac:dyDescent="0.2">
      <c r="B25" s="391"/>
      <c r="C25" s="84" t="s">
        <v>125</v>
      </c>
      <c r="D25" s="85"/>
      <c r="E25" s="144"/>
      <c r="F25" s="145"/>
      <c r="G25" s="284"/>
    </row>
    <row r="26" spans="2:7" x14ac:dyDescent="0.2">
      <c r="B26" s="391"/>
      <c r="C26" s="84" t="s">
        <v>125</v>
      </c>
      <c r="D26" s="85"/>
      <c r="E26" s="144"/>
      <c r="F26" s="145"/>
    </row>
    <row r="27" spans="2:7" x14ac:dyDescent="0.2">
      <c r="B27" s="391"/>
      <c r="C27" s="84" t="s">
        <v>125</v>
      </c>
      <c r="D27" s="85"/>
      <c r="E27" s="144"/>
      <c r="F27" s="145"/>
    </row>
    <row r="28" spans="2:7" ht="25.5" x14ac:dyDescent="0.2">
      <c r="B28" s="391" t="s">
        <v>956</v>
      </c>
      <c r="C28" s="24" t="str">
        <f>'3.1 Depreciated Book Value'!C105</f>
        <v>Shared property, plant and equipment</v>
      </c>
      <c r="D28" s="85" t="s">
        <v>989</v>
      </c>
      <c r="E28" s="144">
        <v>3.4323791017076388</v>
      </c>
      <c r="F28" s="145" t="s">
        <v>969</v>
      </c>
    </row>
    <row r="29" spans="2:7" x14ac:dyDescent="0.2">
      <c r="B29" s="391"/>
      <c r="C29" s="84" t="s">
        <v>125</v>
      </c>
      <c r="D29" s="85"/>
      <c r="E29" s="144"/>
      <c r="F29" s="145"/>
    </row>
    <row r="30" spans="2:7" x14ac:dyDescent="0.2">
      <c r="B30" s="391"/>
      <c r="C30" s="84" t="s">
        <v>125</v>
      </c>
      <c r="D30" s="85"/>
      <c r="E30" s="144"/>
      <c r="F30" s="145"/>
    </row>
    <row r="31" spans="2:7" x14ac:dyDescent="0.2">
      <c r="B31" s="391"/>
      <c r="C31" s="84" t="s">
        <v>125</v>
      </c>
      <c r="D31" s="85"/>
      <c r="E31" s="144"/>
      <c r="F31" s="145"/>
    </row>
    <row r="32" spans="2:7" x14ac:dyDescent="0.2">
      <c r="B32" s="391"/>
      <c r="C32" s="84" t="s">
        <v>125</v>
      </c>
      <c r="D32" s="85"/>
      <c r="E32" s="144"/>
      <c r="F32" s="145"/>
      <c r="G32" s="284"/>
    </row>
    <row r="33" spans="2:7" x14ac:dyDescent="0.2">
      <c r="B33" s="391"/>
      <c r="C33" s="84" t="s">
        <v>125</v>
      </c>
      <c r="D33" s="85"/>
      <c r="E33" s="144"/>
      <c r="F33" s="145"/>
      <c r="G33" s="284"/>
    </row>
    <row r="34" spans="2:7" x14ac:dyDescent="0.2">
      <c r="B34" s="391" t="s">
        <v>956</v>
      </c>
      <c r="C34" s="24" t="str">
        <f>'3.1 Depreciated Book Value'!C113</f>
        <v>Shared leased assets</v>
      </c>
      <c r="D34" s="332" t="s">
        <v>994</v>
      </c>
      <c r="E34" s="144" t="s">
        <v>820</v>
      </c>
      <c r="F34" s="145" t="s">
        <v>946</v>
      </c>
      <c r="G34" s="284"/>
    </row>
    <row r="35" spans="2:7" x14ac:dyDescent="0.2">
      <c r="B35" s="299"/>
      <c r="C35" s="84" t="s">
        <v>125</v>
      </c>
      <c r="D35" s="85"/>
      <c r="E35" s="144"/>
      <c r="F35" s="145"/>
      <c r="G35" s="284"/>
    </row>
    <row r="36" spans="2:7" x14ac:dyDescent="0.2">
      <c r="B36" s="299"/>
      <c r="C36" s="84" t="s">
        <v>125</v>
      </c>
      <c r="D36" s="85"/>
      <c r="E36" s="144"/>
      <c r="F36" s="145"/>
      <c r="G36" s="284"/>
    </row>
    <row r="37" spans="2:7" x14ac:dyDescent="0.2">
      <c r="B37" s="299"/>
      <c r="C37" s="84" t="s">
        <v>125</v>
      </c>
      <c r="D37" s="85"/>
      <c r="E37" s="144"/>
      <c r="F37" s="145"/>
      <c r="G37" s="284"/>
    </row>
    <row r="38" spans="2:7" x14ac:dyDescent="0.2">
      <c r="B38" s="299"/>
      <c r="C38" s="84" t="s">
        <v>125</v>
      </c>
      <c r="D38" s="85"/>
      <c r="E38" s="144"/>
      <c r="F38" s="145"/>
    </row>
    <row r="39" spans="2:7" x14ac:dyDescent="0.2">
      <c r="B39" s="299"/>
      <c r="C39" s="84" t="s">
        <v>125</v>
      </c>
      <c r="D39" s="85"/>
      <c r="E39" s="144"/>
      <c r="F39" s="145"/>
    </row>
  </sheetData>
  <sheetProtection sheet="1" insertRows="0" autoFilter="0"/>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359C7-2FE5-494C-A509-B18357CBB86B}">
  <sheetPr codeName="Sheet13">
    <tabColor rgb="FF17415D"/>
  </sheetPr>
  <dimension ref="B1:J56"/>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 style="4" customWidth="1"/>
    <col min="2" max="2" width="31.7109375" style="4" customWidth="1"/>
    <col min="3" max="3" width="41.7109375" style="4" bestFit="1" customWidth="1"/>
    <col min="4" max="4" width="27.28515625" style="4" customWidth="1"/>
    <col min="5" max="5" width="32.7109375" style="4" customWidth="1"/>
    <col min="6" max="6" width="21.7109375" style="4" customWidth="1"/>
    <col min="7" max="7" width="24.42578125" style="4" customWidth="1"/>
    <col min="8" max="8" width="45" style="4" customWidth="1"/>
    <col min="9" max="10" width="19.7109375" style="4" customWidth="1"/>
    <col min="11" max="11" width="18.28515625" style="4" customWidth="1"/>
    <col min="12" max="16384" width="9.28515625" style="4"/>
  </cols>
  <sheetData>
    <row r="1" spans="2:10" ht="20.25" x14ac:dyDescent="0.3">
      <c r="B1" s="146" t="s">
        <v>510</v>
      </c>
      <c r="C1" s="146"/>
      <c r="D1" s="215"/>
      <c r="E1" s="215"/>
      <c r="F1" s="215"/>
      <c r="G1" s="215"/>
      <c r="H1" s="215"/>
      <c r="I1" s="215"/>
      <c r="J1" s="215"/>
    </row>
    <row r="2" spans="2:10" ht="20.25" x14ac:dyDescent="0.2">
      <c r="B2" s="146" t="str">
        <f>IF(Tradingname=0," ",Tradingname)</f>
        <v>EAST AUSTRALIAN PIPELINE PTY LIMITED</v>
      </c>
      <c r="C2" s="146"/>
    </row>
    <row r="3" spans="2:10" ht="18" customHeight="1" x14ac:dyDescent="0.45">
      <c r="B3" s="146" t="s">
        <v>110</v>
      </c>
      <c r="C3" s="110">
        <f>IF(Yearending=0, "01/01/2000", Yearending)</f>
        <v>45838</v>
      </c>
      <c r="F3" s="254"/>
    </row>
    <row r="4" spans="2:10" ht="20.25" x14ac:dyDescent="0.2">
      <c r="B4" s="102" t="s">
        <v>94</v>
      </c>
      <c r="C4" s="102"/>
    </row>
    <row r="6" spans="2:10" ht="15.75" x14ac:dyDescent="0.25">
      <c r="B6" s="225"/>
    </row>
    <row r="7" spans="2:10" ht="15.75" x14ac:dyDescent="0.25">
      <c r="B7" s="225" t="s">
        <v>642</v>
      </c>
    </row>
    <row r="8" spans="2:10" x14ac:dyDescent="0.2">
      <c r="B8" s="226"/>
      <c r="C8" s="227"/>
      <c r="D8" s="227"/>
      <c r="E8" s="227"/>
      <c r="F8" s="227"/>
      <c r="G8" s="256"/>
      <c r="H8" s="257"/>
      <c r="I8" s="258"/>
      <c r="J8" s="258"/>
    </row>
    <row r="9" spans="2:10" ht="31.9" customHeight="1" x14ac:dyDescent="0.2">
      <c r="B9" s="41" t="s">
        <v>59</v>
      </c>
      <c r="C9" s="62" t="s">
        <v>0</v>
      </c>
      <c r="D9" s="41" t="s">
        <v>121</v>
      </c>
      <c r="E9" s="41" t="s">
        <v>95</v>
      </c>
      <c r="F9" s="41" t="s">
        <v>96</v>
      </c>
    </row>
    <row r="10" spans="2:10" ht="13.9" customHeight="1" x14ac:dyDescent="0.2">
      <c r="B10" s="75" t="s">
        <v>916</v>
      </c>
      <c r="C10" s="395" t="s">
        <v>548</v>
      </c>
      <c r="D10" s="79">
        <v>296428287.27447522</v>
      </c>
      <c r="E10" s="394">
        <v>45107</v>
      </c>
      <c r="F10" s="393" t="s">
        <v>957</v>
      </c>
    </row>
    <row r="11" spans="2:10" ht="13.9" customHeight="1" x14ac:dyDescent="0.2">
      <c r="B11" s="75" t="s">
        <v>916</v>
      </c>
      <c r="C11" s="395" t="s">
        <v>557</v>
      </c>
      <c r="D11" s="79">
        <v>143322461.66</v>
      </c>
      <c r="E11" s="394">
        <v>45107</v>
      </c>
      <c r="F11" s="393" t="s">
        <v>957</v>
      </c>
    </row>
    <row r="12" spans="2:10" ht="13.9" customHeight="1" x14ac:dyDescent="0.2">
      <c r="B12" s="75" t="s">
        <v>916</v>
      </c>
      <c r="C12" s="395" t="s">
        <v>548</v>
      </c>
      <c r="D12" s="79">
        <v>179225656.78901571</v>
      </c>
      <c r="E12" s="394">
        <v>45473</v>
      </c>
      <c r="F12" s="393" t="s">
        <v>957</v>
      </c>
    </row>
    <row r="13" spans="2:10" ht="13.9" customHeight="1" x14ac:dyDescent="0.2">
      <c r="B13" s="75"/>
      <c r="C13" s="87"/>
      <c r="D13" s="79"/>
      <c r="E13" s="86"/>
      <c r="F13" s="80"/>
    </row>
    <row r="14" spans="2:10" ht="13.9" customHeight="1" x14ac:dyDescent="0.2">
      <c r="B14" s="75"/>
      <c r="C14" s="87"/>
      <c r="D14" s="79"/>
      <c r="E14" s="86"/>
      <c r="F14" s="80"/>
    </row>
    <row r="15" spans="2:10" ht="13.9" customHeight="1" x14ac:dyDescent="0.2">
      <c r="B15" s="75"/>
      <c r="C15" s="87"/>
      <c r="D15" s="79"/>
      <c r="E15" s="86"/>
      <c r="F15" s="80"/>
    </row>
    <row r="16" spans="2:10" ht="13.9" customHeight="1" x14ac:dyDescent="0.2">
      <c r="B16" s="75"/>
      <c r="C16" s="87"/>
      <c r="D16" s="79"/>
      <c r="E16" s="86"/>
      <c r="F16" s="80"/>
    </row>
    <row r="17" spans="2:9" ht="13.9" customHeight="1" x14ac:dyDescent="0.2">
      <c r="B17" s="75"/>
      <c r="C17" s="87"/>
      <c r="D17" s="79"/>
      <c r="E17" s="86"/>
      <c r="F17" s="80"/>
    </row>
    <row r="18" spans="2:9" ht="13.9" customHeight="1" x14ac:dyDescent="0.2">
      <c r="B18" s="75"/>
      <c r="C18" s="87"/>
      <c r="D18" s="79"/>
      <c r="E18" s="86"/>
      <c r="F18" s="80"/>
    </row>
    <row r="19" spans="2:9" ht="13.9" customHeight="1" x14ac:dyDescent="0.2">
      <c r="B19" s="75"/>
      <c r="C19" s="87"/>
      <c r="D19" s="79"/>
      <c r="E19" s="86"/>
      <c r="F19" s="80"/>
    </row>
    <row r="20" spans="2:9" ht="13.9" customHeight="1" x14ac:dyDescent="0.2">
      <c r="B20" s="75"/>
      <c r="C20" s="87"/>
      <c r="D20" s="79"/>
      <c r="E20" s="86"/>
      <c r="F20" s="80"/>
    </row>
    <row r="21" spans="2:9" ht="13.9" customHeight="1" x14ac:dyDescent="0.2">
      <c r="B21" s="78"/>
      <c r="C21" s="87"/>
      <c r="D21" s="79"/>
      <c r="E21" s="86"/>
      <c r="F21" s="80"/>
    </row>
    <row r="22" spans="2:9" ht="13.9" customHeight="1" x14ac:dyDescent="0.2">
      <c r="B22" s="78"/>
      <c r="C22" s="87"/>
      <c r="D22" s="79"/>
      <c r="E22" s="86"/>
      <c r="F22" s="80"/>
    </row>
    <row r="23" spans="2:9" ht="13.9" customHeight="1" x14ac:dyDescent="0.2">
      <c r="B23" s="78"/>
      <c r="C23" s="87"/>
      <c r="D23" s="79"/>
      <c r="E23" s="86"/>
      <c r="F23" s="80"/>
    </row>
    <row r="24" spans="2:9" ht="13.9" customHeight="1" x14ac:dyDescent="0.2">
      <c r="B24" s="78"/>
      <c r="C24" s="87"/>
      <c r="D24" s="79"/>
      <c r="E24" s="86"/>
      <c r="F24" s="80"/>
    </row>
    <row r="27" spans="2:9" ht="15.75" x14ac:dyDescent="0.25">
      <c r="B27" s="225" t="s">
        <v>643</v>
      </c>
    </row>
    <row r="28" spans="2:9" x14ac:dyDescent="0.2">
      <c r="B28" s="226"/>
      <c r="C28" s="227"/>
      <c r="D28" s="227"/>
      <c r="E28" s="227"/>
    </row>
    <row r="29" spans="2:9" ht="37.15" customHeight="1" x14ac:dyDescent="0.2">
      <c r="B29" s="41" t="s">
        <v>59</v>
      </c>
      <c r="C29" s="62" t="s">
        <v>0</v>
      </c>
      <c r="D29" s="41" t="s">
        <v>122</v>
      </c>
      <c r="E29" s="41" t="s">
        <v>95</v>
      </c>
      <c r="F29" s="41" t="s">
        <v>96</v>
      </c>
      <c r="G29" s="41" t="s">
        <v>123</v>
      </c>
      <c r="H29" s="41" t="s">
        <v>103</v>
      </c>
      <c r="I29" s="41" t="s">
        <v>104</v>
      </c>
    </row>
    <row r="30" spans="2:9" x14ac:dyDescent="0.2">
      <c r="B30" s="78"/>
      <c r="C30" s="87"/>
      <c r="D30" s="79"/>
      <c r="E30" s="86"/>
      <c r="F30" s="80"/>
      <c r="G30" s="79"/>
      <c r="H30" s="86"/>
      <c r="I30" s="80"/>
    </row>
    <row r="31" spans="2:9" x14ac:dyDescent="0.2">
      <c r="B31" s="78"/>
      <c r="C31" s="87"/>
      <c r="D31" s="79"/>
      <c r="E31" s="86"/>
      <c r="F31" s="80"/>
      <c r="G31" s="79"/>
      <c r="H31" s="86"/>
      <c r="I31" s="80"/>
    </row>
    <row r="32" spans="2:9" x14ac:dyDescent="0.2">
      <c r="B32" s="78"/>
      <c r="C32" s="87"/>
      <c r="D32" s="79"/>
      <c r="E32" s="86"/>
      <c r="F32" s="80"/>
      <c r="G32" s="79"/>
      <c r="H32" s="86"/>
      <c r="I32" s="80"/>
    </row>
    <row r="33" spans="2:9" x14ac:dyDescent="0.2">
      <c r="B33" s="78"/>
      <c r="C33" s="87"/>
      <c r="D33" s="79"/>
      <c r="E33" s="86"/>
      <c r="F33" s="80"/>
      <c r="G33" s="79"/>
      <c r="H33" s="86"/>
      <c r="I33" s="80"/>
    </row>
    <row r="34" spans="2:9" x14ac:dyDescent="0.2">
      <c r="B34" s="78"/>
      <c r="C34" s="87"/>
      <c r="D34" s="79"/>
      <c r="E34" s="86"/>
      <c r="F34" s="80"/>
      <c r="G34" s="79"/>
      <c r="H34" s="86"/>
      <c r="I34" s="80"/>
    </row>
    <row r="35" spans="2:9" x14ac:dyDescent="0.2">
      <c r="B35" s="78"/>
      <c r="C35" s="87"/>
      <c r="D35" s="79"/>
      <c r="E35" s="86"/>
      <c r="F35" s="80"/>
      <c r="G35" s="79"/>
      <c r="H35" s="86"/>
      <c r="I35" s="80"/>
    </row>
    <row r="36" spans="2:9" x14ac:dyDescent="0.2">
      <c r="B36" s="78"/>
      <c r="C36" s="87"/>
      <c r="D36" s="79"/>
      <c r="E36" s="86"/>
      <c r="F36" s="80"/>
      <c r="G36" s="79"/>
      <c r="H36" s="86"/>
      <c r="I36" s="80"/>
    </row>
    <row r="37" spans="2:9" x14ac:dyDescent="0.2">
      <c r="B37" s="78"/>
      <c r="C37" s="87"/>
      <c r="D37" s="79"/>
      <c r="E37" s="86"/>
      <c r="F37" s="80"/>
      <c r="G37" s="79"/>
      <c r="H37" s="86"/>
      <c r="I37" s="80"/>
    </row>
    <row r="38" spans="2:9" x14ac:dyDescent="0.2">
      <c r="B38" s="78"/>
      <c r="C38" s="87"/>
      <c r="D38" s="79"/>
      <c r="E38" s="86"/>
      <c r="F38" s="80"/>
      <c r="G38" s="79"/>
      <c r="H38" s="86"/>
      <c r="I38" s="80"/>
    </row>
    <row r="39" spans="2:9" x14ac:dyDescent="0.2">
      <c r="B39" s="78"/>
      <c r="C39" s="87"/>
      <c r="D39" s="79"/>
      <c r="E39" s="86"/>
      <c r="F39" s="80"/>
      <c r="G39" s="79"/>
      <c r="H39" s="86"/>
      <c r="I39" s="80"/>
    </row>
    <row r="40" spans="2:9" x14ac:dyDescent="0.2">
      <c r="B40" s="78"/>
      <c r="C40" s="87"/>
      <c r="D40" s="79"/>
      <c r="E40" s="86"/>
      <c r="F40" s="80"/>
      <c r="G40" s="79"/>
      <c r="H40" s="86"/>
      <c r="I40" s="80"/>
    </row>
    <row r="41" spans="2:9" x14ac:dyDescent="0.2">
      <c r="B41" s="78"/>
      <c r="C41" s="87"/>
      <c r="D41" s="79"/>
      <c r="E41" s="86"/>
      <c r="F41" s="80"/>
      <c r="G41" s="79"/>
      <c r="H41" s="86"/>
      <c r="I41" s="80"/>
    </row>
    <row r="42" spans="2:9" x14ac:dyDescent="0.2">
      <c r="B42" s="78"/>
      <c r="C42" s="87"/>
      <c r="D42" s="79"/>
      <c r="E42" s="86"/>
      <c r="F42" s="80"/>
      <c r="G42" s="79"/>
      <c r="H42" s="86"/>
      <c r="I42" s="80"/>
    </row>
    <row r="43" spans="2:9" x14ac:dyDescent="0.2">
      <c r="B43" s="78"/>
      <c r="C43" s="87"/>
      <c r="D43" s="79"/>
      <c r="E43" s="86"/>
      <c r="F43" s="80"/>
      <c r="G43" s="79"/>
      <c r="H43" s="86"/>
      <c r="I43" s="80"/>
    </row>
    <row r="44" spans="2:9" x14ac:dyDescent="0.2">
      <c r="B44" s="78"/>
      <c r="C44" s="87"/>
      <c r="D44" s="79"/>
      <c r="E44" s="86"/>
      <c r="F44" s="80"/>
      <c r="G44" s="79"/>
      <c r="H44" s="86"/>
      <c r="I44" s="80"/>
    </row>
    <row r="45" spans="2:9" x14ac:dyDescent="0.2">
      <c r="B45" s="78"/>
      <c r="C45" s="87"/>
      <c r="D45" s="79"/>
      <c r="E45" s="86"/>
      <c r="F45" s="80"/>
      <c r="G45" s="79"/>
      <c r="H45" s="86"/>
      <c r="I45" s="80"/>
    </row>
    <row r="46" spans="2:9" x14ac:dyDescent="0.2">
      <c r="B46" s="78"/>
      <c r="C46" s="87"/>
      <c r="D46" s="79"/>
      <c r="E46" s="86"/>
      <c r="F46" s="80"/>
      <c r="G46" s="79"/>
      <c r="H46" s="86"/>
      <c r="I46" s="80"/>
    </row>
    <row r="47" spans="2:9" x14ac:dyDescent="0.2">
      <c r="B47" s="78"/>
      <c r="C47" s="87"/>
      <c r="D47" s="79"/>
      <c r="E47" s="86"/>
      <c r="F47" s="80"/>
      <c r="G47" s="79"/>
      <c r="H47" s="86"/>
      <c r="I47" s="80"/>
    </row>
    <row r="48" spans="2:9" x14ac:dyDescent="0.2">
      <c r="B48" s="78"/>
      <c r="C48" s="87"/>
      <c r="D48" s="79"/>
      <c r="E48" s="86"/>
      <c r="F48" s="80"/>
      <c r="G48" s="79"/>
      <c r="H48" s="86"/>
      <c r="I48" s="80"/>
    </row>
    <row r="49" spans="2:9" x14ac:dyDescent="0.2">
      <c r="B49" s="78"/>
      <c r="C49" s="87"/>
      <c r="D49" s="79"/>
      <c r="E49" s="86"/>
      <c r="F49" s="80"/>
      <c r="G49" s="79"/>
      <c r="H49" s="86"/>
      <c r="I49" s="80"/>
    </row>
    <row r="50" spans="2:9" x14ac:dyDescent="0.2">
      <c r="B50" s="78"/>
      <c r="C50" s="87"/>
      <c r="D50" s="79"/>
      <c r="E50" s="86"/>
      <c r="F50" s="80"/>
      <c r="G50" s="79"/>
      <c r="H50" s="86"/>
      <c r="I50" s="80"/>
    </row>
    <row r="51" spans="2:9" x14ac:dyDescent="0.2">
      <c r="B51" s="78"/>
      <c r="C51" s="87"/>
      <c r="D51" s="79"/>
      <c r="E51" s="86"/>
      <c r="F51" s="80"/>
      <c r="G51" s="79"/>
      <c r="H51" s="86"/>
      <c r="I51" s="80"/>
    </row>
    <row r="52" spans="2:9" x14ac:dyDescent="0.2">
      <c r="B52" s="78"/>
      <c r="C52" s="87"/>
      <c r="D52" s="79"/>
      <c r="E52" s="86"/>
      <c r="F52" s="80"/>
      <c r="G52" s="79"/>
      <c r="H52" s="86"/>
      <c r="I52" s="80"/>
    </row>
    <row r="53" spans="2:9" x14ac:dyDescent="0.2">
      <c r="B53" s="78"/>
      <c r="C53" s="87"/>
      <c r="D53" s="79"/>
      <c r="E53" s="86"/>
      <c r="F53" s="80"/>
      <c r="G53" s="79"/>
      <c r="H53" s="86"/>
      <c r="I53" s="80"/>
    </row>
    <row r="54" spans="2:9" x14ac:dyDescent="0.2">
      <c r="B54" s="78"/>
      <c r="C54" s="87"/>
      <c r="D54" s="79"/>
      <c r="E54" s="86"/>
      <c r="F54" s="80"/>
      <c r="G54" s="79"/>
      <c r="H54" s="86"/>
      <c r="I54" s="80"/>
    </row>
    <row r="55" spans="2:9" x14ac:dyDescent="0.2">
      <c r="B55" s="78"/>
      <c r="C55" s="87"/>
      <c r="D55" s="79"/>
      <c r="E55" s="86"/>
      <c r="F55" s="80"/>
      <c r="G55" s="79"/>
      <c r="H55" s="86"/>
      <c r="I55" s="80"/>
    </row>
    <row r="56" spans="2:9" x14ac:dyDescent="0.2">
      <c r="B56" s="78"/>
      <c r="C56" s="87"/>
      <c r="D56" s="79"/>
      <c r="E56" s="86"/>
      <c r="F56" s="80"/>
      <c r="G56" s="79"/>
      <c r="H56" s="86"/>
      <c r="I56" s="80"/>
    </row>
  </sheetData>
  <sheetProtection sheet="1" insertRows="0"/>
  <dataValidations count="1">
    <dataValidation type="list" allowBlank="1" showInputMessage="1" showErrorMessage="1" sqref="C10:C24 C30:C56" xr:uid="{92B7608E-0C39-4C79-9C93-BD0AACAB4101}">
      <formula1>rAllAssets</formula1>
    </dataValidation>
  </dataValidations>
  <pageMargins left="0.25" right="0.25" top="0.75" bottom="0.75" header="0.3" footer="0.3"/>
  <pageSetup paperSize="9" scale="59" orientation="landscape" r:id="rId1"/>
  <headerFooter alignWithMargins="0">
    <oddFooter>&amp;C_x000D_&amp;1#&amp;"Aptos"&amp;10&amp;K008000 APA-INTERNAL</oddFooter>
  </headerFooter>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4B51D-7280-4D52-98BF-E8E908F4E4FF}">
  <sheetPr codeName="Sheet14">
    <tabColor rgb="FF17415D"/>
  </sheetPr>
  <dimension ref="B1:Q84"/>
  <sheetViews>
    <sheetView showGridLines="0" zoomScaleNormal="100" workbookViewId="0">
      <pane xSplit="1" ySplit="8" topLeftCell="B9" activePane="bottomRight" state="frozen"/>
      <selection pane="topRight" activeCell="B1" sqref="B1"/>
      <selection pane="bottomLeft" activeCell="A9" sqref="A9"/>
      <selection pane="bottomRight"/>
    </sheetView>
  </sheetViews>
  <sheetFormatPr defaultColWidth="8.7109375" defaultRowHeight="12.75" x14ac:dyDescent="0.2"/>
  <cols>
    <col min="1" max="1" width="11.42578125" customWidth="1"/>
    <col min="2" max="2" width="32.42578125" customWidth="1"/>
    <col min="3" max="3" width="40.7109375" customWidth="1"/>
    <col min="4" max="4" width="41.7109375" bestFit="1" customWidth="1"/>
    <col min="5" max="8" width="20.7109375" customWidth="1"/>
    <col min="9" max="9" width="30.7109375" customWidth="1"/>
    <col min="10" max="10" width="32.7109375" customWidth="1"/>
    <col min="11" max="11" width="20.7109375" customWidth="1"/>
    <col min="12" max="12" width="24" customWidth="1"/>
    <col min="13" max="13" width="31" customWidth="1"/>
    <col min="14" max="17" width="20.7109375" customWidth="1"/>
  </cols>
  <sheetData>
    <row r="1" spans="2:17" ht="20.25" customHeight="1" x14ac:dyDescent="0.2">
      <c r="B1" s="146" t="s">
        <v>510</v>
      </c>
      <c r="C1" s="146"/>
    </row>
    <row r="2" spans="2:17" ht="20.25" x14ac:dyDescent="0.2">
      <c r="B2" s="146" t="str">
        <f>IF(Tradingname=0," ",Tradingname)</f>
        <v>EAST AUSTRALIAN PIPELINE PTY LIMITED</v>
      </c>
      <c r="C2" s="146"/>
    </row>
    <row r="3" spans="2:17" ht="20.25" customHeight="1" x14ac:dyDescent="0.3">
      <c r="B3" s="146" t="s">
        <v>110</v>
      </c>
      <c r="C3" s="110">
        <f>IF(Yearending=0, "01/01/2000", Yearending)</f>
        <v>45838</v>
      </c>
    </row>
    <row r="4" spans="2:17" ht="20.25" x14ac:dyDescent="0.2">
      <c r="B4" s="102" t="s">
        <v>408</v>
      </c>
      <c r="C4" s="102"/>
    </row>
    <row r="5" spans="2:17" ht="12.75" customHeight="1" x14ac:dyDescent="0.2"/>
    <row r="6" spans="2:17" x14ac:dyDescent="0.2">
      <c r="B6" s="480" t="s">
        <v>588</v>
      </c>
      <c r="C6" s="480"/>
      <c r="D6" s="480"/>
      <c r="E6" s="480"/>
    </row>
    <row r="7" spans="2:17" ht="15.75" customHeight="1" x14ac:dyDescent="0.2">
      <c r="B7" s="480"/>
      <c r="C7" s="480"/>
      <c r="D7" s="480"/>
      <c r="E7" s="480"/>
      <c r="G7" s="171"/>
    </row>
    <row r="8" spans="2:17" ht="15.75" customHeight="1" x14ac:dyDescent="0.2">
      <c r="B8" s="480"/>
      <c r="C8" s="480"/>
      <c r="D8" s="480"/>
      <c r="E8" s="480"/>
      <c r="G8" s="171"/>
    </row>
    <row r="9" spans="2:17" x14ac:dyDescent="0.2">
      <c r="G9" s="171"/>
    </row>
    <row r="11" spans="2:17" ht="15.75" x14ac:dyDescent="0.25">
      <c r="B11" s="208" t="s">
        <v>644</v>
      </c>
    </row>
    <row r="13" spans="2:17" ht="45" customHeight="1" x14ac:dyDescent="0.2">
      <c r="B13" s="61" t="s">
        <v>515</v>
      </c>
      <c r="C13" s="62" t="s">
        <v>13</v>
      </c>
      <c r="D13" s="62" t="s">
        <v>0</v>
      </c>
      <c r="E13" s="62" t="s">
        <v>389</v>
      </c>
      <c r="F13" s="62" t="s">
        <v>50</v>
      </c>
      <c r="G13" s="62" t="s">
        <v>93</v>
      </c>
      <c r="H13" s="63" t="s">
        <v>585</v>
      </c>
      <c r="I13" s="63" t="s">
        <v>586</v>
      </c>
      <c r="J13" s="63" t="s">
        <v>658</v>
      </c>
      <c r="K13" s="63" t="s">
        <v>587</v>
      </c>
      <c r="L13" s="62" t="s">
        <v>53</v>
      </c>
      <c r="M13" s="62" t="s">
        <v>399</v>
      </c>
      <c r="N13" s="62" t="s">
        <v>400</v>
      </c>
      <c r="O13" s="62" t="s">
        <v>155</v>
      </c>
      <c r="P13" s="62" t="s">
        <v>223</v>
      </c>
      <c r="Q13" s="41" t="s">
        <v>54</v>
      </c>
    </row>
    <row r="14" spans="2:17" x14ac:dyDescent="0.2">
      <c r="B14" s="303"/>
      <c r="C14" s="64"/>
      <c r="D14" s="64"/>
      <c r="E14" s="64"/>
      <c r="F14" s="64" t="s">
        <v>55</v>
      </c>
      <c r="G14" s="64" t="s">
        <v>111</v>
      </c>
      <c r="H14" s="65" t="s">
        <v>111</v>
      </c>
      <c r="I14" s="65" t="s">
        <v>111</v>
      </c>
      <c r="J14" s="65" t="s">
        <v>111</v>
      </c>
      <c r="K14" s="65" t="s">
        <v>111</v>
      </c>
      <c r="L14" s="64" t="s">
        <v>111</v>
      </c>
      <c r="M14" s="64"/>
      <c r="N14" s="64" t="s">
        <v>111</v>
      </c>
      <c r="O14" s="64" t="s">
        <v>111</v>
      </c>
      <c r="P14" s="64" t="s">
        <v>111</v>
      </c>
      <c r="Q14" s="64" t="s">
        <v>111</v>
      </c>
    </row>
    <row r="15" spans="2:17" x14ac:dyDescent="0.2">
      <c r="B15" s="396" t="s">
        <v>958</v>
      </c>
      <c r="C15" s="87"/>
      <c r="D15" s="286" t="s">
        <v>548</v>
      </c>
      <c r="E15" s="89" t="str">
        <f>'3.3 Asset useful life'!D11</f>
        <v>1/6/2000 to 30/6/2025</v>
      </c>
      <c r="F15" s="89">
        <f>'3.3 Asset useful life'!E11</f>
        <v>41.721315448474101</v>
      </c>
      <c r="G15" s="90"/>
      <c r="H15" s="90">
        <v>1386382727.569998</v>
      </c>
      <c r="I15" s="90">
        <v>23660640.050000004</v>
      </c>
      <c r="J15" s="90">
        <v>2635301.83</v>
      </c>
      <c r="K15" s="90">
        <v>0</v>
      </c>
      <c r="L15" s="25">
        <f>SUM(H15:K15)</f>
        <v>1412678669.4499979</v>
      </c>
      <c r="M15" s="83">
        <v>1</v>
      </c>
      <c r="N15" s="101">
        <f>L15*M15</f>
        <v>1412678669.4499979</v>
      </c>
      <c r="O15" s="90">
        <v>-1033672288.196336</v>
      </c>
      <c r="P15" s="90">
        <v>-15320144.158569599</v>
      </c>
      <c r="Q15" s="21">
        <f>SUM(N15:P15)</f>
        <v>363686237.0950923</v>
      </c>
    </row>
    <row r="16" spans="2:17" x14ac:dyDescent="0.2">
      <c r="B16" s="396" t="s">
        <v>958</v>
      </c>
      <c r="C16" s="87"/>
      <c r="D16" s="286" t="s">
        <v>549</v>
      </c>
      <c r="E16" s="89" t="str">
        <f>'3.3 Asset useful life'!D12</f>
        <v>1/6/2000 to 30/6/2025</v>
      </c>
      <c r="F16" s="89">
        <f>'3.3 Asset useful life'!E12</f>
        <v>19.582620479327776</v>
      </c>
      <c r="G16" s="90"/>
      <c r="H16" s="90">
        <v>307625415.03999996</v>
      </c>
      <c r="I16" s="90">
        <v>1619348.669999999</v>
      </c>
      <c r="J16" s="90">
        <v>0</v>
      </c>
      <c r="K16" s="90">
        <v>0</v>
      </c>
      <c r="L16" s="25">
        <f>SUM(H16:K16)</f>
        <v>309244763.70999998</v>
      </c>
      <c r="M16" s="83">
        <v>1</v>
      </c>
      <c r="N16" s="101">
        <f t="shared" ref="N16:N58" si="0">L16*M16</f>
        <v>309244763.70999998</v>
      </c>
      <c r="O16" s="90">
        <v>-79337259.000000015</v>
      </c>
      <c r="P16" s="90">
        <v>-14596465.88440701</v>
      </c>
      <c r="Q16" s="21">
        <f t="shared" ref="Q16:Q58" si="1">SUM(N16:P16)</f>
        <v>215311038.82559296</v>
      </c>
    </row>
    <row r="17" spans="2:17" x14ac:dyDescent="0.2">
      <c r="B17" s="396" t="s">
        <v>958</v>
      </c>
      <c r="C17" s="87"/>
      <c r="D17" s="286" t="s">
        <v>550</v>
      </c>
      <c r="E17" s="89" t="str">
        <f>'3.3 Asset useful life'!D13</f>
        <v>1/1/2019 to 30/6/2025</v>
      </c>
      <c r="F17" s="89">
        <f>'3.3 Asset useful life'!E13</f>
        <v>28.132573370051819</v>
      </c>
      <c r="G17" s="90"/>
      <c r="H17" s="90">
        <v>30258550.389999997</v>
      </c>
      <c r="I17" s="90">
        <v>10105666.26</v>
      </c>
      <c r="J17" s="90">
        <v>0</v>
      </c>
      <c r="K17" s="90">
        <v>0</v>
      </c>
      <c r="L17" s="25">
        <f t="shared" ref="L17:L58" si="2">SUM(H17:K17)</f>
        <v>40364216.649999999</v>
      </c>
      <c r="M17" s="83">
        <v>1</v>
      </c>
      <c r="N17" s="101">
        <f t="shared" si="0"/>
        <v>40364216.649999999</v>
      </c>
      <c r="O17" s="90">
        <v>-5546633.4300000016</v>
      </c>
      <c r="P17" s="90">
        <v>-2062378.7270931867</v>
      </c>
      <c r="Q17" s="21">
        <f t="shared" si="1"/>
        <v>32755204.492906813</v>
      </c>
    </row>
    <row r="18" spans="2:17" x14ac:dyDescent="0.2">
      <c r="B18" s="396" t="s">
        <v>958</v>
      </c>
      <c r="C18" s="87"/>
      <c r="D18" s="286" t="s">
        <v>551</v>
      </c>
      <c r="E18" s="89" t="str">
        <f>'3.3 Asset useful life'!D14</f>
        <v>1/10/2001 to 30/6/2025</v>
      </c>
      <c r="F18" s="89">
        <f>'3.3 Asset useful life'!E14</f>
        <v>19.651483643263987</v>
      </c>
      <c r="G18" s="90"/>
      <c r="H18" s="90">
        <v>8476747.8399999999</v>
      </c>
      <c r="I18" s="90">
        <v>6716244.5300000003</v>
      </c>
      <c r="J18" s="90">
        <v>0</v>
      </c>
      <c r="K18" s="90">
        <v>0</v>
      </c>
      <c r="L18" s="25">
        <f t="shared" si="2"/>
        <v>15192992.370000001</v>
      </c>
      <c r="M18" s="83">
        <v>1</v>
      </c>
      <c r="N18" s="101">
        <f t="shared" si="0"/>
        <v>15192992.370000001</v>
      </c>
      <c r="O18" s="90">
        <v>-2885006.5699999994</v>
      </c>
      <c r="P18" s="90">
        <v>-417662.42312856112</v>
      </c>
      <c r="Q18" s="21">
        <f t="shared" si="1"/>
        <v>11890323.376871441</v>
      </c>
    </row>
    <row r="19" spans="2:17" x14ac:dyDescent="0.2">
      <c r="B19" s="396" t="s">
        <v>958</v>
      </c>
      <c r="C19" s="87"/>
      <c r="D19" s="286" t="s">
        <v>552</v>
      </c>
      <c r="E19" s="89" t="str">
        <f>'3.3 Asset useful life'!D15</f>
        <v>1/7/2010 to 30/6/2025</v>
      </c>
      <c r="F19" s="89">
        <f>'3.3 Asset useful life'!E15</f>
        <v>19.999999999999996</v>
      </c>
      <c r="G19" s="90"/>
      <c r="H19" s="90">
        <v>906504.53</v>
      </c>
      <c r="I19" s="90">
        <v>2727179.3</v>
      </c>
      <c r="J19" s="90">
        <v>0</v>
      </c>
      <c r="K19" s="90">
        <v>0</v>
      </c>
      <c r="L19" s="25">
        <f t="shared" si="2"/>
        <v>3633683.83</v>
      </c>
      <c r="M19" s="83">
        <v>1</v>
      </c>
      <c r="N19" s="101">
        <f t="shared" si="0"/>
        <v>3633683.83</v>
      </c>
      <c r="O19" s="90">
        <v>-456301.55</v>
      </c>
      <c r="P19" s="90">
        <v>-56127.26616438356</v>
      </c>
      <c r="Q19" s="21">
        <f t="shared" si="1"/>
        <v>3121255.0138356169</v>
      </c>
    </row>
    <row r="20" spans="2:17" x14ac:dyDescent="0.2">
      <c r="B20" s="396" t="s">
        <v>958</v>
      </c>
      <c r="C20" s="87"/>
      <c r="D20" s="286" t="s">
        <v>553</v>
      </c>
      <c r="E20" s="89" t="str">
        <f>'3.3 Asset useful life'!D16</f>
        <v>1/3/2003 to 30/6/2025</v>
      </c>
      <c r="F20" s="89">
        <f>'3.3 Asset useful life'!E16</f>
        <v>7.327501969372296</v>
      </c>
      <c r="G20" s="90"/>
      <c r="H20" s="90">
        <v>6113254.799999998</v>
      </c>
      <c r="I20" s="90">
        <v>-653147.86</v>
      </c>
      <c r="J20" s="90">
        <v>0</v>
      </c>
      <c r="K20" s="90">
        <v>0</v>
      </c>
      <c r="L20" s="25">
        <f t="shared" si="2"/>
        <v>5460106.9399999976</v>
      </c>
      <c r="M20" s="83">
        <v>1</v>
      </c>
      <c r="N20" s="101">
        <f t="shared" si="0"/>
        <v>5460106.9399999976</v>
      </c>
      <c r="O20" s="90">
        <v>-3215848.3000000017</v>
      </c>
      <c r="P20" s="90">
        <v>-384155.72</v>
      </c>
      <c r="Q20" s="21">
        <f t="shared" si="1"/>
        <v>1860102.919999996</v>
      </c>
    </row>
    <row r="21" spans="2:17" x14ac:dyDescent="0.2">
      <c r="B21" s="396" t="s">
        <v>958</v>
      </c>
      <c r="C21" s="87"/>
      <c r="D21" s="286" t="s">
        <v>554</v>
      </c>
      <c r="E21" s="89" t="str">
        <f>'3.3 Asset useful life'!D17</f>
        <v>1/6/2000 to 30/6/2025</v>
      </c>
      <c r="F21" s="89">
        <f>'3.3 Asset useful life'!E17</f>
        <v>32.804794637900898</v>
      </c>
      <c r="G21" s="90"/>
      <c r="H21" s="90">
        <v>6508408.75</v>
      </c>
      <c r="I21" s="90">
        <v>279519</v>
      </c>
      <c r="J21" s="90">
        <v>0</v>
      </c>
      <c r="K21" s="90">
        <v>0</v>
      </c>
      <c r="L21" s="25">
        <f t="shared" si="2"/>
        <v>6787927.75</v>
      </c>
      <c r="M21" s="83">
        <v>1</v>
      </c>
      <c r="N21" s="101">
        <f t="shared" si="0"/>
        <v>6787927.75</v>
      </c>
      <c r="O21" s="90">
        <v>-1644398.4500000002</v>
      </c>
      <c r="P21" s="90">
        <v>-207371.77141993103</v>
      </c>
      <c r="Q21" s="21">
        <f t="shared" si="1"/>
        <v>4936157.5285800686</v>
      </c>
    </row>
    <row r="22" spans="2:17" x14ac:dyDescent="0.2">
      <c r="B22" s="396" t="s">
        <v>958</v>
      </c>
      <c r="C22" s="87"/>
      <c r="D22" s="286" t="s">
        <v>90</v>
      </c>
      <c r="E22" s="89" t="str">
        <f>'3.3 Asset useful life'!D19</f>
        <v>1/6/2000 to 30/6/2025</v>
      </c>
      <c r="F22" s="89" t="str">
        <f>'3.3 Asset useful life'!E19</f>
        <v>N/A</v>
      </c>
      <c r="G22" s="90"/>
      <c r="H22" s="90">
        <v>1215942.4700000002</v>
      </c>
      <c r="I22" s="90">
        <v>6346459</v>
      </c>
      <c r="J22" s="90">
        <v>0</v>
      </c>
      <c r="K22" s="90">
        <v>0</v>
      </c>
      <c r="L22" s="25">
        <f t="shared" si="2"/>
        <v>7562401.4700000007</v>
      </c>
      <c r="M22" s="83">
        <v>1</v>
      </c>
      <c r="N22" s="101">
        <f t="shared" si="0"/>
        <v>7562401.4700000007</v>
      </c>
      <c r="O22" s="90">
        <v>0</v>
      </c>
      <c r="P22" s="90">
        <v>0</v>
      </c>
      <c r="Q22" s="21">
        <f t="shared" si="1"/>
        <v>7562401.4700000007</v>
      </c>
    </row>
    <row r="23" spans="2:17" x14ac:dyDescent="0.2">
      <c r="B23" s="396" t="s">
        <v>958</v>
      </c>
      <c r="C23" s="87"/>
      <c r="D23" s="286" t="s">
        <v>132</v>
      </c>
      <c r="E23" s="89" t="str">
        <f>'3.3 Asset useful life'!D18</f>
        <v>1/6/2000 to 30/6/2025</v>
      </c>
      <c r="F23" s="89">
        <f>'3.3 Asset useful life'!E18</f>
        <v>12.77824897668431</v>
      </c>
      <c r="G23" s="90"/>
      <c r="H23" s="90">
        <v>25167198.019999996</v>
      </c>
      <c r="I23" s="90">
        <v>18438011.089999996</v>
      </c>
      <c r="J23" s="90">
        <v>0</v>
      </c>
      <c r="K23" s="90">
        <v>0</v>
      </c>
      <c r="L23" s="25">
        <f t="shared" si="2"/>
        <v>43605209.109999992</v>
      </c>
      <c r="M23" s="83">
        <v>1</v>
      </c>
      <c r="N23" s="101">
        <f t="shared" si="0"/>
        <v>43605209.109999992</v>
      </c>
      <c r="O23" s="90">
        <v>-17904161.439999994</v>
      </c>
      <c r="P23" s="90">
        <v>-3654414.6814102526</v>
      </c>
      <c r="Q23" s="21">
        <f t="shared" si="1"/>
        <v>22046632.988589745</v>
      </c>
    </row>
    <row r="24" spans="2:17" x14ac:dyDescent="0.2">
      <c r="B24" s="396" t="s">
        <v>958</v>
      </c>
      <c r="C24" s="87"/>
      <c r="D24" s="286" t="s">
        <v>555</v>
      </c>
      <c r="E24" s="88" t="str">
        <f>'3.3 Asset useful life'!D23</f>
        <v>1/7/2019 to 30/6/2025</v>
      </c>
      <c r="F24" s="89" t="str">
        <f>'3.3 Asset useful life'!E23</f>
        <v>Various</v>
      </c>
      <c r="G24" s="90"/>
      <c r="H24" s="90">
        <v>315269.08</v>
      </c>
      <c r="I24" s="90">
        <v>2226789.59</v>
      </c>
      <c r="J24" s="90"/>
      <c r="K24" s="90">
        <v>-93071.360000000001</v>
      </c>
      <c r="L24" s="25">
        <f t="shared" si="2"/>
        <v>2448987.31</v>
      </c>
      <c r="M24" s="83">
        <v>1</v>
      </c>
      <c r="N24" s="101">
        <f t="shared" si="0"/>
        <v>2448987.31</v>
      </c>
      <c r="O24" s="90">
        <v>-684497.71</v>
      </c>
      <c r="P24" s="90">
        <v>-406506.18999999994</v>
      </c>
      <c r="Q24" s="21">
        <f t="shared" si="1"/>
        <v>1357983.4100000001</v>
      </c>
    </row>
    <row r="25" spans="2:17" x14ac:dyDescent="0.2">
      <c r="B25" s="304"/>
      <c r="C25" s="87"/>
      <c r="D25" s="286"/>
      <c r="E25" s="88"/>
      <c r="F25" s="89"/>
      <c r="G25" s="90"/>
      <c r="H25" s="90"/>
      <c r="I25" s="90"/>
      <c r="J25" s="90"/>
      <c r="K25" s="90"/>
      <c r="L25" s="25">
        <f t="shared" si="2"/>
        <v>0</v>
      </c>
      <c r="M25" s="83">
        <v>1</v>
      </c>
      <c r="N25" s="101">
        <f t="shared" si="0"/>
        <v>0</v>
      </c>
      <c r="O25" s="90"/>
      <c r="P25" s="90"/>
      <c r="Q25" s="21">
        <f t="shared" si="1"/>
        <v>0</v>
      </c>
    </row>
    <row r="26" spans="2:17" x14ac:dyDescent="0.2">
      <c r="B26" s="304"/>
      <c r="C26" s="87"/>
      <c r="D26" s="286"/>
      <c r="E26" s="88"/>
      <c r="F26" s="89"/>
      <c r="G26" s="90"/>
      <c r="H26" s="90"/>
      <c r="I26" s="90"/>
      <c r="J26" s="90"/>
      <c r="K26" s="90"/>
      <c r="L26" s="25">
        <f t="shared" si="2"/>
        <v>0</v>
      </c>
      <c r="M26" s="83">
        <v>1</v>
      </c>
      <c r="N26" s="101">
        <f t="shared" si="0"/>
        <v>0</v>
      </c>
      <c r="O26" s="90"/>
      <c r="P26" s="90"/>
      <c r="Q26" s="21">
        <f t="shared" si="1"/>
        <v>0</v>
      </c>
    </row>
    <row r="27" spans="2:17" x14ac:dyDescent="0.2">
      <c r="B27" s="304"/>
      <c r="C27" s="87"/>
      <c r="D27" s="286"/>
      <c r="E27" s="88"/>
      <c r="F27" s="89"/>
      <c r="G27" s="90"/>
      <c r="H27" s="90"/>
      <c r="I27" s="90"/>
      <c r="J27" s="90"/>
      <c r="K27" s="90"/>
      <c r="L27" s="25">
        <f t="shared" si="2"/>
        <v>0</v>
      </c>
      <c r="M27" s="83">
        <v>1</v>
      </c>
      <c r="N27" s="101">
        <f t="shared" si="0"/>
        <v>0</v>
      </c>
      <c r="O27" s="90"/>
      <c r="P27" s="90"/>
      <c r="Q27" s="21">
        <f t="shared" si="1"/>
        <v>0</v>
      </c>
    </row>
    <row r="28" spans="2:17" x14ac:dyDescent="0.2">
      <c r="B28" s="304"/>
      <c r="C28" s="87"/>
      <c r="D28" s="286"/>
      <c r="E28" s="88"/>
      <c r="F28" s="89"/>
      <c r="G28" s="90"/>
      <c r="H28" s="90"/>
      <c r="I28" s="90"/>
      <c r="J28" s="90"/>
      <c r="K28" s="90"/>
      <c r="L28" s="25">
        <f t="shared" si="2"/>
        <v>0</v>
      </c>
      <c r="M28" s="83">
        <v>1</v>
      </c>
      <c r="N28" s="101">
        <f t="shared" si="0"/>
        <v>0</v>
      </c>
      <c r="O28" s="90"/>
      <c r="P28" s="90"/>
      <c r="Q28" s="21">
        <f t="shared" si="1"/>
        <v>0</v>
      </c>
    </row>
    <row r="29" spans="2:17" x14ac:dyDescent="0.2">
      <c r="B29" s="304"/>
      <c r="C29" s="87"/>
      <c r="D29" s="286"/>
      <c r="E29" s="88"/>
      <c r="F29" s="89"/>
      <c r="G29" s="90"/>
      <c r="H29" s="90"/>
      <c r="I29" s="90"/>
      <c r="J29" s="90"/>
      <c r="K29" s="90"/>
      <c r="L29" s="25">
        <f t="shared" si="2"/>
        <v>0</v>
      </c>
      <c r="M29" s="83">
        <v>1</v>
      </c>
      <c r="N29" s="101">
        <f t="shared" si="0"/>
        <v>0</v>
      </c>
      <c r="O29" s="90"/>
      <c r="P29" s="90"/>
      <c r="Q29" s="21">
        <f t="shared" si="1"/>
        <v>0</v>
      </c>
    </row>
    <row r="30" spans="2:17" x14ac:dyDescent="0.2">
      <c r="B30" s="304"/>
      <c r="C30" s="87"/>
      <c r="D30" s="286"/>
      <c r="E30" s="88"/>
      <c r="F30" s="89"/>
      <c r="G30" s="90"/>
      <c r="H30" s="90"/>
      <c r="I30" s="90"/>
      <c r="J30" s="90"/>
      <c r="K30" s="90"/>
      <c r="L30" s="25">
        <f t="shared" si="2"/>
        <v>0</v>
      </c>
      <c r="M30" s="83">
        <v>1</v>
      </c>
      <c r="N30" s="101">
        <f t="shared" si="0"/>
        <v>0</v>
      </c>
      <c r="O30" s="90"/>
      <c r="P30" s="90"/>
      <c r="Q30" s="21">
        <f t="shared" si="1"/>
        <v>0</v>
      </c>
    </row>
    <row r="31" spans="2:17" x14ac:dyDescent="0.2">
      <c r="B31" s="304"/>
      <c r="C31" s="87"/>
      <c r="D31" s="286"/>
      <c r="E31" s="88"/>
      <c r="F31" s="89"/>
      <c r="G31" s="90"/>
      <c r="H31" s="90"/>
      <c r="I31" s="90"/>
      <c r="J31" s="90"/>
      <c r="K31" s="90"/>
      <c r="L31" s="25">
        <f t="shared" si="2"/>
        <v>0</v>
      </c>
      <c r="M31" s="83">
        <v>1</v>
      </c>
      <c r="N31" s="101">
        <f t="shared" si="0"/>
        <v>0</v>
      </c>
      <c r="O31" s="90"/>
      <c r="P31" s="90"/>
      <c r="Q31" s="21">
        <f t="shared" si="1"/>
        <v>0</v>
      </c>
    </row>
    <row r="32" spans="2:17" x14ac:dyDescent="0.2">
      <c r="B32" s="304"/>
      <c r="C32" s="87"/>
      <c r="D32" s="286"/>
      <c r="E32" s="88"/>
      <c r="F32" s="89"/>
      <c r="G32" s="90"/>
      <c r="H32" s="90"/>
      <c r="I32" s="90"/>
      <c r="J32" s="90"/>
      <c r="K32" s="90"/>
      <c r="L32" s="25">
        <f t="shared" si="2"/>
        <v>0</v>
      </c>
      <c r="M32" s="83">
        <v>1</v>
      </c>
      <c r="N32" s="101">
        <f t="shared" si="0"/>
        <v>0</v>
      </c>
      <c r="O32" s="90"/>
      <c r="P32" s="90"/>
      <c r="Q32" s="21">
        <f t="shared" si="1"/>
        <v>0</v>
      </c>
    </row>
    <row r="33" spans="2:17" x14ac:dyDescent="0.2">
      <c r="B33" s="304"/>
      <c r="C33" s="87"/>
      <c r="D33" s="286"/>
      <c r="E33" s="88"/>
      <c r="F33" s="89"/>
      <c r="G33" s="90"/>
      <c r="H33" s="90"/>
      <c r="I33" s="90"/>
      <c r="J33" s="90"/>
      <c r="K33" s="90"/>
      <c r="L33" s="25">
        <f t="shared" si="2"/>
        <v>0</v>
      </c>
      <c r="M33" s="83">
        <v>1</v>
      </c>
      <c r="N33" s="101">
        <f t="shared" si="0"/>
        <v>0</v>
      </c>
      <c r="O33" s="90"/>
      <c r="P33" s="90"/>
      <c r="Q33" s="21">
        <f t="shared" si="1"/>
        <v>0</v>
      </c>
    </row>
    <row r="34" spans="2:17" x14ac:dyDescent="0.2">
      <c r="B34" s="304"/>
      <c r="C34" s="87"/>
      <c r="D34" s="286"/>
      <c r="E34" s="88"/>
      <c r="F34" s="89"/>
      <c r="G34" s="90"/>
      <c r="H34" s="90"/>
      <c r="I34" s="90"/>
      <c r="J34" s="90"/>
      <c r="K34" s="90"/>
      <c r="L34" s="25">
        <f t="shared" si="2"/>
        <v>0</v>
      </c>
      <c r="M34" s="83">
        <v>1</v>
      </c>
      <c r="N34" s="101">
        <f t="shared" si="0"/>
        <v>0</v>
      </c>
      <c r="O34" s="90"/>
      <c r="P34" s="90"/>
      <c r="Q34" s="21">
        <f t="shared" si="1"/>
        <v>0</v>
      </c>
    </row>
    <row r="35" spans="2:17" x14ac:dyDescent="0.2">
      <c r="B35" s="304"/>
      <c r="C35" s="87"/>
      <c r="D35" s="286"/>
      <c r="E35" s="88"/>
      <c r="F35" s="89"/>
      <c r="G35" s="90"/>
      <c r="H35" s="90"/>
      <c r="I35" s="90"/>
      <c r="J35" s="90"/>
      <c r="K35" s="90"/>
      <c r="L35" s="25">
        <f t="shared" si="2"/>
        <v>0</v>
      </c>
      <c r="M35" s="83">
        <v>1</v>
      </c>
      <c r="N35" s="101">
        <f t="shared" si="0"/>
        <v>0</v>
      </c>
      <c r="O35" s="90"/>
      <c r="P35" s="90"/>
      <c r="Q35" s="21">
        <f t="shared" si="1"/>
        <v>0</v>
      </c>
    </row>
    <row r="36" spans="2:17" x14ac:dyDescent="0.2">
      <c r="B36" s="304"/>
      <c r="C36" s="87"/>
      <c r="D36" s="286"/>
      <c r="E36" s="88"/>
      <c r="F36" s="89"/>
      <c r="G36" s="90"/>
      <c r="H36" s="90"/>
      <c r="I36" s="90"/>
      <c r="J36" s="90"/>
      <c r="K36" s="90"/>
      <c r="L36" s="25">
        <f t="shared" si="2"/>
        <v>0</v>
      </c>
      <c r="M36" s="83">
        <v>1</v>
      </c>
      <c r="N36" s="101">
        <f t="shared" si="0"/>
        <v>0</v>
      </c>
      <c r="O36" s="90"/>
      <c r="P36" s="90"/>
      <c r="Q36" s="21">
        <f t="shared" si="1"/>
        <v>0</v>
      </c>
    </row>
    <row r="37" spans="2:17" x14ac:dyDescent="0.2">
      <c r="B37" s="304"/>
      <c r="C37" s="87"/>
      <c r="D37" s="286"/>
      <c r="E37" s="88"/>
      <c r="F37" s="89"/>
      <c r="G37" s="90"/>
      <c r="H37" s="90"/>
      <c r="I37" s="90"/>
      <c r="J37" s="90"/>
      <c r="K37" s="90"/>
      <c r="L37" s="25">
        <f t="shared" si="2"/>
        <v>0</v>
      </c>
      <c r="M37" s="83">
        <v>1</v>
      </c>
      <c r="N37" s="101">
        <f t="shared" si="0"/>
        <v>0</v>
      </c>
      <c r="O37" s="90"/>
      <c r="P37" s="90"/>
      <c r="Q37" s="21">
        <f t="shared" si="1"/>
        <v>0</v>
      </c>
    </row>
    <row r="38" spans="2:17" x14ac:dyDescent="0.2">
      <c r="B38" s="304"/>
      <c r="C38" s="87"/>
      <c r="D38" s="286"/>
      <c r="E38" s="88"/>
      <c r="F38" s="89"/>
      <c r="G38" s="90"/>
      <c r="H38" s="90"/>
      <c r="I38" s="90"/>
      <c r="J38" s="90"/>
      <c r="K38" s="90"/>
      <c r="L38" s="25">
        <f t="shared" si="2"/>
        <v>0</v>
      </c>
      <c r="M38" s="83">
        <v>1</v>
      </c>
      <c r="N38" s="101">
        <f t="shared" si="0"/>
        <v>0</v>
      </c>
      <c r="O38" s="90"/>
      <c r="P38" s="90"/>
      <c r="Q38" s="21">
        <f t="shared" si="1"/>
        <v>0</v>
      </c>
    </row>
    <row r="39" spans="2:17" x14ac:dyDescent="0.2">
      <c r="B39" s="304"/>
      <c r="C39" s="87"/>
      <c r="D39" s="286"/>
      <c r="E39" s="88"/>
      <c r="F39" s="89"/>
      <c r="G39" s="90"/>
      <c r="H39" s="90"/>
      <c r="I39" s="90"/>
      <c r="J39" s="90"/>
      <c r="K39" s="90"/>
      <c r="L39" s="25">
        <f t="shared" si="2"/>
        <v>0</v>
      </c>
      <c r="M39" s="83">
        <v>1</v>
      </c>
      <c r="N39" s="101">
        <f t="shared" si="0"/>
        <v>0</v>
      </c>
      <c r="O39" s="90"/>
      <c r="P39" s="90"/>
      <c r="Q39" s="21">
        <f t="shared" si="1"/>
        <v>0</v>
      </c>
    </row>
    <row r="40" spans="2:17" x14ac:dyDescent="0.2">
      <c r="B40" s="304"/>
      <c r="C40" s="87"/>
      <c r="D40" s="286"/>
      <c r="E40" s="88"/>
      <c r="F40" s="89"/>
      <c r="G40" s="90"/>
      <c r="H40" s="90"/>
      <c r="I40" s="90"/>
      <c r="J40" s="90"/>
      <c r="K40" s="90"/>
      <c r="L40" s="25">
        <f t="shared" si="2"/>
        <v>0</v>
      </c>
      <c r="M40" s="83">
        <v>1</v>
      </c>
      <c r="N40" s="101">
        <f t="shared" si="0"/>
        <v>0</v>
      </c>
      <c r="O40" s="90"/>
      <c r="P40" s="90"/>
      <c r="Q40" s="21">
        <f t="shared" si="1"/>
        <v>0</v>
      </c>
    </row>
    <row r="41" spans="2:17" x14ac:dyDescent="0.2">
      <c r="B41" s="304"/>
      <c r="C41" s="87"/>
      <c r="D41" s="286"/>
      <c r="E41" s="88"/>
      <c r="F41" s="89"/>
      <c r="G41" s="90"/>
      <c r="H41" s="90"/>
      <c r="I41" s="90"/>
      <c r="J41" s="90"/>
      <c r="K41" s="90"/>
      <c r="L41" s="25">
        <f t="shared" si="2"/>
        <v>0</v>
      </c>
      <c r="M41" s="83">
        <v>1</v>
      </c>
      <c r="N41" s="101">
        <f t="shared" si="0"/>
        <v>0</v>
      </c>
      <c r="O41" s="90"/>
      <c r="P41" s="90"/>
      <c r="Q41" s="21">
        <f t="shared" si="1"/>
        <v>0</v>
      </c>
    </row>
    <row r="42" spans="2:17" x14ac:dyDescent="0.2">
      <c r="B42" s="304"/>
      <c r="C42" s="87"/>
      <c r="D42" s="286"/>
      <c r="E42" s="88"/>
      <c r="F42" s="89"/>
      <c r="G42" s="90"/>
      <c r="H42" s="90"/>
      <c r="I42" s="90"/>
      <c r="J42" s="90"/>
      <c r="K42" s="90"/>
      <c r="L42" s="25">
        <f t="shared" si="2"/>
        <v>0</v>
      </c>
      <c r="M42" s="83">
        <v>1</v>
      </c>
      <c r="N42" s="101">
        <f t="shared" si="0"/>
        <v>0</v>
      </c>
      <c r="O42" s="90"/>
      <c r="P42" s="90"/>
      <c r="Q42" s="21">
        <f t="shared" si="1"/>
        <v>0</v>
      </c>
    </row>
    <row r="43" spans="2:17" x14ac:dyDescent="0.2">
      <c r="B43" s="304"/>
      <c r="C43" s="87"/>
      <c r="D43" s="286"/>
      <c r="E43" s="88"/>
      <c r="F43" s="89"/>
      <c r="G43" s="90"/>
      <c r="H43" s="90"/>
      <c r="I43" s="90"/>
      <c r="J43" s="90"/>
      <c r="K43" s="90"/>
      <c r="L43" s="25">
        <f t="shared" si="2"/>
        <v>0</v>
      </c>
      <c r="M43" s="83">
        <v>1</v>
      </c>
      <c r="N43" s="101">
        <f t="shared" si="0"/>
        <v>0</v>
      </c>
      <c r="O43" s="90"/>
      <c r="P43" s="90"/>
      <c r="Q43" s="21">
        <f t="shared" si="1"/>
        <v>0</v>
      </c>
    </row>
    <row r="44" spans="2:17" x14ac:dyDescent="0.2">
      <c r="B44" s="304"/>
      <c r="C44" s="87"/>
      <c r="D44" s="286"/>
      <c r="E44" s="88"/>
      <c r="F44" s="89"/>
      <c r="G44" s="90"/>
      <c r="H44" s="90"/>
      <c r="I44" s="90"/>
      <c r="J44" s="90"/>
      <c r="K44" s="90"/>
      <c r="L44" s="25">
        <f t="shared" si="2"/>
        <v>0</v>
      </c>
      <c r="M44" s="83">
        <v>1</v>
      </c>
      <c r="N44" s="101">
        <f t="shared" si="0"/>
        <v>0</v>
      </c>
      <c r="O44" s="90"/>
      <c r="P44" s="90"/>
      <c r="Q44" s="21">
        <f t="shared" si="1"/>
        <v>0</v>
      </c>
    </row>
    <row r="45" spans="2:17" x14ac:dyDescent="0.2">
      <c r="B45" s="304"/>
      <c r="C45" s="87"/>
      <c r="D45" s="286"/>
      <c r="E45" s="88"/>
      <c r="F45" s="89"/>
      <c r="G45" s="90"/>
      <c r="H45" s="90"/>
      <c r="I45" s="90"/>
      <c r="J45" s="90"/>
      <c r="K45" s="90"/>
      <c r="L45" s="25">
        <f t="shared" si="2"/>
        <v>0</v>
      </c>
      <c r="M45" s="83">
        <v>1</v>
      </c>
      <c r="N45" s="101">
        <f t="shared" si="0"/>
        <v>0</v>
      </c>
      <c r="O45" s="90"/>
      <c r="P45" s="90"/>
      <c r="Q45" s="21">
        <f t="shared" si="1"/>
        <v>0</v>
      </c>
    </row>
    <row r="46" spans="2:17" x14ac:dyDescent="0.2">
      <c r="B46" s="304"/>
      <c r="C46" s="87"/>
      <c r="D46" s="286"/>
      <c r="E46" s="88"/>
      <c r="F46" s="89"/>
      <c r="G46" s="90"/>
      <c r="H46" s="90"/>
      <c r="I46" s="90"/>
      <c r="J46" s="90"/>
      <c r="K46" s="90"/>
      <c r="L46" s="25">
        <f t="shared" si="2"/>
        <v>0</v>
      </c>
      <c r="M46" s="83">
        <v>1</v>
      </c>
      <c r="N46" s="101">
        <f t="shared" si="0"/>
        <v>0</v>
      </c>
      <c r="O46" s="90"/>
      <c r="P46" s="90"/>
      <c r="Q46" s="21">
        <f t="shared" si="1"/>
        <v>0</v>
      </c>
    </row>
    <row r="47" spans="2:17" x14ac:dyDescent="0.2">
      <c r="B47" s="304"/>
      <c r="C47" s="87"/>
      <c r="D47" s="286"/>
      <c r="E47" s="88"/>
      <c r="F47" s="89"/>
      <c r="G47" s="90"/>
      <c r="H47" s="90"/>
      <c r="I47" s="90"/>
      <c r="J47" s="90"/>
      <c r="K47" s="90"/>
      <c r="L47" s="25">
        <f t="shared" si="2"/>
        <v>0</v>
      </c>
      <c r="M47" s="83">
        <v>1</v>
      </c>
      <c r="N47" s="101">
        <f t="shared" si="0"/>
        <v>0</v>
      </c>
      <c r="O47" s="90"/>
      <c r="P47" s="90"/>
      <c r="Q47" s="21">
        <f t="shared" si="1"/>
        <v>0</v>
      </c>
    </row>
    <row r="48" spans="2:17" x14ac:dyDescent="0.2">
      <c r="B48" s="304"/>
      <c r="C48" s="87"/>
      <c r="D48" s="286"/>
      <c r="E48" s="88"/>
      <c r="F48" s="89"/>
      <c r="G48" s="90"/>
      <c r="H48" s="90"/>
      <c r="I48" s="90"/>
      <c r="J48" s="90"/>
      <c r="K48" s="90"/>
      <c r="L48" s="25">
        <f t="shared" si="2"/>
        <v>0</v>
      </c>
      <c r="M48" s="83">
        <v>1</v>
      </c>
      <c r="N48" s="101">
        <f t="shared" si="0"/>
        <v>0</v>
      </c>
      <c r="O48" s="90"/>
      <c r="P48" s="90"/>
      <c r="Q48" s="21">
        <f t="shared" si="1"/>
        <v>0</v>
      </c>
    </row>
    <row r="49" spans="2:17" x14ac:dyDescent="0.2">
      <c r="B49" s="304"/>
      <c r="C49" s="87"/>
      <c r="D49" s="286"/>
      <c r="E49" s="88"/>
      <c r="F49" s="89"/>
      <c r="G49" s="90"/>
      <c r="H49" s="90"/>
      <c r="I49" s="90"/>
      <c r="J49" s="90"/>
      <c r="K49" s="90"/>
      <c r="L49" s="25">
        <f t="shared" si="2"/>
        <v>0</v>
      </c>
      <c r="M49" s="83">
        <v>1</v>
      </c>
      <c r="N49" s="101">
        <f t="shared" si="0"/>
        <v>0</v>
      </c>
      <c r="O49" s="90"/>
      <c r="P49" s="90"/>
      <c r="Q49" s="21">
        <f t="shared" si="1"/>
        <v>0</v>
      </c>
    </row>
    <row r="50" spans="2:17" x14ac:dyDescent="0.2">
      <c r="B50" s="304"/>
      <c r="C50" s="87"/>
      <c r="D50" s="286"/>
      <c r="E50" s="88"/>
      <c r="F50" s="89"/>
      <c r="G50" s="90"/>
      <c r="H50" s="90"/>
      <c r="I50" s="90"/>
      <c r="J50" s="90"/>
      <c r="K50" s="90"/>
      <c r="L50" s="25">
        <f t="shared" si="2"/>
        <v>0</v>
      </c>
      <c r="M50" s="83">
        <v>1</v>
      </c>
      <c r="N50" s="101">
        <f t="shared" si="0"/>
        <v>0</v>
      </c>
      <c r="O50" s="90"/>
      <c r="P50" s="90"/>
      <c r="Q50" s="21">
        <f t="shared" si="1"/>
        <v>0</v>
      </c>
    </row>
    <row r="51" spans="2:17" x14ac:dyDescent="0.2">
      <c r="B51" s="304"/>
      <c r="C51" s="87"/>
      <c r="D51" s="286"/>
      <c r="E51" s="88"/>
      <c r="F51" s="89"/>
      <c r="G51" s="90"/>
      <c r="H51" s="90"/>
      <c r="I51" s="90"/>
      <c r="J51" s="90"/>
      <c r="K51" s="90"/>
      <c r="L51" s="25">
        <f t="shared" si="2"/>
        <v>0</v>
      </c>
      <c r="M51" s="83">
        <v>1</v>
      </c>
      <c r="N51" s="101">
        <f t="shared" si="0"/>
        <v>0</v>
      </c>
      <c r="O51" s="90"/>
      <c r="P51" s="90"/>
      <c r="Q51" s="21">
        <f t="shared" si="1"/>
        <v>0</v>
      </c>
    </row>
    <row r="52" spans="2:17" x14ac:dyDescent="0.2">
      <c r="B52" s="304"/>
      <c r="C52" s="87"/>
      <c r="D52" s="286"/>
      <c r="E52" s="88"/>
      <c r="F52" s="89"/>
      <c r="G52" s="90"/>
      <c r="H52" s="90"/>
      <c r="I52" s="90"/>
      <c r="J52" s="90"/>
      <c r="K52" s="90"/>
      <c r="L52" s="25">
        <f t="shared" si="2"/>
        <v>0</v>
      </c>
      <c r="M52" s="83">
        <v>1</v>
      </c>
      <c r="N52" s="101">
        <f t="shared" si="0"/>
        <v>0</v>
      </c>
      <c r="O52" s="90"/>
      <c r="P52" s="90"/>
      <c r="Q52" s="21">
        <f t="shared" si="1"/>
        <v>0</v>
      </c>
    </row>
    <row r="53" spans="2:17" x14ac:dyDescent="0.2">
      <c r="B53" s="304"/>
      <c r="C53" s="87"/>
      <c r="D53" s="286"/>
      <c r="E53" s="88"/>
      <c r="F53" s="89"/>
      <c r="G53" s="90"/>
      <c r="H53" s="90"/>
      <c r="I53" s="90"/>
      <c r="J53" s="90"/>
      <c r="K53" s="90"/>
      <c r="L53" s="25">
        <f t="shared" si="2"/>
        <v>0</v>
      </c>
      <c r="M53" s="83">
        <v>1</v>
      </c>
      <c r="N53" s="101">
        <f t="shared" si="0"/>
        <v>0</v>
      </c>
      <c r="O53" s="90"/>
      <c r="P53" s="90"/>
      <c r="Q53" s="21">
        <f t="shared" si="1"/>
        <v>0</v>
      </c>
    </row>
    <row r="54" spans="2:17" x14ac:dyDescent="0.2">
      <c r="B54" s="304"/>
      <c r="C54" s="87"/>
      <c r="D54" s="286"/>
      <c r="E54" s="88"/>
      <c r="F54" s="89"/>
      <c r="G54" s="90"/>
      <c r="H54" s="90"/>
      <c r="I54" s="90"/>
      <c r="J54" s="90"/>
      <c r="K54" s="90"/>
      <c r="L54" s="25">
        <f t="shared" si="2"/>
        <v>0</v>
      </c>
      <c r="M54" s="83">
        <v>1</v>
      </c>
      <c r="N54" s="101">
        <f t="shared" si="0"/>
        <v>0</v>
      </c>
      <c r="O54" s="90"/>
      <c r="P54" s="90"/>
      <c r="Q54" s="21">
        <f>SUM(N54:P54)</f>
        <v>0</v>
      </c>
    </row>
    <row r="55" spans="2:17" x14ac:dyDescent="0.2">
      <c r="B55" s="304"/>
      <c r="C55" s="87"/>
      <c r="D55" s="286"/>
      <c r="E55" s="88"/>
      <c r="F55" s="89"/>
      <c r="G55" s="90"/>
      <c r="H55" s="90"/>
      <c r="I55" s="90"/>
      <c r="J55" s="90"/>
      <c r="K55" s="90"/>
      <c r="L55" s="25">
        <f t="shared" si="2"/>
        <v>0</v>
      </c>
      <c r="M55" s="83">
        <v>1</v>
      </c>
      <c r="N55" s="101">
        <f t="shared" si="0"/>
        <v>0</v>
      </c>
      <c r="O55" s="90"/>
      <c r="P55" s="90"/>
      <c r="Q55" s="21">
        <f t="shared" si="1"/>
        <v>0</v>
      </c>
    </row>
    <row r="56" spans="2:17" x14ac:dyDescent="0.2">
      <c r="B56" s="304"/>
      <c r="C56" s="87"/>
      <c r="D56" s="286"/>
      <c r="E56" s="88"/>
      <c r="F56" s="89"/>
      <c r="G56" s="90"/>
      <c r="H56" s="90"/>
      <c r="I56" s="90"/>
      <c r="J56" s="90"/>
      <c r="K56" s="90"/>
      <c r="L56" s="25">
        <f t="shared" si="2"/>
        <v>0</v>
      </c>
      <c r="M56" s="83">
        <v>1</v>
      </c>
      <c r="N56" s="101">
        <f t="shared" si="0"/>
        <v>0</v>
      </c>
      <c r="O56" s="90"/>
      <c r="P56" s="90"/>
      <c r="Q56" s="21">
        <f t="shared" si="1"/>
        <v>0</v>
      </c>
    </row>
    <row r="57" spans="2:17" x14ac:dyDescent="0.2">
      <c r="B57" s="304"/>
      <c r="C57" s="87"/>
      <c r="D57" s="286"/>
      <c r="E57" s="88"/>
      <c r="F57" s="89"/>
      <c r="G57" s="90"/>
      <c r="H57" s="90"/>
      <c r="I57" s="90"/>
      <c r="J57" s="90"/>
      <c r="K57" s="90"/>
      <c r="L57" s="25">
        <f t="shared" si="2"/>
        <v>0</v>
      </c>
      <c r="M57" s="83">
        <v>1</v>
      </c>
      <c r="N57" s="101">
        <f t="shared" si="0"/>
        <v>0</v>
      </c>
      <c r="O57" s="90"/>
      <c r="P57" s="90"/>
      <c r="Q57" s="21">
        <f>SUM(N57:P57)</f>
        <v>0</v>
      </c>
    </row>
    <row r="58" spans="2:17" x14ac:dyDescent="0.2">
      <c r="B58" s="304"/>
      <c r="C58" s="87"/>
      <c r="D58" s="286"/>
      <c r="E58" s="88"/>
      <c r="F58" s="89"/>
      <c r="G58" s="90"/>
      <c r="H58" s="90"/>
      <c r="I58" s="90"/>
      <c r="J58" s="90"/>
      <c r="K58" s="90"/>
      <c r="L58" s="25">
        <f t="shared" si="2"/>
        <v>0</v>
      </c>
      <c r="M58" s="83">
        <v>1</v>
      </c>
      <c r="N58" s="101">
        <f t="shared" si="0"/>
        <v>0</v>
      </c>
      <c r="O58" s="90"/>
      <c r="P58" s="90"/>
      <c r="Q58" s="21">
        <f t="shared" si="1"/>
        <v>0</v>
      </c>
    </row>
    <row r="59" spans="2:17" x14ac:dyDescent="0.2">
      <c r="B59" s="305"/>
      <c r="C59" s="26" t="s">
        <v>56</v>
      </c>
      <c r="D59" s="26"/>
      <c r="E59" s="27"/>
      <c r="F59" s="28"/>
      <c r="G59" s="22">
        <f t="shared" ref="G59:L59" si="3">SUM(G15:G58)</f>
        <v>0</v>
      </c>
      <c r="H59" s="22">
        <f t="shared" si="3"/>
        <v>1772970018.4899979</v>
      </c>
      <c r="I59" s="22">
        <f t="shared" si="3"/>
        <v>71466709.629999995</v>
      </c>
      <c r="J59" s="22">
        <f t="shared" si="3"/>
        <v>2635301.83</v>
      </c>
      <c r="K59" s="22">
        <f t="shared" si="3"/>
        <v>-93071.360000000001</v>
      </c>
      <c r="L59" s="22">
        <f t="shared" si="3"/>
        <v>1846978958.5899978</v>
      </c>
      <c r="M59" s="153"/>
      <c r="N59" s="153">
        <f>SUM(N15:N58)</f>
        <v>1846978958.5899978</v>
      </c>
      <c r="O59" s="22">
        <f>SUM(O15:O58)</f>
        <v>-1145346394.6463361</v>
      </c>
      <c r="P59" s="22">
        <f>SUM(P15:P58)</f>
        <v>-37105226.822192922</v>
      </c>
      <c r="Q59" s="22">
        <f>SUM(Q15:Q58)</f>
        <v>664527337.12146902</v>
      </c>
    </row>
    <row r="60" spans="2:17" x14ac:dyDescent="0.2">
      <c r="Q60" s="328"/>
    </row>
    <row r="61" spans="2:17" x14ac:dyDescent="0.2">
      <c r="Q61" s="372"/>
    </row>
    <row r="62" spans="2:17" ht="15.75" x14ac:dyDescent="0.25">
      <c r="B62" s="208" t="s">
        <v>646</v>
      </c>
    </row>
    <row r="64" spans="2:17" ht="46.5" customHeight="1" x14ac:dyDescent="0.2">
      <c r="B64" s="61" t="s">
        <v>515</v>
      </c>
      <c r="C64" s="62" t="s">
        <v>13</v>
      </c>
      <c r="D64" s="62" t="s">
        <v>0</v>
      </c>
      <c r="E64" s="62" t="s">
        <v>49</v>
      </c>
      <c r="F64" s="62" t="s">
        <v>50</v>
      </c>
      <c r="G64" s="63" t="s">
        <v>585</v>
      </c>
      <c r="H64" s="63" t="s">
        <v>586</v>
      </c>
      <c r="I64" s="63" t="s">
        <v>658</v>
      </c>
      <c r="J64" s="63" t="s">
        <v>587</v>
      </c>
      <c r="K64" s="63" t="s">
        <v>53</v>
      </c>
      <c r="L64" s="62" t="s">
        <v>399</v>
      </c>
      <c r="M64" s="62" t="s">
        <v>400</v>
      </c>
      <c r="N64" s="63" t="s">
        <v>155</v>
      </c>
      <c r="O64" s="63" t="s">
        <v>246</v>
      </c>
      <c r="P64" s="41" t="s">
        <v>54</v>
      </c>
    </row>
    <row r="65" spans="2:17" x14ac:dyDescent="0.2">
      <c r="B65" s="72"/>
      <c r="C65" s="64"/>
      <c r="D65" s="64"/>
      <c r="E65" s="64"/>
      <c r="F65" s="64" t="s">
        <v>55</v>
      </c>
      <c r="G65" s="64" t="s">
        <v>111</v>
      </c>
      <c r="H65" s="64" t="s">
        <v>111</v>
      </c>
      <c r="I65" s="64" t="s">
        <v>111</v>
      </c>
      <c r="J65" s="64" t="s">
        <v>111</v>
      </c>
      <c r="K65" s="64" t="s">
        <v>111</v>
      </c>
      <c r="L65" s="64"/>
      <c r="M65" s="64" t="s">
        <v>111</v>
      </c>
      <c r="N65" s="64" t="s">
        <v>111</v>
      </c>
      <c r="O65" s="64" t="s">
        <v>111</v>
      </c>
      <c r="P65" s="64" t="s">
        <v>111</v>
      </c>
    </row>
    <row r="66" spans="2:17" x14ac:dyDescent="0.2">
      <c r="B66" s="401" t="s">
        <v>970</v>
      </c>
      <c r="C66" s="87" t="s">
        <v>819</v>
      </c>
      <c r="D66" s="87" t="s">
        <v>224</v>
      </c>
      <c r="E66" s="331" t="str">
        <f>'3.3 Asset useful life'!D28</f>
        <v>1/6/2000 to 30/6/2025</v>
      </c>
      <c r="F66" s="89">
        <f>'3.3 Asset useful life'!E28</f>
        <v>3.4323791017076388</v>
      </c>
      <c r="G66" s="90">
        <v>52514634.129768044</v>
      </c>
      <c r="H66" s="90">
        <v>7961668.5392653225</v>
      </c>
      <c r="I66" s="90"/>
      <c r="J66" s="90">
        <v>-87471.760431736489</v>
      </c>
      <c r="K66" s="25">
        <f>SUM(G66:J66)</f>
        <v>60388830.908601627</v>
      </c>
      <c r="L66" s="83">
        <v>1</v>
      </c>
      <c r="M66" s="101">
        <f>K66*L66</f>
        <v>60388830.908601627</v>
      </c>
      <c r="N66" s="90">
        <v>-37570725.917200677</v>
      </c>
      <c r="O66" s="90">
        <v>-4543378.9830540214</v>
      </c>
      <c r="P66" s="21">
        <f>SUM(M66:O66)</f>
        <v>18274726.00834693</v>
      </c>
    </row>
    <row r="67" spans="2:17" x14ac:dyDescent="0.2">
      <c r="B67" s="401" t="s">
        <v>970</v>
      </c>
      <c r="C67" s="87" t="s">
        <v>199</v>
      </c>
      <c r="D67" s="87" t="s">
        <v>199</v>
      </c>
      <c r="E67" s="331" t="str">
        <f>'3.3 Asset useful life'!D34</f>
        <v>1/7/2019 to 30/6/2025</v>
      </c>
      <c r="F67" s="89" t="str">
        <f>'3.3 Asset useful life'!E34</f>
        <v>Various</v>
      </c>
      <c r="G67" s="90">
        <v>7332029.4594881115</v>
      </c>
      <c r="H67" s="90">
        <v>1068695.7727530769</v>
      </c>
      <c r="I67" s="90">
        <v>0</v>
      </c>
      <c r="J67" s="90">
        <v>-24146.957538475333</v>
      </c>
      <c r="K67" s="25">
        <f t="shared" ref="K67:K83" si="4">SUM(G67:J67)</f>
        <v>8376578.2747027138</v>
      </c>
      <c r="L67" s="83">
        <v>1</v>
      </c>
      <c r="M67" s="101">
        <f t="shared" ref="M67:M83" si="5">K67*L67</f>
        <v>8376578.2747027138</v>
      </c>
      <c r="N67" s="90">
        <v>-3655600.2362679774</v>
      </c>
      <c r="O67" s="90">
        <v>-1019148.611230672</v>
      </c>
      <c r="P67" s="21">
        <f t="shared" ref="P67:P82" si="6">SUM(M67:O67)</f>
        <v>3701829.4272040646</v>
      </c>
    </row>
    <row r="68" spans="2:17" x14ac:dyDescent="0.2">
      <c r="B68" s="172"/>
      <c r="C68" s="87"/>
      <c r="D68" s="87"/>
      <c r="E68" s="88"/>
      <c r="F68" s="89"/>
      <c r="G68" s="90"/>
      <c r="H68" s="90"/>
      <c r="I68" s="90"/>
      <c r="J68" s="90"/>
      <c r="K68" s="25">
        <f t="shared" si="4"/>
        <v>0</v>
      </c>
      <c r="L68" s="83">
        <v>1</v>
      </c>
      <c r="M68" s="101">
        <f t="shared" si="5"/>
        <v>0</v>
      </c>
      <c r="N68" s="90"/>
      <c r="O68" s="90"/>
      <c r="P68" s="21">
        <f t="shared" si="6"/>
        <v>0</v>
      </c>
      <c r="Q68" s="372"/>
    </row>
    <row r="69" spans="2:17" x14ac:dyDescent="0.2">
      <c r="B69" s="172"/>
      <c r="C69" s="87"/>
      <c r="D69" s="87"/>
      <c r="E69" s="88"/>
      <c r="F69" s="89"/>
      <c r="G69" s="90"/>
      <c r="H69" s="90"/>
      <c r="I69" s="90"/>
      <c r="J69" s="90"/>
      <c r="K69" s="25">
        <f t="shared" si="4"/>
        <v>0</v>
      </c>
      <c r="L69" s="83">
        <v>1</v>
      </c>
      <c r="M69" s="101">
        <f t="shared" si="5"/>
        <v>0</v>
      </c>
      <c r="N69" s="90"/>
      <c r="O69" s="90"/>
      <c r="P69" s="21">
        <f t="shared" si="6"/>
        <v>0</v>
      </c>
    </row>
    <row r="70" spans="2:17" x14ac:dyDescent="0.2">
      <c r="B70" s="172"/>
      <c r="C70" s="87"/>
      <c r="D70" s="87"/>
      <c r="E70" s="88"/>
      <c r="F70" s="89"/>
      <c r="G70" s="90"/>
      <c r="H70" s="90"/>
      <c r="I70" s="90"/>
      <c r="J70" s="90"/>
      <c r="K70" s="25">
        <f t="shared" si="4"/>
        <v>0</v>
      </c>
      <c r="L70" s="83">
        <v>1</v>
      </c>
      <c r="M70" s="101">
        <f t="shared" si="5"/>
        <v>0</v>
      </c>
      <c r="N70" s="90"/>
      <c r="O70" s="90"/>
      <c r="P70" s="21">
        <f t="shared" si="6"/>
        <v>0</v>
      </c>
    </row>
    <row r="71" spans="2:17" x14ac:dyDescent="0.2">
      <c r="B71" s="172"/>
      <c r="C71" s="87"/>
      <c r="D71" s="87"/>
      <c r="E71" s="88"/>
      <c r="F71" s="89"/>
      <c r="G71" s="90"/>
      <c r="H71" s="90"/>
      <c r="I71" s="90"/>
      <c r="J71" s="90"/>
      <c r="K71" s="25">
        <f t="shared" si="4"/>
        <v>0</v>
      </c>
      <c r="L71" s="83">
        <v>1</v>
      </c>
      <c r="M71" s="101">
        <f t="shared" si="5"/>
        <v>0</v>
      </c>
      <c r="N71" s="90"/>
      <c r="O71" s="90"/>
      <c r="P71" s="21">
        <f t="shared" si="6"/>
        <v>0</v>
      </c>
    </row>
    <row r="72" spans="2:17" x14ac:dyDescent="0.2">
      <c r="B72" s="172"/>
      <c r="C72" s="87"/>
      <c r="D72" s="87"/>
      <c r="E72" s="88"/>
      <c r="F72" s="89"/>
      <c r="G72" s="90"/>
      <c r="H72" s="90"/>
      <c r="I72" s="90"/>
      <c r="J72" s="90"/>
      <c r="K72" s="25">
        <f t="shared" si="4"/>
        <v>0</v>
      </c>
      <c r="L72" s="83">
        <v>1</v>
      </c>
      <c r="M72" s="101">
        <f t="shared" si="5"/>
        <v>0</v>
      </c>
      <c r="N72" s="90"/>
      <c r="O72" s="90"/>
      <c r="P72" s="21">
        <f t="shared" si="6"/>
        <v>0</v>
      </c>
    </row>
    <row r="73" spans="2:17" x14ac:dyDescent="0.2">
      <c r="B73" s="172"/>
      <c r="C73" s="87"/>
      <c r="D73" s="87"/>
      <c r="E73" s="88"/>
      <c r="F73" s="89"/>
      <c r="G73" s="90"/>
      <c r="H73" s="90"/>
      <c r="I73" s="90"/>
      <c r="J73" s="90"/>
      <c r="K73" s="25">
        <f t="shared" si="4"/>
        <v>0</v>
      </c>
      <c r="L73" s="83">
        <v>1</v>
      </c>
      <c r="M73" s="101">
        <f t="shared" si="5"/>
        <v>0</v>
      </c>
      <c r="N73" s="90"/>
      <c r="O73" s="90"/>
      <c r="P73" s="21">
        <f t="shared" si="6"/>
        <v>0</v>
      </c>
    </row>
    <row r="74" spans="2:17" x14ac:dyDescent="0.2">
      <c r="B74" s="172"/>
      <c r="C74" s="87"/>
      <c r="D74" s="87"/>
      <c r="E74" s="88"/>
      <c r="F74" s="89"/>
      <c r="G74" s="90"/>
      <c r="H74" s="90"/>
      <c r="I74" s="90"/>
      <c r="J74" s="90"/>
      <c r="K74" s="25">
        <f t="shared" si="4"/>
        <v>0</v>
      </c>
      <c r="L74" s="83">
        <v>1</v>
      </c>
      <c r="M74" s="101">
        <f t="shared" si="5"/>
        <v>0</v>
      </c>
      <c r="N74" s="90"/>
      <c r="O74" s="90"/>
      <c r="P74" s="21">
        <f t="shared" si="6"/>
        <v>0</v>
      </c>
    </row>
    <row r="75" spans="2:17" x14ac:dyDescent="0.2">
      <c r="B75" s="172"/>
      <c r="C75" s="87"/>
      <c r="D75" s="87"/>
      <c r="E75" s="88"/>
      <c r="F75" s="89"/>
      <c r="G75" s="90"/>
      <c r="H75" s="90"/>
      <c r="I75" s="90"/>
      <c r="J75" s="90"/>
      <c r="K75" s="25">
        <f t="shared" si="4"/>
        <v>0</v>
      </c>
      <c r="L75" s="83">
        <v>1</v>
      </c>
      <c r="M75" s="101">
        <f t="shared" si="5"/>
        <v>0</v>
      </c>
      <c r="N75" s="90"/>
      <c r="O75" s="90"/>
      <c r="P75" s="21">
        <f t="shared" si="6"/>
        <v>0</v>
      </c>
    </row>
    <row r="76" spans="2:17" x14ac:dyDescent="0.2">
      <c r="B76" s="172"/>
      <c r="C76" s="87"/>
      <c r="D76" s="87"/>
      <c r="E76" s="88"/>
      <c r="F76" s="89"/>
      <c r="G76" s="90"/>
      <c r="H76" s="90"/>
      <c r="I76" s="90"/>
      <c r="J76" s="90"/>
      <c r="K76" s="25">
        <f t="shared" si="4"/>
        <v>0</v>
      </c>
      <c r="L76" s="83">
        <v>1</v>
      </c>
      <c r="M76" s="101">
        <f t="shared" si="5"/>
        <v>0</v>
      </c>
      <c r="N76" s="90"/>
      <c r="O76" s="90"/>
      <c r="P76" s="21">
        <f t="shared" si="6"/>
        <v>0</v>
      </c>
    </row>
    <row r="77" spans="2:17" x14ac:dyDescent="0.2">
      <c r="B77" s="172"/>
      <c r="C77" s="87"/>
      <c r="D77" s="87"/>
      <c r="E77" s="88"/>
      <c r="F77" s="89"/>
      <c r="G77" s="90"/>
      <c r="H77" s="90"/>
      <c r="I77" s="90"/>
      <c r="J77" s="90"/>
      <c r="K77" s="25">
        <f t="shared" si="4"/>
        <v>0</v>
      </c>
      <c r="L77" s="83">
        <v>1</v>
      </c>
      <c r="M77" s="101">
        <f t="shared" si="5"/>
        <v>0</v>
      </c>
      <c r="N77" s="90"/>
      <c r="O77" s="90"/>
      <c r="P77" s="21">
        <f t="shared" si="6"/>
        <v>0</v>
      </c>
    </row>
    <row r="78" spans="2:17" x14ac:dyDescent="0.2">
      <c r="B78" s="172"/>
      <c r="C78" s="87"/>
      <c r="D78" s="87"/>
      <c r="E78" s="88"/>
      <c r="F78" s="89"/>
      <c r="G78" s="90"/>
      <c r="H78" s="90"/>
      <c r="I78" s="90"/>
      <c r="J78" s="90"/>
      <c r="K78" s="25">
        <f t="shared" si="4"/>
        <v>0</v>
      </c>
      <c r="L78" s="83">
        <v>1</v>
      </c>
      <c r="M78" s="101">
        <f t="shared" si="5"/>
        <v>0</v>
      </c>
      <c r="N78" s="90"/>
      <c r="O78" s="90"/>
      <c r="P78" s="21">
        <f t="shared" si="6"/>
        <v>0</v>
      </c>
    </row>
    <row r="79" spans="2:17" x14ac:dyDescent="0.2">
      <c r="B79" s="172"/>
      <c r="C79" s="87"/>
      <c r="D79" s="87"/>
      <c r="E79" s="88"/>
      <c r="F79" s="89"/>
      <c r="G79" s="90"/>
      <c r="H79" s="90"/>
      <c r="I79" s="90"/>
      <c r="J79" s="90"/>
      <c r="K79" s="25">
        <f t="shared" si="4"/>
        <v>0</v>
      </c>
      <c r="L79" s="83">
        <v>1</v>
      </c>
      <c r="M79" s="101">
        <f t="shared" si="5"/>
        <v>0</v>
      </c>
      <c r="N79" s="90"/>
      <c r="O79" s="90"/>
      <c r="P79" s="21">
        <f t="shared" si="6"/>
        <v>0</v>
      </c>
    </row>
    <row r="80" spans="2:17" x14ac:dyDescent="0.2">
      <c r="B80" s="172"/>
      <c r="C80" s="87"/>
      <c r="D80" s="87"/>
      <c r="E80" s="88"/>
      <c r="F80" s="89"/>
      <c r="G80" s="90"/>
      <c r="H80" s="90"/>
      <c r="I80" s="90"/>
      <c r="J80" s="90"/>
      <c r="K80" s="25">
        <f t="shared" si="4"/>
        <v>0</v>
      </c>
      <c r="L80" s="83">
        <v>1</v>
      </c>
      <c r="M80" s="101">
        <f t="shared" si="5"/>
        <v>0</v>
      </c>
      <c r="N80" s="90"/>
      <c r="O80" s="90"/>
      <c r="P80" s="21">
        <f t="shared" si="6"/>
        <v>0</v>
      </c>
    </row>
    <row r="81" spans="2:16" x14ac:dyDescent="0.2">
      <c r="B81" s="172"/>
      <c r="C81" s="87"/>
      <c r="D81" s="87"/>
      <c r="E81" s="88"/>
      <c r="F81" s="89"/>
      <c r="G81" s="90"/>
      <c r="H81" s="90"/>
      <c r="I81" s="90"/>
      <c r="J81" s="90"/>
      <c r="K81" s="25">
        <f t="shared" si="4"/>
        <v>0</v>
      </c>
      <c r="L81" s="83">
        <v>1</v>
      </c>
      <c r="M81" s="101">
        <f t="shared" si="5"/>
        <v>0</v>
      </c>
      <c r="N81" s="90"/>
      <c r="O81" s="90"/>
      <c r="P81" s="21">
        <f t="shared" si="6"/>
        <v>0</v>
      </c>
    </row>
    <row r="82" spans="2:16" x14ac:dyDescent="0.2">
      <c r="B82" s="172"/>
      <c r="C82" s="87"/>
      <c r="D82" s="87"/>
      <c r="E82" s="88"/>
      <c r="F82" s="89"/>
      <c r="G82" s="90"/>
      <c r="H82" s="90"/>
      <c r="I82" s="90"/>
      <c r="J82" s="90"/>
      <c r="K82" s="25">
        <f t="shared" si="4"/>
        <v>0</v>
      </c>
      <c r="L82" s="83">
        <v>1</v>
      </c>
      <c r="M82" s="101">
        <f t="shared" si="5"/>
        <v>0</v>
      </c>
      <c r="N82" s="90"/>
      <c r="O82" s="90"/>
      <c r="P82" s="21">
        <f t="shared" si="6"/>
        <v>0</v>
      </c>
    </row>
    <row r="83" spans="2:16" x14ac:dyDescent="0.2">
      <c r="B83" s="172"/>
      <c r="C83" s="87"/>
      <c r="D83" s="87"/>
      <c r="E83" s="88"/>
      <c r="F83" s="89"/>
      <c r="G83" s="90"/>
      <c r="H83" s="90"/>
      <c r="I83" s="90"/>
      <c r="J83" s="90"/>
      <c r="K83" s="25">
        <f t="shared" si="4"/>
        <v>0</v>
      </c>
      <c r="L83" s="83">
        <v>1</v>
      </c>
      <c r="M83" s="101">
        <f t="shared" si="5"/>
        <v>0</v>
      </c>
      <c r="N83" s="90"/>
      <c r="O83" s="90"/>
      <c r="P83" s="21">
        <f>SUM(M83:O83)</f>
        <v>0</v>
      </c>
    </row>
    <row r="84" spans="2:16" x14ac:dyDescent="0.2">
      <c r="B84" s="285"/>
      <c r="C84" s="26" t="s">
        <v>19</v>
      </c>
      <c r="D84" s="26"/>
      <c r="E84" s="29"/>
      <c r="F84" s="29"/>
      <c r="G84" s="22">
        <f>SUM(G66:G83)</f>
        <v>59846663.589256153</v>
      </c>
      <c r="H84" s="22">
        <f>SUM(H66:H83)</f>
        <v>9030364.3120184001</v>
      </c>
      <c r="I84" s="22">
        <f>SUM(I66:I83)</f>
        <v>0</v>
      </c>
      <c r="J84" s="22">
        <f>SUM(J66:J83)</f>
        <v>-111618.71797021182</v>
      </c>
      <c r="K84" s="22">
        <f>SUM(K66:K83)</f>
        <v>68765409.18330434</v>
      </c>
      <c r="L84" s="153"/>
      <c r="M84" s="153">
        <f>SUM(M66:M83)</f>
        <v>68765409.18330434</v>
      </c>
      <c r="N84" s="22">
        <f>SUM(N66:N83)</f>
        <v>-41226326.153468654</v>
      </c>
      <c r="O84" s="22">
        <f>SUM(O66:O83)</f>
        <v>-5562527.5942846937</v>
      </c>
      <c r="P84" s="22">
        <f>SUM(P66:P83)</f>
        <v>21976555.435550995</v>
      </c>
    </row>
  </sheetData>
  <sheetProtection sheet="1" insertRows="0" deleteRows="0"/>
  <mergeCells count="1">
    <mergeCell ref="B6:E8"/>
  </mergeCells>
  <phoneticPr fontId="31" type="noConversion"/>
  <dataValidations count="2">
    <dataValidation type="list" allowBlank="1" showInputMessage="1" showErrorMessage="1" sqref="G8:G9 D15:D58" xr:uid="{528214C3-73D8-4698-9852-615CD02D284D}">
      <formula1>rPipelineAssets</formula1>
    </dataValidation>
    <dataValidation type="list" allowBlank="1" showInputMessage="1" showErrorMessage="1" sqref="D66:D83" xr:uid="{17706200-4082-43D9-A2DB-BC753D100D74}">
      <formula1>rSharedAssets</formula1>
    </dataValidation>
  </dataValidations>
  <pageMargins left="0.75" right="0.75" top="1" bottom="1" header="0.5" footer="0.5"/>
  <pageSetup paperSize="9" scale="27" orientation="landscape" r:id="rId1"/>
  <headerFooter alignWithMargins="0">
    <oddFooter>&amp;C_x000D_&amp;1#&amp;"Aptos"&amp;10&amp;K008000 APA-INTERNAL</oddFooter>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55232-9EFD-4B5C-BC1B-AB985FB2D764}">
  <sheetPr codeName="Sheet15">
    <tabColor rgb="FF17415D"/>
  </sheetPr>
  <dimension ref="B1:I47"/>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28515625" defaultRowHeight="12.75" x14ac:dyDescent="0.2"/>
  <cols>
    <col min="1" max="1" width="12.28515625" style="216" customWidth="1"/>
    <col min="2" max="2" width="22.42578125" style="216" customWidth="1"/>
    <col min="3" max="3" width="42.28515625" style="216" customWidth="1"/>
    <col min="4" max="4" width="28.7109375" style="216" customWidth="1"/>
    <col min="5" max="5" width="22.5703125" style="216" customWidth="1"/>
    <col min="6" max="6" width="20.5703125" style="216" customWidth="1"/>
    <col min="7" max="7" width="22.5703125" style="216" customWidth="1"/>
    <col min="8" max="8" width="37.42578125" style="216" customWidth="1"/>
    <col min="9" max="9" width="25.28515625" style="216" customWidth="1"/>
    <col min="10" max="16384" width="9.28515625" style="216"/>
  </cols>
  <sheetData>
    <row r="1" spans="2:9" ht="20.25" customHeight="1" x14ac:dyDescent="0.3">
      <c r="B1" s="146" t="s">
        <v>510</v>
      </c>
      <c r="C1" s="146"/>
      <c r="D1" s="215"/>
      <c r="E1" s="215"/>
      <c r="F1" s="215"/>
      <c r="G1" s="215"/>
    </row>
    <row r="2" spans="2:9" ht="20.25" customHeight="1" x14ac:dyDescent="0.3">
      <c r="B2" s="146" t="str">
        <f>IF(Tradingname=0," ",Tradingname)</f>
        <v>EAST AUSTRALIAN PIPELINE PTY LIMITED</v>
      </c>
      <c r="C2" s="146"/>
      <c r="D2" s="217"/>
    </row>
    <row r="3" spans="2:9" ht="20.25" customHeight="1" x14ac:dyDescent="0.3">
      <c r="B3" s="146" t="s">
        <v>110</v>
      </c>
      <c r="C3" s="110">
        <f>IF(Yearending=0, "01/01/2000", Yearending)</f>
        <v>45838</v>
      </c>
    </row>
    <row r="4" spans="2:9" ht="20.25" x14ac:dyDescent="0.2">
      <c r="B4" s="102" t="s">
        <v>69</v>
      </c>
      <c r="C4" s="102"/>
    </row>
    <row r="6" spans="2:9" x14ac:dyDescent="0.2">
      <c r="B6" s="474" t="s">
        <v>657</v>
      </c>
      <c r="C6" s="474"/>
      <c r="D6" s="474"/>
    </row>
    <row r="7" spans="2:9" ht="15.75" customHeight="1" x14ac:dyDescent="0.2">
      <c r="B7" s="474"/>
      <c r="C7" s="474"/>
      <c r="D7" s="474"/>
    </row>
    <row r="8" spans="2:9" ht="15.75" customHeight="1" x14ac:dyDescent="0.2">
      <c r="B8" s="474"/>
      <c r="C8" s="474"/>
      <c r="D8" s="474"/>
    </row>
    <row r="11" spans="2:9" ht="15.75" x14ac:dyDescent="0.25">
      <c r="B11" s="218" t="s">
        <v>645</v>
      </c>
      <c r="C11" s="219"/>
      <c r="D11" s="219"/>
      <c r="E11" s="219"/>
      <c r="F11" s="222"/>
      <c r="G11" s="219"/>
    </row>
    <row r="12" spans="2:9" ht="15.75" x14ac:dyDescent="0.25">
      <c r="B12" s="218"/>
      <c r="C12" s="219"/>
      <c r="D12" s="219"/>
      <c r="E12" s="219"/>
      <c r="F12" s="222"/>
      <c r="G12" s="219"/>
    </row>
    <row r="13" spans="2:9" ht="25.5" x14ac:dyDescent="0.2">
      <c r="B13" s="48" t="s">
        <v>515</v>
      </c>
      <c r="C13" s="48" t="s">
        <v>105</v>
      </c>
      <c r="D13" s="48" t="s">
        <v>106</v>
      </c>
      <c r="E13" s="60" t="s">
        <v>107</v>
      </c>
      <c r="F13" s="60" t="s">
        <v>47</v>
      </c>
      <c r="G13" s="60" t="s">
        <v>84</v>
      </c>
    </row>
    <row r="14" spans="2:9" x14ac:dyDescent="0.2">
      <c r="B14" s="50"/>
      <c r="C14" s="50"/>
      <c r="D14" s="53"/>
      <c r="E14" s="64" t="s">
        <v>111</v>
      </c>
      <c r="F14" s="64"/>
      <c r="G14" s="64" t="s">
        <v>111</v>
      </c>
    </row>
    <row r="15" spans="2:9" x14ac:dyDescent="0.2">
      <c r="B15" s="391" t="s">
        <v>959</v>
      </c>
      <c r="C15" s="81" t="s">
        <v>819</v>
      </c>
      <c r="D15" s="81" t="s">
        <v>224</v>
      </c>
      <c r="E15" s="82">
        <v>501746970.59000003</v>
      </c>
      <c r="F15" s="83">
        <v>0.12035714104579627</v>
      </c>
      <c r="G15" s="21">
        <f>E15*F15</f>
        <v>60388830.908601627</v>
      </c>
      <c r="H15" s="284"/>
    </row>
    <row r="16" spans="2:9" x14ac:dyDescent="0.2">
      <c r="B16" s="391" t="s">
        <v>959</v>
      </c>
      <c r="C16" s="81" t="s">
        <v>199</v>
      </c>
      <c r="D16" s="81" t="s">
        <v>199</v>
      </c>
      <c r="E16" s="82">
        <v>86146034.725643426</v>
      </c>
      <c r="F16" s="83">
        <v>9.7236957004234861E-2</v>
      </c>
      <c r="G16" s="21">
        <f t="shared" ref="G16:G45" si="0">E16*F16</f>
        <v>8376578.2747027129</v>
      </c>
      <c r="H16" s="287"/>
      <c r="I16" s="287"/>
    </row>
    <row r="17" spans="2:9" x14ac:dyDescent="0.2">
      <c r="B17" s="299"/>
      <c r="C17" s="81"/>
      <c r="D17" s="81"/>
      <c r="E17" s="82"/>
      <c r="F17" s="83"/>
      <c r="G17" s="21">
        <f t="shared" si="0"/>
        <v>0</v>
      </c>
      <c r="H17" s="288"/>
      <c r="I17" s="288"/>
    </row>
    <row r="18" spans="2:9" x14ac:dyDescent="0.2">
      <c r="B18" s="299"/>
      <c r="C18" s="81"/>
      <c r="D18" s="81"/>
      <c r="E18" s="82"/>
      <c r="F18" s="83"/>
      <c r="G18" s="21">
        <f t="shared" si="0"/>
        <v>0</v>
      </c>
      <c r="H18" s="288"/>
      <c r="I18" s="288"/>
    </row>
    <row r="19" spans="2:9" x14ac:dyDescent="0.2">
      <c r="B19" s="299"/>
      <c r="C19" s="81"/>
      <c r="D19" s="81"/>
      <c r="E19" s="82"/>
      <c r="F19" s="83"/>
      <c r="G19" s="21">
        <f t="shared" si="0"/>
        <v>0</v>
      </c>
      <c r="H19" s="287"/>
      <c r="I19" s="287"/>
    </row>
    <row r="20" spans="2:9" x14ac:dyDescent="0.2">
      <c r="B20" s="299"/>
      <c r="C20" s="81"/>
      <c r="D20" s="81"/>
      <c r="E20" s="82"/>
      <c r="F20" s="83"/>
      <c r="G20" s="21">
        <f t="shared" si="0"/>
        <v>0</v>
      </c>
      <c r="H20" s="288"/>
      <c r="I20" s="288"/>
    </row>
    <row r="21" spans="2:9" x14ac:dyDescent="0.2">
      <c r="B21" s="299"/>
      <c r="C21" s="81"/>
      <c r="D21" s="81"/>
      <c r="E21" s="82"/>
      <c r="F21" s="83"/>
      <c r="G21" s="21">
        <f t="shared" si="0"/>
        <v>0</v>
      </c>
    </row>
    <row r="22" spans="2:9" x14ac:dyDescent="0.2">
      <c r="B22" s="299"/>
      <c r="C22" s="81"/>
      <c r="D22" s="81"/>
      <c r="E22" s="82"/>
      <c r="F22" s="83"/>
      <c r="G22" s="21">
        <f t="shared" si="0"/>
        <v>0</v>
      </c>
    </row>
    <row r="23" spans="2:9" x14ac:dyDescent="0.2">
      <c r="B23" s="299"/>
      <c r="C23" s="81"/>
      <c r="D23" s="81"/>
      <c r="E23" s="82"/>
      <c r="F23" s="83"/>
      <c r="G23" s="21">
        <f t="shared" si="0"/>
        <v>0</v>
      </c>
    </row>
    <row r="24" spans="2:9" x14ac:dyDescent="0.2">
      <c r="B24" s="299"/>
      <c r="C24" s="81"/>
      <c r="D24" s="81"/>
      <c r="E24" s="82"/>
      <c r="F24" s="83"/>
      <c r="G24" s="21">
        <f t="shared" si="0"/>
        <v>0</v>
      </c>
    </row>
    <row r="25" spans="2:9" x14ac:dyDescent="0.2">
      <c r="B25" s="299"/>
      <c r="C25" s="81"/>
      <c r="D25" s="81"/>
      <c r="E25" s="82"/>
      <c r="F25" s="83"/>
      <c r="G25" s="21">
        <f t="shared" si="0"/>
        <v>0</v>
      </c>
    </row>
    <row r="26" spans="2:9" x14ac:dyDescent="0.2">
      <c r="B26" s="299"/>
      <c r="C26" s="81"/>
      <c r="D26" s="81"/>
      <c r="E26" s="82"/>
      <c r="F26" s="83"/>
      <c r="G26" s="21">
        <f t="shared" si="0"/>
        <v>0</v>
      </c>
    </row>
    <row r="27" spans="2:9" x14ac:dyDescent="0.2">
      <c r="B27" s="299"/>
      <c r="C27" s="81"/>
      <c r="D27" s="81"/>
      <c r="E27" s="82"/>
      <c r="F27" s="83"/>
      <c r="G27" s="21">
        <f t="shared" si="0"/>
        <v>0</v>
      </c>
    </row>
    <row r="28" spans="2:9" x14ac:dyDescent="0.2">
      <c r="B28" s="299"/>
      <c r="C28" s="81"/>
      <c r="D28" s="81"/>
      <c r="E28" s="82"/>
      <c r="F28" s="83"/>
      <c r="G28" s="21">
        <f t="shared" si="0"/>
        <v>0</v>
      </c>
    </row>
    <row r="29" spans="2:9" x14ac:dyDescent="0.2">
      <c r="B29" s="299"/>
      <c r="C29" s="81"/>
      <c r="D29" s="81"/>
      <c r="E29" s="82"/>
      <c r="F29" s="83"/>
      <c r="G29" s="21">
        <f t="shared" si="0"/>
        <v>0</v>
      </c>
    </row>
    <row r="30" spans="2:9" x14ac:dyDescent="0.2">
      <c r="B30" s="299"/>
      <c r="C30" s="81"/>
      <c r="D30" s="81"/>
      <c r="E30" s="82"/>
      <c r="F30" s="83"/>
      <c r="G30" s="21">
        <f t="shared" si="0"/>
        <v>0</v>
      </c>
    </row>
    <row r="31" spans="2:9" x14ac:dyDescent="0.2">
      <c r="B31" s="299"/>
      <c r="C31" s="81"/>
      <c r="D31" s="81"/>
      <c r="E31" s="82"/>
      <c r="F31" s="83"/>
      <c r="G31" s="21">
        <f t="shared" si="0"/>
        <v>0</v>
      </c>
    </row>
    <row r="32" spans="2:9" x14ac:dyDescent="0.2">
      <c r="B32" s="299"/>
      <c r="C32" s="81"/>
      <c r="D32" s="81"/>
      <c r="E32" s="82"/>
      <c r="F32" s="83"/>
      <c r="G32" s="21">
        <f t="shared" si="0"/>
        <v>0</v>
      </c>
    </row>
    <row r="33" spans="2:9" x14ac:dyDescent="0.2">
      <c r="B33" s="299"/>
      <c r="C33" s="81"/>
      <c r="D33" s="81"/>
      <c r="E33" s="82"/>
      <c r="F33" s="83"/>
      <c r="G33" s="21">
        <f t="shared" si="0"/>
        <v>0</v>
      </c>
    </row>
    <row r="34" spans="2:9" x14ac:dyDescent="0.2">
      <c r="B34" s="299"/>
      <c r="C34" s="81"/>
      <c r="D34" s="81"/>
      <c r="E34" s="82"/>
      <c r="F34" s="83"/>
      <c r="G34" s="21">
        <f t="shared" si="0"/>
        <v>0</v>
      </c>
    </row>
    <row r="35" spans="2:9" x14ac:dyDescent="0.2">
      <c r="B35" s="299"/>
      <c r="C35" s="81"/>
      <c r="D35" s="81"/>
      <c r="E35" s="82"/>
      <c r="F35" s="83"/>
      <c r="G35" s="21">
        <f t="shared" si="0"/>
        <v>0</v>
      </c>
      <c r="I35" s="289"/>
    </row>
    <row r="36" spans="2:9" x14ac:dyDescent="0.2">
      <c r="B36" s="299"/>
      <c r="C36" s="81"/>
      <c r="D36" s="81"/>
      <c r="E36" s="82"/>
      <c r="F36" s="83"/>
      <c r="G36" s="21">
        <f t="shared" si="0"/>
        <v>0</v>
      </c>
      <c r="I36" s="289"/>
    </row>
    <row r="37" spans="2:9" x14ac:dyDescent="0.2">
      <c r="B37" s="299"/>
      <c r="C37" s="81"/>
      <c r="D37" s="81"/>
      <c r="E37" s="82"/>
      <c r="F37" s="83"/>
      <c r="G37" s="21">
        <f t="shared" si="0"/>
        <v>0</v>
      </c>
      <c r="H37" s="289"/>
      <c r="I37" s="289"/>
    </row>
    <row r="38" spans="2:9" x14ac:dyDescent="0.2">
      <c r="B38" s="299"/>
      <c r="C38" s="81"/>
      <c r="D38" s="81"/>
      <c r="E38" s="82"/>
      <c r="F38" s="83"/>
      <c r="G38" s="21">
        <f t="shared" si="0"/>
        <v>0</v>
      </c>
      <c r="H38" s="289"/>
      <c r="I38" s="289"/>
    </row>
    <row r="39" spans="2:9" x14ac:dyDescent="0.2">
      <c r="B39" s="299"/>
      <c r="C39" s="81"/>
      <c r="D39" s="81"/>
      <c r="E39" s="82"/>
      <c r="F39" s="83"/>
      <c r="G39" s="21">
        <f t="shared" si="0"/>
        <v>0</v>
      </c>
      <c r="H39" s="289"/>
      <c r="I39" s="289"/>
    </row>
    <row r="40" spans="2:9" x14ac:dyDescent="0.2">
      <c r="B40" s="299"/>
      <c r="C40" s="81"/>
      <c r="D40" s="81"/>
      <c r="E40" s="82"/>
      <c r="F40" s="83"/>
      <c r="G40" s="21">
        <f t="shared" si="0"/>
        <v>0</v>
      </c>
      <c r="H40" s="289"/>
      <c r="I40" s="289"/>
    </row>
    <row r="41" spans="2:9" x14ac:dyDescent="0.2">
      <c r="B41" s="299"/>
      <c r="C41" s="81"/>
      <c r="D41" s="81"/>
      <c r="E41" s="82"/>
      <c r="F41" s="83"/>
      <c r="G41" s="21">
        <f t="shared" si="0"/>
        <v>0</v>
      </c>
      <c r="H41" s="289"/>
    </row>
    <row r="42" spans="2:9" x14ac:dyDescent="0.2">
      <c r="B42" s="299"/>
      <c r="C42" s="81"/>
      <c r="D42" s="81"/>
      <c r="E42" s="82"/>
      <c r="F42" s="83"/>
      <c r="G42" s="21">
        <f t="shared" si="0"/>
        <v>0</v>
      </c>
      <c r="H42" s="289"/>
    </row>
    <row r="43" spans="2:9" x14ac:dyDescent="0.2">
      <c r="B43" s="299"/>
      <c r="C43" s="81"/>
      <c r="D43" s="81"/>
      <c r="E43" s="82"/>
      <c r="F43" s="83"/>
      <c r="G43" s="21">
        <f t="shared" si="0"/>
        <v>0</v>
      </c>
    </row>
    <row r="44" spans="2:9" x14ac:dyDescent="0.2">
      <c r="B44" s="299"/>
      <c r="C44" s="81"/>
      <c r="D44" s="81"/>
      <c r="E44" s="82"/>
      <c r="F44" s="83"/>
      <c r="G44" s="21">
        <f t="shared" si="0"/>
        <v>0</v>
      </c>
    </row>
    <row r="45" spans="2:9" x14ac:dyDescent="0.2">
      <c r="B45" s="299"/>
      <c r="C45" s="81"/>
      <c r="D45" s="81"/>
      <c r="E45" s="82"/>
      <c r="F45" s="83"/>
      <c r="G45" s="21">
        <f t="shared" si="0"/>
        <v>0</v>
      </c>
    </row>
    <row r="46" spans="2:9" x14ac:dyDescent="0.2">
      <c r="B46" s="299"/>
      <c r="C46" s="81"/>
      <c r="D46" s="81"/>
      <c r="E46" s="82"/>
      <c r="F46" s="83"/>
      <c r="G46" s="21">
        <f>E46*F46</f>
        <v>0</v>
      </c>
    </row>
    <row r="47" spans="2:9" x14ac:dyDescent="0.2">
      <c r="B47" s="290" t="s">
        <v>18</v>
      </c>
      <c r="C47" s="481"/>
      <c r="D47" s="482"/>
      <c r="E47" s="21">
        <f>SUM(E15:E46)</f>
        <v>587893005.31564343</v>
      </c>
      <c r="F47" s="23"/>
      <c r="G47" s="21">
        <f>SUM(G15:G46)</f>
        <v>68765409.18330434</v>
      </c>
    </row>
  </sheetData>
  <sheetProtection sheet="1" insertRows="0" deleteRows="0"/>
  <mergeCells count="2">
    <mergeCell ref="C47:D47"/>
    <mergeCell ref="B6:D8"/>
  </mergeCells>
  <dataValidations disablePrompts="1" count="1">
    <dataValidation type="list" allowBlank="1" showInputMessage="1" showErrorMessage="1" sqref="D15:D46" xr:uid="{945E4371-892E-4866-BCAE-06C4998302F8}">
      <formula1>rSharedAssets</formula1>
    </dataValidation>
  </dataValidations>
  <pageMargins left="0.75" right="0.75" top="1" bottom="1" header="0.5" footer="0.5"/>
  <pageSetup paperSize="9" scale="30" orientation="landscape" r:id="rId1"/>
  <headerFooter alignWithMargins="0">
    <oddFooter>&amp;C_x000D_&amp;1#&amp;"Aptos"&amp;10&amp;K008000 APA-INTERNAL</oddFooter>
  </headerFooter>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EA613-F270-4DF7-9AD5-9697649D4131}">
  <sheetPr>
    <tabColor theme="5" tint="0.79998168889431442"/>
  </sheetPr>
  <dimension ref="A1:Y2"/>
  <sheetViews>
    <sheetView workbookViewId="0"/>
  </sheetViews>
  <sheetFormatPr defaultColWidth="9.28515625" defaultRowHeight="12.75" x14ac:dyDescent="0.2"/>
  <cols>
    <col min="1" max="16384" width="9.28515625" style="329"/>
  </cols>
  <sheetData>
    <row r="1" spans="1:25" x14ac:dyDescent="0.2">
      <c r="A1"/>
      <c r="Y1"/>
    </row>
    <row r="2" spans="1:25" x14ac:dyDescent="0.2">
      <c r="N2"/>
    </row>
  </sheetData>
  <pageMargins left="0.7" right="0.7" top="0.75" bottom="0.75" header="0.3" footer="0.3"/>
  <headerFooter>
    <oddFooter>&amp;C_x000D_&amp;1#&amp;"Aptos"&amp;10&amp;K008000 APA-INTERNAL</oddFooter>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37BD2-B643-40B9-BFB2-B856F7F56653}">
  <sheetPr codeName="Sheet16">
    <tabColor rgb="FF17415D"/>
  </sheetPr>
  <dimension ref="B1:BJ50"/>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8.7109375" defaultRowHeight="12.75" x14ac:dyDescent="0.2"/>
  <cols>
    <col min="1" max="1" width="11.42578125" customWidth="1"/>
    <col min="2" max="2" width="22.28515625" customWidth="1"/>
    <col min="3" max="3" width="47.7109375" customWidth="1"/>
    <col min="4" max="4" width="50.5703125" customWidth="1"/>
    <col min="5" max="5" width="23.7109375" customWidth="1"/>
    <col min="6" max="13" width="9.42578125" customWidth="1"/>
    <col min="29" max="29" width="9.28515625" customWidth="1"/>
    <col min="46" max="46" width="9.28515625" customWidth="1"/>
    <col min="61" max="61" width="13.5703125" customWidth="1"/>
  </cols>
  <sheetData>
    <row r="1" spans="2:61" ht="20.25" customHeight="1" x14ac:dyDescent="0.2">
      <c r="B1" s="146" t="s">
        <v>510</v>
      </c>
      <c r="C1" s="146"/>
    </row>
    <row r="2" spans="2:61" ht="20.25" x14ac:dyDescent="0.2">
      <c r="B2" s="146" t="str">
        <f>IF(Tradingname=0," ",Tradingname)</f>
        <v>EAST AUSTRALIAN PIPELINE PTY LIMITED</v>
      </c>
      <c r="C2" s="146"/>
    </row>
    <row r="3" spans="2:61" ht="19.5" customHeight="1" x14ac:dyDescent="0.3">
      <c r="B3" s="146" t="s">
        <v>110</v>
      </c>
      <c r="C3" s="110">
        <f>IF(Yearending=0, "01/01/2000", Yearending)</f>
        <v>45838</v>
      </c>
    </row>
    <row r="4" spans="2:61" ht="20.25" x14ac:dyDescent="0.2">
      <c r="B4" s="102" t="s">
        <v>511</v>
      </c>
      <c r="C4" s="102"/>
    </row>
    <row r="6" spans="2:61" ht="15.75" customHeight="1" x14ac:dyDescent="0.2">
      <c r="B6" s="474" t="s">
        <v>678</v>
      </c>
      <c r="C6" s="474"/>
      <c r="D6" s="474"/>
    </row>
    <row r="7" spans="2:61" ht="15.75" customHeight="1" x14ac:dyDescent="0.2">
      <c r="B7" s="474"/>
      <c r="C7" s="474"/>
      <c r="D7" s="474"/>
    </row>
    <row r="9" spans="2:61" ht="15.75" x14ac:dyDescent="0.25">
      <c r="B9" s="208" t="s">
        <v>647</v>
      </c>
    </row>
    <row r="11" spans="2:61" ht="45" customHeight="1" x14ac:dyDescent="0.2">
      <c r="B11" s="61" t="s">
        <v>515</v>
      </c>
      <c r="C11" s="485" t="s">
        <v>59</v>
      </c>
      <c r="D11" s="486"/>
      <c r="E11" s="232" t="s">
        <v>18</v>
      </c>
      <c r="F11" s="483" t="s">
        <v>58</v>
      </c>
      <c r="G11" s="484"/>
      <c r="H11" s="484"/>
      <c r="I11" s="484"/>
      <c r="J11" s="484"/>
      <c r="K11" s="484"/>
      <c r="L11" s="484"/>
      <c r="M11" s="484"/>
      <c r="N11" s="484"/>
      <c r="O11" s="484"/>
      <c r="P11" s="484"/>
      <c r="Q11" s="484"/>
      <c r="R11" s="484"/>
      <c r="S11" s="484"/>
      <c r="T11" s="484"/>
      <c r="U11" s="484"/>
      <c r="V11" s="484"/>
      <c r="W11" s="484"/>
      <c r="X11" s="484"/>
      <c r="Y11" s="484"/>
      <c r="Z11" s="484"/>
      <c r="AA11" s="484"/>
      <c r="AB11" s="484"/>
      <c r="AC11" s="484"/>
      <c r="AD11" s="484"/>
      <c r="AE11" s="484"/>
      <c r="AF11" s="484"/>
      <c r="AG11" s="484"/>
      <c r="AH11" s="484"/>
      <c r="AI11" s="484"/>
      <c r="AJ11" s="484"/>
      <c r="AK11" s="484"/>
      <c r="AL11" s="484"/>
      <c r="AM11" s="484"/>
      <c r="AN11" s="484"/>
      <c r="AO11" s="484"/>
      <c r="AP11" s="484"/>
      <c r="AQ11" s="484"/>
      <c r="AR11" s="484"/>
      <c r="AS11" s="484"/>
      <c r="AT11" s="484"/>
      <c r="AU11" s="484"/>
      <c r="AV11" s="484"/>
      <c r="AW11" s="484"/>
      <c r="AX11" s="484"/>
      <c r="AY11" s="484"/>
      <c r="AZ11" s="484"/>
      <c r="BA11" s="484"/>
      <c r="BB11" s="484"/>
      <c r="BC11" s="484"/>
      <c r="BD11" s="484"/>
      <c r="BE11" s="484"/>
      <c r="BF11" s="484"/>
      <c r="BG11" s="484"/>
      <c r="BH11" s="484"/>
      <c r="BI11" s="233" t="s">
        <v>120</v>
      </c>
    </row>
    <row r="12" spans="2:61" x14ac:dyDescent="0.2">
      <c r="B12" s="306"/>
      <c r="C12" s="64"/>
      <c r="D12" s="64"/>
      <c r="E12" s="64"/>
      <c r="F12" s="66" t="str">
        <f>RIGHT(TEXT(C43,"dd/mm/yyyy"),4)</f>
        <v>1976</v>
      </c>
      <c r="G12" s="67">
        <f>F12+1</f>
        <v>1977</v>
      </c>
      <c r="H12" s="67">
        <f t="shared" ref="H12:BG12" si="0">G12+1</f>
        <v>1978</v>
      </c>
      <c r="I12" s="67">
        <f t="shared" si="0"/>
        <v>1979</v>
      </c>
      <c r="J12" s="67">
        <f t="shared" si="0"/>
        <v>1980</v>
      </c>
      <c r="K12" s="67">
        <f t="shared" si="0"/>
        <v>1981</v>
      </c>
      <c r="L12" s="67">
        <f t="shared" si="0"/>
        <v>1982</v>
      </c>
      <c r="M12" s="67">
        <f t="shared" si="0"/>
        <v>1983</v>
      </c>
      <c r="N12" s="67">
        <f t="shared" si="0"/>
        <v>1984</v>
      </c>
      <c r="O12" s="67">
        <f t="shared" si="0"/>
        <v>1985</v>
      </c>
      <c r="P12" s="67">
        <f t="shared" si="0"/>
        <v>1986</v>
      </c>
      <c r="Q12" s="67">
        <f t="shared" si="0"/>
        <v>1987</v>
      </c>
      <c r="R12" s="67">
        <f t="shared" si="0"/>
        <v>1988</v>
      </c>
      <c r="S12" s="67">
        <f t="shared" si="0"/>
        <v>1989</v>
      </c>
      <c r="T12" s="67">
        <f t="shared" si="0"/>
        <v>1990</v>
      </c>
      <c r="U12" s="67">
        <f t="shared" si="0"/>
        <v>1991</v>
      </c>
      <c r="V12" s="67">
        <f t="shared" si="0"/>
        <v>1992</v>
      </c>
      <c r="W12" s="67">
        <f t="shared" si="0"/>
        <v>1993</v>
      </c>
      <c r="X12" s="67">
        <f t="shared" si="0"/>
        <v>1994</v>
      </c>
      <c r="Y12" s="67">
        <f t="shared" si="0"/>
        <v>1995</v>
      </c>
      <c r="Z12" s="67">
        <f t="shared" si="0"/>
        <v>1996</v>
      </c>
      <c r="AA12" s="67">
        <f t="shared" si="0"/>
        <v>1997</v>
      </c>
      <c r="AB12" s="67">
        <f t="shared" si="0"/>
        <v>1998</v>
      </c>
      <c r="AC12" s="67">
        <f t="shared" si="0"/>
        <v>1999</v>
      </c>
      <c r="AD12" s="67">
        <f t="shared" si="0"/>
        <v>2000</v>
      </c>
      <c r="AE12" s="67">
        <f t="shared" si="0"/>
        <v>2001</v>
      </c>
      <c r="AF12" s="67">
        <f t="shared" si="0"/>
        <v>2002</v>
      </c>
      <c r="AG12" s="67">
        <f t="shared" si="0"/>
        <v>2003</v>
      </c>
      <c r="AH12" s="67">
        <f t="shared" si="0"/>
        <v>2004</v>
      </c>
      <c r="AI12" s="67">
        <f t="shared" si="0"/>
        <v>2005</v>
      </c>
      <c r="AJ12" s="67">
        <f t="shared" si="0"/>
        <v>2006</v>
      </c>
      <c r="AK12" s="67">
        <f t="shared" si="0"/>
        <v>2007</v>
      </c>
      <c r="AL12" s="67">
        <f t="shared" si="0"/>
        <v>2008</v>
      </c>
      <c r="AM12" s="67">
        <f t="shared" si="0"/>
        <v>2009</v>
      </c>
      <c r="AN12" s="67">
        <f t="shared" si="0"/>
        <v>2010</v>
      </c>
      <c r="AO12" s="67">
        <f t="shared" si="0"/>
        <v>2011</v>
      </c>
      <c r="AP12" s="67">
        <f t="shared" si="0"/>
        <v>2012</v>
      </c>
      <c r="AQ12" s="67">
        <f t="shared" si="0"/>
        <v>2013</v>
      </c>
      <c r="AR12" s="67">
        <f t="shared" si="0"/>
        <v>2014</v>
      </c>
      <c r="AS12" s="67">
        <f t="shared" si="0"/>
        <v>2015</v>
      </c>
      <c r="AT12" s="67">
        <f t="shared" si="0"/>
        <v>2016</v>
      </c>
      <c r="AU12" s="67">
        <f t="shared" si="0"/>
        <v>2017</v>
      </c>
      <c r="AV12" s="67">
        <f t="shared" si="0"/>
        <v>2018</v>
      </c>
      <c r="AW12" s="67">
        <f t="shared" si="0"/>
        <v>2019</v>
      </c>
      <c r="AX12" s="67">
        <f t="shared" si="0"/>
        <v>2020</v>
      </c>
      <c r="AY12" s="67">
        <f t="shared" si="0"/>
        <v>2021</v>
      </c>
      <c r="AZ12" s="67">
        <f t="shared" si="0"/>
        <v>2022</v>
      </c>
      <c r="BA12" s="67">
        <f t="shared" si="0"/>
        <v>2023</v>
      </c>
      <c r="BB12" s="67">
        <f t="shared" si="0"/>
        <v>2024</v>
      </c>
      <c r="BC12" s="67">
        <f t="shared" si="0"/>
        <v>2025</v>
      </c>
      <c r="BD12" s="67">
        <f t="shared" si="0"/>
        <v>2026</v>
      </c>
      <c r="BE12" s="67">
        <f t="shared" si="0"/>
        <v>2027</v>
      </c>
      <c r="BF12" s="67">
        <f t="shared" si="0"/>
        <v>2028</v>
      </c>
      <c r="BG12" s="67">
        <f t="shared" si="0"/>
        <v>2029</v>
      </c>
      <c r="BH12" s="67">
        <f>BG12+1</f>
        <v>2030</v>
      </c>
    </row>
    <row r="13" spans="2:61" x14ac:dyDescent="0.2">
      <c r="B13" s="399" t="s">
        <v>967</v>
      </c>
      <c r="C13" s="68" t="s">
        <v>46</v>
      </c>
      <c r="D13" s="69"/>
      <c r="E13" s="21"/>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row>
    <row r="14" spans="2:61" x14ac:dyDescent="0.2">
      <c r="B14" s="307"/>
      <c r="C14" s="68"/>
      <c r="D14" s="69" t="s">
        <v>51</v>
      </c>
      <c r="E14" s="21">
        <f t="shared" ref="E14:E20" si="1">SUM(F14:BH14)</f>
        <v>0</v>
      </c>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row>
    <row r="15" spans="2:61" x14ac:dyDescent="0.2">
      <c r="B15" s="307"/>
      <c r="C15" s="68"/>
      <c r="D15" s="69" t="s">
        <v>666</v>
      </c>
      <c r="E15" s="21">
        <f t="shared" si="1"/>
        <v>0</v>
      </c>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row>
    <row r="16" spans="2:61" x14ac:dyDescent="0.2">
      <c r="B16" s="307"/>
      <c r="C16" s="68"/>
      <c r="D16" s="69" t="s">
        <v>52</v>
      </c>
      <c r="E16" s="21">
        <f t="shared" si="1"/>
        <v>0</v>
      </c>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row>
    <row r="17" spans="2:62" x14ac:dyDescent="0.2">
      <c r="B17" s="307"/>
      <c r="C17" s="68"/>
      <c r="D17" s="69" t="s">
        <v>72</v>
      </c>
      <c r="E17" s="21">
        <f t="shared" si="1"/>
        <v>0</v>
      </c>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row>
    <row r="18" spans="2:62" x14ac:dyDescent="0.2">
      <c r="B18" s="307"/>
      <c r="C18" s="68"/>
      <c r="D18" s="69" t="s">
        <v>57</v>
      </c>
      <c r="E18" s="21">
        <f t="shared" si="1"/>
        <v>0</v>
      </c>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row>
    <row r="19" spans="2:62" x14ac:dyDescent="0.2">
      <c r="B19" s="307"/>
      <c r="C19" s="68"/>
      <c r="D19" s="69" t="s">
        <v>205</v>
      </c>
      <c r="E19" s="21">
        <f t="shared" si="1"/>
        <v>0</v>
      </c>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row>
    <row r="20" spans="2:62" x14ac:dyDescent="0.2">
      <c r="B20" s="307"/>
      <c r="C20" s="68"/>
      <c r="D20" s="223" t="s">
        <v>239</v>
      </c>
      <c r="E20" s="21">
        <f t="shared" si="1"/>
        <v>0</v>
      </c>
      <c r="F20" s="22">
        <f t="shared" ref="F20:AK20" si="2">SUM(F13:F19)</f>
        <v>0</v>
      </c>
      <c r="G20" s="22">
        <f t="shared" si="2"/>
        <v>0</v>
      </c>
      <c r="H20" s="22">
        <f t="shared" si="2"/>
        <v>0</v>
      </c>
      <c r="I20" s="22">
        <f t="shared" si="2"/>
        <v>0</v>
      </c>
      <c r="J20" s="22">
        <f t="shared" si="2"/>
        <v>0</v>
      </c>
      <c r="K20" s="22">
        <f t="shared" si="2"/>
        <v>0</v>
      </c>
      <c r="L20" s="22">
        <f t="shared" si="2"/>
        <v>0</v>
      </c>
      <c r="M20" s="22">
        <f t="shared" si="2"/>
        <v>0</v>
      </c>
      <c r="N20" s="22">
        <f t="shared" si="2"/>
        <v>0</v>
      </c>
      <c r="O20" s="22">
        <f t="shared" si="2"/>
        <v>0</v>
      </c>
      <c r="P20" s="22">
        <f t="shared" si="2"/>
        <v>0</v>
      </c>
      <c r="Q20" s="22">
        <f t="shared" si="2"/>
        <v>0</v>
      </c>
      <c r="R20" s="22">
        <f t="shared" si="2"/>
        <v>0</v>
      </c>
      <c r="S20" s="22">
        <f t="shared" si="2"/>
        <v>0</v>
      </c>
      <c r="T20" s="22">
        <f t="shared" si="2"/>
        <v>0</v>
      </c>
      <c r="U20" s="22">
        <f t="shared" si="2"/>
        <v>0</v>
      </c>
      <c r="V20" s="22">
        <f t="shared" si="2"/>
        <v>0</v>
      </c>
      <c r="W20" s="22">
        <f t="shared" si="2"/>
        <v>0</v>
      </c>
      <c r="X20" s="22">
        <f t="shared" si="2"/>
        <v>0</v>
      </c>
      <c r="Y20" s="22">
        <f t="shared" si="2"/>
        <v>0</v>
      </c>
      <c r="Z20" s="22">
        <f t="shared" si="2"/>
        <v>0</v>
      </c>
      <c r="AA20" s="22">
        <f t="shared" si="2"/>
        <v>0</v>
      </c>
      <c r="AB20" s="22">
        <f t="shared" si="2"/>
        <v>0</v>
      </c>
      <c r="AC20" s="22">
        <f t="shared" si="2"/>
        <v>0</v>
      </c>
      <c r="AD20" s="22">
        <f t="shared" si="2"/>
        <v>0</v>
      </c>
      <c r="AE20" s="22">
        <f t="shared" si="2"/>
        <v>0</v>
      </c>
      <c r="AF20" s="22">
        <f t="shared" si="2"/>
        <v>0</v>
      </c>
      <c r="AG20" s="22">
        <f t="shared" si="2"/>
        <v>0</v>
      </c>
      <c r="AH20" s="22">
        <f t="shared" si="2"/>
        <v>0</v>
      </c>
      <c r="AI20" s="22">
        <f t="shared" si="2"/>
        <v>0</v>
      </c>
      <c r="AJ20" s="22">
        <f t="shared" si="2"/>
        <v>0</v>
      </c>
      <c r="AK20" s="22">
        <f t="shared" si="2"/>
        <v>0</v>
      </c>
      <c r="AL20" s="22">
        <f t="shared" ref="AL20:BH20" si="3">SUM(AL13:AL19)</f>
        <v>0</v>
      </c>
      <c r="AM20" s="22">
        <f t="shared" si="3"/>
        <v>0</v>
      </c>
      <c r="AN20" s="22">
        <f t="shared" si="3"/>
        <v>0</v>
      </c>
      <c r="AO20" s="22">
        <f t="shared" si="3"/>
        <v>0</v>
      </c>
      <c r="AP20" s="22">
        <f t="shared" si="3"/>
        <v>0</v>
      </c>
      <c r="AQ20" s="22">
        <f t="shared" si="3"/>
        <v>0</v>
      </c>
      <c r="AR20" s="22">
        <f t="shared" si="3"/>
        <v>0</v>
      </c>
      <c r="AS20" s="22">
        <f t="shared" si="3"/>
        <v>0</v>
      </c>
      <c r="AT20" s="22">
        <f t="shared" si="3"/>
        <v>0</v>
      </c>
      <c r="AU20" s="22">
        <f t="shared" si="3"/>
        <v>0</v>
      </c>
      <c r="AV20" s="22">
        <f t="shared" si="3"/>
        <v>0</v>
      </c>
      <c r="AW20" s="22">
        <f t="shared" si="3"/>
        <v>0</v>
      </c>
      <c r="AX20" s="22">
        <f t="shared" si="3"/>
        <v>0</v>
      </c>
      <c r="AY20" s="22">
        <f t="shared" si="3"/>
        <v>0</v>
      </c>
      <c r="AZ20" s="22">
        <f t="shared" si="3"/>
        <v>0</v>
      </c>
      <c r="BA20" s="22">
        <f t="shared" si="3"/>
        <v>0</v>
      </c>
      <c r="BB20" s="22">
        <f t="shared" si="3"/>
        <v>0</v>
      </c>
      <c r="BC20" s="22">
        <f t="shared" si="3"/>
        <v>0</v>
      </c>
      <c r="BD20" s="22">
        <f t="shared" si="3"/>
        <v>0</v>
      </c>
      <c r="BE20" s="22">
        <f t="shared" si="3"/>
        <v>0</v>
      </c>
      <c r="BF20" s="22">
        <f t="shared" si="3"/>
        <v>0</v>
      </c>
      <c r="BG20" s="22">
        <f t="shared" si="3"/>
        <v>0</v>
      </c>
      <c r="BH20" s="22">
        <f t="shared" si="3"/>
        <v>0</v>
      </c>
    </row>
    <row r="21" spans="2:62" x14ac:dyDescent="0.2">
      <c r="B21" s="307"/>
      <c r="C21" s="68" t="s">
        <v>100</v>
      </c>
      <c r="D21" s="68"/>
      <c r="E21" s="21"/>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row>
    <row r="22" spans="2:62" ht="25.5" x14ac:dyDescent="0.2">
      <c r="B22" s="307"/>
      <c r="C22" s="68"/>
      <c r="D22" s="69" t="s">
        <v>377</v>
      </c>
      <c r="E22" s="21">
        <f t="shared" ref="E22:E27" si="4">SUM(F22:BH22)</f>
        <v>0</v>
      </c>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row>
    <row r="23" spans="2:62" x14ac:dyDescent="0.2">
      <c r="B23" s="307"/>
      <c r="C23" s="68"/>
      <c r="D23" s="69" t="s">
        <v>666</v>
      </c>
      <c r="E23" s="21">
        <f t="shared" si="4"/>
        <v>0</v>
      </c>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row>
    <row r="24" spans="2:62" x14ac:dyDescent="0.2">
      <c r="B24" s="307"/>
      <c r="C24" s="68"/>
      <c r="D24" s="69" t="s">
        <v>52</v>
      </c>
      <c r="E24" s="21">
        <f t="shared" si="4"/>
        <v>0</v>
      </c>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row>
    <row r="25" spans="2:62" x14ac:dyDescent="0.2">
      <c r="B25" s="307"/>
      <c r="C25" s="68"/>
      <c r="D25" s="69" t="s">
        <v>72</v>
      </c>
      <c r="E25" s="21">
        <f t="shared" si="4"/>
        <v>0</v>
      </c>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row>
    <row r="26" spans="2:62" x14ac:dyDescent="0.2">
      <c r="B26" s="307"/>
      <c r="C26" s="68"/>
      <c r="D26" s="69" t="s">
        <v>57</v>
      </c>
      <c r="E26" s="21">
        <f t="shared" si="4"/>
        <v>0</v>
      </c>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row>
    <row r="27" spans="2:62" x14ac:dyDescent="0.2">
      <c r="B27" s="307"/>
      <c r="C27" s="68"/>
      <c r="D27" s="69" t="s">
        <v>205</v>
      </c>
      <c r="E27" s="21">
        <f t="shared" si="4"/>
        <v>0</v>
      </c>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row>
    <row r="28" spans="2:62" x14ac:dyDescent="0.2">
      <c r="B28" s="307"/>
      <c r="C28" s="68"/>
      <c r="D28" s="223" t="s">
        <v>240</v>
      </c>
      <c r="E28" s="21">
        <f>SUM(F28:BH28)</f>
        <v>0</v>
      </c>
      <c r="F28" s="22">
        <f>SUM(F22:F27)</f>
        <v>0</v>
      </c>
      <c r="G28" s="22">
        <f t="shared" ref="G28:BH28" si="5">SUM(G22:G27)</f>
        <v>0</v>
      </c>
      <c r="H28" s="22">
        <f t="shared" si="5"/>
        <v>0</v>
      </c>
      <c r="I28" s="22">
        <f t="shared" si="5"/>
        <v>0</v>
      </c>
      <c r="J28" s="22">
        <f t="shared" si="5"/>
        <v>0</v>
      </c>
      <c r="K28" s="22">
        <f t="shared" si="5"/>
        <v>0</v>
      </c>
      <c r="L28" s="22">
        <f t="shared" si="5"/>
        <v>0</v>
      </c>
      <c r="M28" s="22">
        <f t="shared" si="5"/>
        <v>0</v>
      </c>
      <c r="N28" s="22">
        <f t="shared" si="5"/>
        <v>0</v>
      </c>
      <c r="O28" s="22">
        <f t="shared" si="5"/>
        <v>0</v>
      </c>
      <c r="P28" s="22">
        <f t="shared" si="5"/>
        <v>0</v>
      </c>
      <c r="Q28" s="22">
        <f t="shared" si="5"/>
        <v>0</v>
      </c>
      <c r="R28" s="22">
        <f t="shared" si="5"/>
        <v>0</v>
      </c>
      <c r="S28" s="22">
        <f t="shared" si="5"/>
        <v>0</v>
      </c>
      <c r="T28" s="22">
        <f t="shared" si="5"/>
        <v>0</v>
      </c>
      <c r="U28" s="22">
        <f t="shared" si="5"/>
        <v>0</v>
      </c>
      <c r="V28" s="22">
        <f t="shared" si="5"/>
        <v>0</v>
      </c>
      <c r="W28" s="22">
        <f t="shared" si="5"/>
        <v>0</v>
      </c>
      <c r="X28" s="22">
        <f t="shared" si="5"/>
        <v>0</v>
      </c>
      <c r="Y28" s="22">
        <f t="shared" si="5"/>
        <v>0</v>
      </c>
      <c r="Z28" s="22">
        <f t="shared" si="5"/>
        <v>0</v>
      </c>
      <c r="AA28" s="22">
        <f t="shared" si="5"/>
        <v>0</v>
      </c>
      <c r="AB28" s="22">
        <f t="shared" si="5"/>
        <v>0</v>
      </c>
      <c r="AC28" s="22">
        <f t="shared" si="5"/>
        <v>0</v>
      </c>
      <c r="AD28" s="22">
        <f t="shared" si="5"/>
        <v>0</v>
      </c>
      <c r="AE28" s="22">
        <f t="shared" si="5"/>
        <v>0</v>
      </c>
      <c r="AF28" s="22">
        <f t="shared" si="5"/>
        <v>0</v>
      </c>
      <c r="AG28" s="22">
        <f t="shared" si="5"/>
        <v>0</v>
      </c>
      <c r="AH28" s="22">
        <f t="shared" si="5"/>
        <v>0</v>
      </c>
      <c r="AI28" s="22">
        <f t="shared" si="5"/>
        <v>0</v>
      </c>
      <c r="AJ28" s="22">
        <f t="shared" si="5"/>
        <v>0</v>
      </c>
      <c r="AK28" s="22">
        <f t="shared" si="5"/>
        <v>0</v>
      </c>
      <c r="AL28" s="22">
        <f t="shared" si="5"/>
        <v>0</v>
      </c>
      <c r="AM28" s="22">
        <f t="shared" si="5"/>
        <v>0</v>
      </c>
      <c r="AN28" s="22">
        <f t="shared" si="5"/>
        <v>0</v>
      </c>
      <c r="AO28" s="22">
        <f t="shared" si="5"/>
        <v>0</v>
      </c>
      <c r="AP28" s="22">
        <f t="shared" si="5"/>
        <v>0</v>
      </c>
      <c r="AQ28" s="22">
        <f t="shared" si="5"/>
        <v>0</v>
      </c>
      <c r="AR28" s="22">
        <f t="shared" si="5"/>
        <v>0</v>
      </c>
      <c r="AS28" s="22">
        <f t="shared" si="5"/>
        <v>0</v>
      </c>
      <c r="AT28" s="22">
        <f t="shared" si="5"/>
        <v>0</v>
      </c>
      <c r="AU28" s="22">
        <f t="shared" si="5"/>
        <v>0</v>
      </c>
      <c r="AV28" s="22">
        <f t="shared" si="5"/>
        <v>0</v>
      </c>
      <c r="AW28" s="22">
        <f t="shared" si="5"/>
        <v>0</v>
      </c>
      <c r="AX28" s="22">
        <f t="shared" si="5"/>
        <v>0</v>
      </c>
      <c r="AY28" s="22">
        <f t="shared" si="5"/>
        <v>0</v>
      </c>
      <c r="AZ28" s="22">
        <f t="shared" si="5"/>
        <v>0</v>
      </c>
      <c r="BA28" s="22">
        <f t="shared" si="5"/>
        <v>0</v>
      </c>
      <c r="BB28" s="22">
        <f t="shared" si="5"/>
        <v>0</v>
      </c>
      <c r="BC28" s="22">
        <f t="shared" si="5"/>
        <v>0</v>
      </c>
      <c r="BD28" s="22">
        <f t="shared" si="5"/>
        <v>0</v>
      </c>
      <c r="BE28" s="22">
        <f t="shared" si="5"/>
        <v>0</v>
      </c>
      <c r="BF28" s="22">
        <f t="shared" si="5"/>
        <v>0</v>
      </c>
      <c r="BG28" s="22">
        <f t="shared" si="5"/>
        <v>0</v>
      </c>
      <c r="BH28" s="22">
        <f t="shared" si="5"/>
        <v>0</v>
      </c>
    </row>
    <row r="29" spans="2:62" x14ac:dyDescent="0.2">
      <c r="B29" s="307"/>
      <c r="C29" s="68"/>
      <c r="D29" s="68" t="s">
        <v>64</v>
      </c>
      <c r="E29" s="21">
        <f>E20+E28</f>
        <v>0</v>
      </c>
      <c r="F29" s="21">
        <f>F20+F28</f>
        <v>0</v>
      </c>
      <c r="G29" s="21">
        <f t="shared" ref="G29:AJ29" si="6">G20+G28</f>
        <v>0</v>
      </c>
      <c r="H29" s="21">
        <f t="shared" si="6"/>
        <v>0</v>
      </c>
      <c r="I29" s="21">
        <f t="shared" si="6"/>
        <v>0</v>
      </c>
      <c r="J29" s="21">
        <f t="shared" si="6"/>
        <v>0</v>
      </c>
      <c r="K29" s="21">
        <f t="shared" si="6"/>
        <v>0</v>
      </c>
      <c r="L29" s="21">
        <f t="shared" si="6"/>
        <v>0</v>
      </c>
      <c r="M29" s="21">
        <f t="shared" si="6"/>
        <v>0</v>
      </c>
      <c r="N29" s="21">
        <f t="shared" si="6"/>
        <v>0</v>
      </c>
      <c r="O29" s="21">
        <f t="shared" si="6"/>
        <v>0</v>
      </c>
      <c r="P29" s="21">
        <f t="shared" si="6"/>
        <v>0</v>
      </c>
      <c r="Q29" s="21">
        <f t="shared" si="6"/>
        <v>0</v>
      </c>
      <c r="R29" s="21">
        <f t="shared" si="6"/>
        <v>0</v>
      </c>
      <c r="S29" s="21">
        <f t="shared" si="6"/>
        <v>0</v>
      </c>
      <c r="T29" s="21">
        <f t="shared" si="6"/>
        <v>0</v>
      </c>
      <c r="U29" s="21">
        <f t="shared" si="6"/>
        <v>0</v>
      </c>
      <c r="V29" s="21">
        <f t="shared" si="6"/>
        <v>0</v>
      </c>
      <c r="W29" s="21">
        <f t="shared" si="6"/>
        <v>0</v>
      </c>
      <c r="X29" s="21">
        <f t="shared" si="6"/>
        <v>0</v>
      </c>
      <c r="Y29" s="21">
        <f t="shared" si="6"/>
        <v>0</v>
      </c>
      <c r="Z29" s="21">
        <f t="shared" si="6"/>
        <v>0</v>
      </c>
      <c r="AA29" s="21">
        <f t="shared" si="6"/>
        <v>0</v>
      </c>
      <c r="AB29" s="21">
        <f t="shared" si="6"/>
        <v>0</v>
      </c>
      <c r="AC29" s="21">
        <f t="shared" si="6"/>
        <v>0</v>
      </c>
      <c r="AD29" s="21">
        <f t="shared" si="6"/>
        <v>0</v>
      </c>
      <c r="AE29" s="21">
        <f t="shared" si="6"/>
        <v>0</v>
      </c>
      <c r="AF29" s="21">
        <f t="shared" si="6"/>
        <v>0</v>
      </c>
      <c r="AG29" s="21">
        <f t="shared" si="6"/>
        <v>0</v>
      </c>
      <c r="AH29" s="21">
        <f t="shared" si="6"/>
        <v>0</v>
      </c>
      <c r="AI29" s="21">
        <f t="shared" si="6"/>
        <v>0</v>
      </c>
      <c r="AJ29" s="21">
        <f t="shared" si="6"/>
        <v>0</v>
      </c>
      <c r="AK29" s="21">
        <f t="shared" ref="AK29:BH29" si="7">AK20+AK28</f>
        <v>0</v>
      </c>
      <c r="AL29" s="21">
        <f t="shared" si="7"/>
        <v>0</v>
      </c>
      <c r="AM29" s="21">
        <f t="shared" si="7"/>
        <v>0</v>
      </c>
      <c r="AN29" s="21">
        <f t="shared" si="7"/>
        <v>0</v>
      </c>
      <c r="AO29" s="21">
        <f t="shared" si="7"/>
        <v>0</v>
      </c>
      <c r="AP29" s="21">
        <f t="shared" si="7"/>
        <v>0</v>
      </c>
      <c r="AQ29" s="21">
        <f t="shared" si="7"/>
        <v>0</v>
      </c>
      <c r="AR29" s="21">
        <f t="shared" si="7"/>
        <v>0</v>
      </c>
      <c r="AS29" s="21">
        <f t="shared" si="7"/>
        <v>0</v>
      </c>
      <c r="AT29" s="21">
        <f t="shared" si="7"/>
        <v>0</v>
      </c>
      <c r="AU29" s="21">
        <f t="shared" si="7"/>
        <v>0</v>
      </c>
      <c r="AV29" s="21">
        <f t="shared" si="7"/>
        <v>0</v>
      </c>
      <c r="AW29" s="21">
        <f t="shared" si="7"/>
        <v>0</v>
      </c>
      <c r="AX29" s="21">
        <f t="shared" si="7"/>
        <v>0</v>
      </c>
      <c r="AY29" s="21">
        <f t="shared" si="7"/>
        <v>0</v>
      </c>
      <c r="AZ29" s="21">
        <f t="shared" si="7"/>
        <v>0</v>
      </c>
      <c r="BA29" s="21">
        <f t="shared" si="7"/>
        <v>0</v>
      </c>
      <c r="BB29" s="21">
        <f t="shared" si="7"/>
        <v>0</v>
      </c>
      <c r="BC29" s="21">
        <f t="shared" si="7"/>
        <v>0</v>
      </c>
      <c r="BD29" s="21">
        <f t="shared" si="7"/>
        <v>0</v>
      </c>
      <c r="BE29" s="21">
        <f t="shared" si="7"/>
        <v>0</v>
      </c>
      <c r="BF29" s="21">
        <f t="shared" si="7"/>
        <v>0</v>
      </c>
      <c r="BG29" s="21">
        <f t="shared" si="7"/>
        <v>0</v>
      </c>
      <c r="BH29" s="21">
        <f t="shared" si="7"/>
        <v>0</v>
      </c>
    </row>
    <row r="30" spans="2:62" x14ac:dyDescent="0.2">
      <c r="B30" s="307"/>
      <c r="C30" s="68" t="s">
        <v>118</v>
      </c>
      <c r="D30" s="68"/>
      <c r="E30" s="21"/>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row>
    <row r="31" spans="2:62" x14ac:dyDescent="0.2">
      <c r="B31" s="307"/>
      <c r="C31" s="68"/>
      <c r="D31" s="70" t="s">
        <v>66</v>
      </c>
      <c r="E31" s="21">
        <f t="shared" ref="E31:E37" si="8">SUM(F31:BH31)</f>
        <v>0</v>
      </c>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row>
    <row r="32" spans="2:62" x14ac:dyDescent="0.2">
      <c r="B32" s="307"/>
      <c r="C32" s="68"/>
      <c r="D32" s="70" t="s">
        <v>67</v>
      </c>
      <c r="E32" s="21">
        <f t="shared" si="8"/>
        <v>0</v>
      </c>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J32" s="15"/>
    </row>
    <row r="33" spans="2:60" x14ac:dyDescent="0.2">
      <c r="B33" s="307"/>
      <c r="C33" s="68"/>
      <c r="D33" s="70" t="s">
        <v>68</v>
      </c>
      <c r="E33" s="21">
        <f t="shared" si="8"/>
        <v>0</v>
      </c>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row>
    <row r="34" spans="2:60" x14ac:dyDescent="0.2">
      <c r="B34" s="307"/>
      <c r="C34" s="68"/>
      <c r="D34" s="69" t="s">
        <v>213</v>
      </c>
      <c r="E34" s="21">
        <f t="shared" si="8"/>
        <v>0</v>
      </c>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row>
    <row r="35" spans="2:60" x14ac:dyDescent="0.2">
      <c r="B35" s="307"/>
      <c r="C35" s="68"/>
      <c r="D35" s="70" t="s">
        <v>101</v>
      </c>
      <c r="E35" s="21">
        <f t="shared" si="8"/>
        <v>0</v>
      </c>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row>
    <row r="36" spans="2:60" x14ac:dyDescent="0.2">
      <c r="B36" s="307"/>
      <c r="C36" s="68"/>
      <c r="D36" s="68" t="s">
        <v>102</v>
      </c>
      <c r="E36" s="21">
        <f t="shared" si="8"/>
        <v>0</v>
      </c>
      <c r="F36" s="22">
        <f>SUM(F31:F35)</f>
        <v>0</v>
      </c>
      <c r="G36" s="22">
        <f t="shared" ref="G36:AK36" si="9">SUM(G31:G35)</f>
        <v>0</v>
      </c>
      <c r="H36" s="22">
        <f t="shared" si="9"/>
        <v>0</v>
      </c>
      <c r="I36" s="22">
        <f t="shared" si="9"/>
        <v>0</v>
      </c>
      <c r="J36" s="22">
        <f t="shared" si="9"/>
        <v>0</v>
      </c>
      <c r="K36" s="22">
        <f t="shared" si="9"/>
        <v>0</v>
      </c>
      <c r="L36" s="22">
        <f t="shared" si="9"/>
        <v>0</v>
      </c>
      <c r="M36" s="22">
        <f t="shared" si="9"/>
        <v>0</v>
      </c>
      <c r="N36" s="22">
        <f t="shared" si="9"/>
        <v>0</v>
      </c>
      <c r="O36" s="22">
        <f t="shared" si="9"/>
        <v>0</v>
      </c>
      <c r="P36" s="22">
        <f t="shared" si="9"/>
        <v>0</v>
      </c>
      <c r="Q36" s="22">
        <f t="shared" si="9"/>
        <v>0</v>
      </c>
      <c r="R36" s="22">
        <f t="shared" si="9"/>
        <v>0</v>
      </c>
      <c r="S36" s="22">
        <f t="shared" si="9"/>
        <v>0</v>
      </c>
      <c r="T36" s="22">
        <f t="shared" si="9"/>
        <v>0</v>
      </c>
      <c r="U36" s="22">
        <f t="shared" si="9"/>
        <v>0</v>
      </c>
      <c r="V36" s="22">
        <f t="shared" si="9"/>
        <v>0</v>
      </c>
      <c r="W36" s="22">
        <f t="shared" si="9"/>
        <v>0</v>
      </c>
      <c r="X36" s="22">
        <f t="shared" si="9"/>
        <v>0</v>
      </c>
      <c r="Y36" s="22">
        <f t="shared" si="9"/>
        <v>0</v>
      </c>
      <c r="Z36" s="22">
        <f t="shared" si="9"/>
        <v>0</v>
      </c>
      <c r="AA36" s="22">
        <f t="shared" si="9"/>
        <v>0</v>
      </c>
      <c r="AB36" s="22">
        <f t="shared" si="9"/>
        <v>0</v>
      </c>
      <c r="AC36" s="22">
        <f t="shared" si="9"/>
        <v>0</v>
      </c>
      <c r="AD36" s="22">
        <f t="shared" si="9"/>
        <v>0</v>
      </c>
      <c r="AE36" s="22">
        <f t="shared" si="9"/>
        <v>0</v>
      </c>
      <c r="AF36" s="22">
        <f t="shared" si="9"/>
        <v>0</v>
      </c>
      <c r="AG36" s="22">
        <f t="shared" si="9"/>
        <v>0</v>
      </c>
      <c r="AH36" s="22">
        <f t="shared" si="9"/>
        <v>0</v>
      </c>
      <c r="AI36" s="22">
        <f t="shared" si="9"/>
        <v>0</v>
      </c>
      <c r="AJ36" s="22">
        <f t="shared" si="9"/>
        <v>0</v>
      </c>
      <c r="AK36" s="22">
        <f t="shared" si="9"/>
        <v>0</v>
      </c>
      <c r="AL36" s="22">
        <f t="shared" ref="AL36:BH36" si="10">SUM(AL31:AL35)</f>
        <v>0</v>
      </c>
      <c r="AM36" s="22">
        <f t="shared" si="10"/>
        <v>0</v>
      </c>
      <c r="AN36" s="22">
        <f t="shared" si="10"/>
        <v>0</v>
      </c>
      <c r="AO36" s="22">
        <f t="shared" si="10"/>
        <v>0</v>
      </c>
      <c r="AP36" s="22">
        <f t="shared" si="10"/>
        <v>0</v>
      </c>
      <c r="AQ36" s="22">
        <f t="shared" si="10"/>
        <v>0</v>
      </c>
      <c r="AR36" s="22">
        <f t="shared" si="10"/>
        <v>0</v>
      </c>
      <c r="AS36" s="22">
        <f t="shared" si="10"/>
        <v>0</v>
      </c>
      <c r="AT36" s="22">
        <f t="shared" si="10"/>
        <v>0</v>
      </c>
      <c r="AU36" s="22">
        <f t="shared" si="10"/>
        <v>0</v>
      </c>
      <c r="AV36" s="22">
        <f t="shared" si="10"/>
        <v>0</v>
      </c>
      <c r="AW36" s="22">
        <f t="shared" si="10"/>
        <v>0</v>
      </c>
      <c r="AX36" s="22">
        <f t="shared" si="10"/>
        <v>0</v>
      </c>
      <c r="AY36" s="22">
        <f t="shared" si="10"/>
        <v>0</v>
      </c>
      <c r="AZ36" s="22">
        <f t="shared" si="10"/>
        <v>0</v>
      </c>
      <c r="BA36" s="22">
        <f t="shared" si="10"/>
        <v>0</v>
      </c>
      <c r="BB36" s="22">
        <f t="shared" si="10"/>
        <v>0</v>
      </c>
      <c r="BC36" s="22">
        <f t="shared" si="10"/>
        <v>0</v>
      </c>
      <c r="BD36" s="22">
        <f t="shared" si="10"/>
        <v>0</v>
      </c>
      <c r="BE36" s="22">
        <f t="shared" si="10"/>
        <v>0</v>
      </c>
      <c r="BF36" s="22">
        <f t="shared" si="10"/>
        <v>0</v>
      </c>
      <c r="BG36" s="22">
        <f t="shared" si="10"/>
        <v>0</v>
      </c>
      <c r="BH36" s="22">
        <f t="shared" si="10"/>
        <v>0</v>
      </c>
    </row>
    <row r="37" spans="2:60" ht="23.25" customHeight="1" x14ac:dyDescent="0.2">
      <c r="B37" s="307"/>
      <c r="C37" s="99"/>
      <c r="D37" s="93" t="s">
        <v>119</v>
      </c>
      <c r="E37" s="101">
        <f t="shared" si="8"/>
        <v>0</v>
      </c>
      <c r="F37" s="22">
        <f>F20+F28-F36</f>
        <v>0</v>
      </c>
      <c r="G37" s="22">
        <f t="shared" ref="G37:AK37" si="11">G20+G28-G36</f>
        <v>0</v>
      </c>
      <c r="H37" s="22">
        <f t="shared" si="11"/>
        <v>0</v>
      </c>
      <c r="I37" s="22">
        <f t="shared" si="11"/>
        <v>0</v>
      </c>
      <c r="J37" s="22">
        <f t="shared" si="11"/>
        <v>0</v>
      </c>
      <c r="K37" s="22">
        <f t="shared" si="11"/>
        <v>0</v>
      </c>
      <c r="L37" s="22">
        <f t="shared" si="11"/>
        <v>0</v>
      </c>
      <c r="M37" s="22">
        <f t="shared" si="11"/>
        <v>0</v>
      </c>
      <c r="N37" s="22">
        <f t="shared" si="11"/>
        <v>0</v>
      </c>
      <c r="O37" s="22">
        <f t="shared" si="11"/>
        <v>0</v>
      </c>
      <c r="P37" s="22">
        <f t="shared" si="11"/>
        <v>0</v>
      </c>
      <c r="Q37" s="22">
        <f t="shared" si="11"/>
        <v>0</v>
      </c>
      <c r="R37" s="22">
        <f t="shared" si="11"/>
        <v>0</v>
      </c>
      <c r="S37" s="22">
        <f t="shared" si="11"/>
        <v>0</v>
      </c>
      <c r="T37" s="22">
        <f t="shared" si="11"/>
        <v>0</v>
      </c>
      <c r="U37" s="22">
        <f t="shared" si="11"/>
        <v>0</v>
      </c>
      <c r="V37" s="22">
        <f t="shared" si="11"/>
        <v>0</v>
      </c>
      <c r="W37" s="22">
        <f t="shared" si="11"/>
        <v>0</v>
      </c>
      <c r="X37" s="22">
        <f t="shared" si="11"/>
        <v>0</v>
      </c>
      <c r="Y37" s="22">
        <f t="shared" si="11"/>
        <v>0</v>
      </c>
      <c r="Z37" s="22">
        <f t="shared" si="11"/>
        <v>0</v>
      </c>
      <c r="AA37" s="22">
        <f t="shared" si="11"/>
        <v>0</v>
      </c>
      <c r="AB37" s="22">
        <f t="shared" si="11"/>
        <v>0</v>
      </c>
      <c r="AC37" s="22">
        <f t="shared" si="11"/>
        <v>0</v>
      </c>
      <c r="AD37" s="22">
        <f t="shared" si="11"/>
        <v>0</v>
      </c>
      <c r="AE37" s="22">
        <f t="shared" si="11"/>
        <v>0</v>
      </c>
      <c r="AF37" s="22">
        <f t="shared" si="11"/>
        <v>0</v>
      </c>
      <c r="AG37" s="22">
        <f t="shared" si="11"/>
        <v>0</v>
      </c>
      <c r="AH37" s="22">
        <f t="shared" si="11"/>
        <v>0</v>
      </c>
      <c r="AI37" s="22">
        <f t="shared" si="11"/>
        <v>0</v>
      </c>
      <c r="AJ37" s="22">
        <f t="shared" si="11"/>
        <v>0</v>
      </c>
      <c r="AK37" s="22">
        <f t="shared" si="11"/>
        <v>0</v>
      </c>
      <c r="AL37" s="22">
        <f t="shared" ref="AL37:BH37" si="12">AL20+AL28-AL36</f>
        <v>0</v>
      </c>
      <c r="AM37" s="22">
        <f t="shared" si="12"/>
        <v>0</v>
      </c>
      <c r="AN37" s="22">
        <f t="shared" si="12"/>
        <v>0</v>
      </c>
      <c r="AO37" s="22">
        <f t="shared" si="12"/>
        <v>0</v>
      </c>
      <c r="AP37" s="22">
        <f t="shared" si="12"/>
        <v>0</v>
      </c>
      <c r="AQ37" s="22">
        <f t="shared" si="12"/>
        <v>0</v>
      </c>
      <c r="AR37" s="22">
        <f t="shared" si="12"/>
        <v>0</v>
      </c>
      <c r="AS37" s="22">
        <f t="shared" si="12"/>
        <v>0</v>
      </c>
      <c r="AT37" s="22">
        <f t="shared" si="12"/>
        <v>0</v>
      </c>
      <c r="AU37" s="22">
        <f t="shared" si="12"/>
        <v>0</v>
      </c>
      <c r="AV37" s="22">
        <f t="shared" si="12"/>
        <v>0</v>
      </c>
      <c r="AW37" s="22">
        <f t="shared" si="12"/>
        <v>0</v>
      </c>
      <c r="AX37" s="22">
        <f t="shared" si="12"/>
        <v>0</v>
      </c>
      <c r="AY37" s="22">
        <f t="shared" si="12"/>
        <v>0</v>
      </c>
      <c r="AZ37" s="22">
        <f t="shared" si="12"/>
        <v>0</v>
      </c>
      <c r="BA37" s="22">
        <f t="shared" si="12"/>
        <v>0</v>
      </c>
      <c r="BB37" s="22">
        <f t="shared" si="12"/>
        <v>0</v>
      </c>
      <c r="BC37" s="22">
        <f t="shared" si="12"/>
        <v>0</v>
      </c>
      <c r="BD37" s="22">
        <f t="shared" si="12"/>
        <v>0</v>
      </c>
      <c r="BE37" s="22">
        <f t="shared" si="12"/>
        <v>0</v>
      </c>
      <c r="BF37" s="22">
        <f t="shared" si="12"/>
        <v>0</v>
      </c>
      <c r="BG37" s="22">
        <f t="shared" si="12"/>
        <v>0</v>
      </c>
      <c r="BH37" s="22">
        <f t="shared" si="12"/>
        <v>0</v>
      </c>
    </row>
    <row r="38" spans="2:60" x14ac:dyDescent="0.2">
      <c r="B38" s="307"/>
      <c r="C38" s="99" t="s">
        <v>242</v>
      </c>
      <c r="D38" s="71" t="s">
        <v>226</v>
      </c>
      <c r="E38" s="21"/>
      <c r="F38" s="21"/>
      <c r="G38" s="21">
        <f>F29+F38-F36</f>
        <v>0</v>
      </c>
      <c r="H38" s="21">
        <f t="shared" ref="H38:AL38" si="13">G29+G38-G36</f>
        <v>0</v>
      </c>
      <c r="I38" s="21">
        <f t="shared" si="13"/>
        <v>0</v>
      </c>
      <c r="J38" s="21">
        <f t="shared" si="13"/>
        <v>0</v>
      </c>
      <c r="K38" s="21">
        <f t="shared" si="13"/>
        <v>0</v>
      </c>
      <c r="L38" s="21">
        <f t="shared" si="13"/>
        <v>0</v>
      </c>
      <c r="M38" s="21">
        <f t="shared" si="13"/>
        <v>0</v>
      </c>
      <c r="N38" s="21">
        <f t="shared" si="13"/>
        <v>0</v>
      </c>
      <c r="O38" s="21">
        <f t="shared" si="13"/>
        <v>0</v>
      </c>
      <c r="P38" s="21">
        <f t="shared" si="13"/>
        <v>0</v>
      </c>
      <c r="Q38" s="21">
        <f t="shared" si="13"/>
        <v>0</v>
      </c>
      <c r="R38" s="21">
        <f t="shared" si="13"/>
        <v>0</v>
      </c>
      <c r="S38" s="21">
        <f t="shared" si="13"/>
        <v>0</v>
      </c>
      <c r="T38" s="21">
        <f t="shared" si="13"/>
        <v>0</v>
      </c>
      <c r="U38" s="21">
        <f t="shared" si="13"/>
        <v>0</v>
      </c>
      <c r="V38" s="21">
        <f t="shared" si="13"/>
        <v>0</v>
      </c>
      <c r="W38" s="21">
        <f t="shared" si="13"/>
        <v>0</v>
      </c>
      <c r="X38" s="21">
        <f t="shared" si="13"/>
        <v>0</v>
      </c>
      <c r="Y38" s="21">
        <f t="shared" si="13"/>
        <v>0</v>
      </c>
      <c r="Z38" s="21">
        <f t="shared" si="13"/>
        <v>0</v>
      </c>
      <c r="AA38" s="21">
        <f t="shared" si="13"/>
        <v>0</v>
      </c>
      <c r="AB38" s="21">
        <f t="shared" si="13"/>
        <v>0</v>
      </c>
      <c r="AC38" s="21">
        <f t="shared" si="13"/>
        <v>0</v>
      </c>
      <c r="AD38" s="21">
        <f t="shared" si="13"/>
        <v>0</v>
      </c>
      <c r="AE38" s="21">
        <f t="shared" si="13"/>
        <v>0</v>
      </c>
      <c r="AF38" s="21">
        <f t="shared" si="13"/>
        <v>0</v>
      </c>
      <c r="AG38" s="21">
        <f t="shared" si="13"/>
        <v>0</v>
      </c>
      <c r="AH38" s="21">
        <f t="shared" si="13"/>
        <v>0</v>
      </c>
      <c r="AI38" s="21">
        <f t="shared" si="13"/>
        <v>0</v>
      </c>
      <c r="AJ38" s="21">
        <f t="shared" si="13"/>
        <v>0</v>
      </c>
      <c r="AK38" s="21">
        <f t="shared" si="13"/>
        <v>0</v>
      </c>
      <c r="AL38" s="21">
        <f t="shared" si="13"/>
        <v>0</v>
      </c>
      <c r="AM38" s="21">
        <f t="shared" ref="AM38:BG38" si="14">AL29+AL38-AL36</f>
        <v>0</v>
      </c>
      <c r="AN38" s="21">
        <f t="shared" si="14"/>
        <v>0</v>
      </c>
      <c r="AO38" s="21">
        <f t="shared" si="14"/>
        <v>0</v>
      </c>
      <c r="AP38" s="21">
        <f t="shared" si="14"/>
        <v>0</v>
      </c>
      <c r="AQ38" s="21">
        <f t="shared" si="14"/>
        <v>0</v>
      </c>
      <c r="AR38" s="21">
        <f t="shared" si="14"/>
        <v>0</v>
      </c>
      <c r="AS38" s="21">
        <f t="shared" si="14"/>
        <v>0</v>
      </c>
      <c r="AT38" s="21">
        <f t="shared" si="14"/>
        <v>0</v>
      </c>
      <c r="AU38" s="21">
        <f t="shared" si="14"/>
        <v>0</v>
      </c>
      <c r="AV38" s="21">
        <f t="shared" si="14"/>
        <v>0</v>
      </c>
      <c r="AW38" s="21">
        <f t="shared" si="14"/>
        <v>0</v>
      </c>
      <c r="AX38" s="21">
        <f t="shared" si="14"/>
        <v>0</v>
      </c>
      <c r="AY38" s="21">
        <f t="shared" si="14"/>
        <v>0</v>
      </c>
      <c r="AZ38" s="21">
        <f t="shared" si="14"/>
        <v>0</v>
      </c>
      <c r="BA38" s="21">
        <f t="shared" si="14"/>
        <v>0</v>
      </c>
      <c r="BB38" s="21">
        <f t="shared" si="14"/>
        <v>0</v>
      </c>
      <c r="BC38" s="21">
        <f t="shared" si="14"/>
        <v>0</v>
      </c>
      <c r="BD38" s="21">
        <f t="shared" si="14"/>
        <v>0</v>
      </c>
      <c r="BE38" s="21">
        <f t="shared" si="14"/>
        <v>0</v>
      </c>
      <c r="BF38" s="21">
        <f t="shared" si="14"/>
        <v>0</v>
      </c>
      <c r="BG38" s="21">
        <f t="shared" si="14"/>
        <v>0</v>
      </c>
      <c r="BH38" s="21">
        <f>BG29+BG38-BG36</f>
        <v>0</v>
      </c>
    </row>
    <row r="39" spans="2:60" x14ac:dyDescent="0.2">
      <c r="B39" s="307"/>
      <c r="C39" s="99" t="s">
        <v>242</v>
      </c>
      <c r="D39" s="71" t="s">
        <v>243</v>
      </c>
      <c r="E39" s="21"/>
      <c r="F39" s="291"/>
      <c r="G39" s="291"/>
      <c r="H39" s="291"/>
      <c r="I39" s="291"/>
      <c r="J39" s="291"/>
      <c r="K39" s="291"/>
      <c r="L39" s="291"/>
      <c r="M39" s="291"/>
      <c r="N39" s="291"/>
      <c r="O39" s="291"/>
      <c r="P39" s="291"/>
      <c r="Q39" s="291"/>
      <c r="R39" s="291"/>
      <c r="S39" s="291"/>
      <c r="T39" s="291"/>
      <c r="U39" s="291"/>
      <c r="V39" s="291"/>
      <c r="W39" s="291"/>
      <c r="X39" s="291"/>
      <c r="Y39" s="291"/>
      <c r="Z39" s="291"/>
      <c r="AA39" s="291"/>
      <c r="AB39" s="291"/>
      <c r="AC39" s="291"/>
      <c r="AD39" s="291"/>
      <c r="AE39" s="291"/>
      <c r="AF39" s="291"/>
      <c r="AG39" s="291"/>
      <c r="AH39" s="291"/>
      <c r="AI39" s="291"/>
      <c r="AJ39" s="291"/>
      <c r="AK39" s="291"/>
      <c r="AL39" s="291"/>
      <c r="AM39" s="291"/>
      <c r="AN39" s="291"/>
      <c r="AO39" s="291"/>
      <c r="AP39" s="291"/>
      <c r="AQ39" s="291"/>
      <c r="AR39" s="291"/>
      <c r="AS39" s="291"/>
      <c r="AT39" s="291"/>
      <c r="AU39" s="291"/>
      <c r="AV39" s="291"/>
      <c r="AW39" s="291"/>
      <c r="AX39" s="291"/>
      <c r="AY39" s="291"/>
      <c r="AZ39" s="291"/>
      <c r="BA39" s="291"/>
      <c r="BB39" s="291"/>
      <c r="BC39" s="291"/>
      <c r="BD39" s="291"/>
      <c r="BE39" s="291"/>
      <c r="BF39" s="291"/>
      <c r="BG39" s="291"/>
      <c r="BH39" s="291"/>
    </row>
    <row r="40" spans="2:60" ht="29.25" customHeight="1" x14ac:dyDescent="0.2">
      <c r="D40" s="224"/>
    </row>
    <row r="41" spans="2:60" ht="15.75" x14ac:dyDescent="0.25">
      <c r="B41" s="225" t="s">
        <v>129</v>
      </c>
      <c r="C41" s="4"/>
    </row>
    <row r="42" spans="2:60" x14ac:dyDescent="0.2">
      <c r="B42" s="226"/>
      <c r="C42" s="227"/>
    </row>
    <row r="43" spans="2:60" x14ac:dyDescent="0.2">
      <c r="B43" s="33" t="s">
        <v>85</v>
      </c>
      <c r="C43" s="228">
        <f>IF( '1. Pipeline information'!C14=0, "0/01/1960", '1. Pipeline information'!C14)</f>
        <v>28112</v>
      </c>
    </row>
    <row r="48" spans="2:60" x14ac:dyDescent="0.2">
      <c r="C48" s="229"/>
    </row>
    <row r="49" spans="3:3" x14ac:dyDescent="0.2">
      <c r="C49" s="229"/>
    </row>
    <row r="50" spans="3:3" x14ac:dyDescent="0.2">
      <c r="C50" s="15"/>
    </row>
  </sheetData>
  <sheetProtection insertColumns="0" deleteColumns="0"/>
  <mergeCells count="3">
    <mergeCell ref="F11:BH11"/>
    <mergeCell ref="C11:D11"/>
    <mergeCell ref="B6:D7"/>
  </mergeCells>
  <conditionalFormatting sqref="F35">
    <cfRule type="cellIs" dxfId="57" priority="55" stopIfTrue="1" operator="greaterThan">
      <formula>F$31</formula>
    </cfRule>
  </conditionalFormatting>
  <conditionalFormatting sqref="G35">
    <cfRule type="cellIs" dxfId="56" priority="54" stopIfTrue="1" operator="greaterThan">
      <formula>$G$31</formula>
    </cfRule>
  </conditionalFormatting>
  <conditionalFormatting sqref="H35">
    <cfRule type="cellIs" dxfId="55" priority="53" stopIfTrue="1" operator="greaterThan">
      <formula>$H$31</formula>
    </cfRule>
  </conditionalFormatting>
  <conditionalFormatting sqref="I35">
    <cfRule type="cellIs" dxfId="54" priority="52" stopIfTrue="1" operator="greaterThan">
      <formula>$I$31</formula>
    </cfRule>
  </conditionalFormatting>
  <conditionalFormatting sqref="J35">
    <cfRule type="cellIs" dxfId="53" priority="51" stopIfTrue="1" operator="greaterThan">
      <formula>$J$31</formula>
    </cfRule>
  </conditionalFormatting>
  <conditionalFormatting sqref="K35">
    <cfRule type="cellIs" dxfId="52" priority="50" stopIfTrue="1" operator="greaterThan">
      <formula>$K$31</formula>
    </cfRule>
  </conditionalFormatting>
  <conditionalFormatting sqref="L35">
    <cfRule type="cellIs" dxfId="51" priority="49" stopIfTrue="1" operator="greaterThan">
      <formula>$L$31</formula>
    </cfRule>
  </conditionalFormatting>
  <conditionalFormatting sqref="M35">
    <cfRule type="cellIs" dxfId="50" priority="48" stopIfTrue="1" operator="greaterThan">
      <formula>$M$31</formula>
    </cfRule>
  </conditionalFormatting>
  <conditionalFormatting sqref="N35">
    <cfRule type="cellIs" dxfId="49" priority="47" stopIfTrue="1" operator="greaterThan">
      <formula>$N$31</formula>
    </cfRule>
  </conditionalFormatting>
  <conditionalFormatting sqref="O35">
    <cfRule type="cellIs" dxfId="48" priority="46" stopIfTrue="1" operator="greaterThan">
      <formula>$O$31</formula>
    </cfRule>
  </conditionalFormatting>
  <conditionalFormatting sqref="P35">
    <cfRule type="cellIs" dxfId="47" priority="45" stopIfTrue="1" operator="greaterThan">
      <formula>$P$31</formula>
    </cfRule>
  </conditionalFormatting>
  <conditionalFormatting sqref="Q35">
    <cfRule type="cellIs" dxfId="46" priority="44" stopIfTrue="1" operator="greaterThan">
      <formula>$Q$31</formula>
    </cfRule>
  </conditionalFormatting>
  <conditionalFormatting sqref="R35">
    <cfRule type="cellIs" dxfId="45" priority="43" stopIfTrue="1" operator="greaterThan">
      <formula>$R$31</formula>
    </cfRule>
  </conditionalFormatting>
  <conditionalFormatting sqref="S35">
    <cfRule type="cellIs" dxfId="44" priority="42" stopIfTrue="1" operator="greaterThan">
      <formula>$S$31</formula>
    </cfRule>
  </conditionalFormatting>
  <conditionalFormatting sqref="T35">
    <cfRule type="cellIs" dxfId="43" priority="41" stopIfTrue="1" operator="greaterThan">
      <formula>$T$31</formula>
    </cfRule>
  </conditionalFormatting>
  <conditionalFormatting sqref="U35">
    <cfRule type="cellIs" dxfId="42" priority="40" stopIfTrue="1" operator="greaterThan">
      <formula>$U$31</formula>
    </cfRule>
  </conditionalFormatting>
  <conditionalFormatting sqref="V35">
    <cfRule type="cellIs" dxfId="41" priority="39" stopIfTrue="1" operator="greaterThan">
      <formula>$V$31</formula>
    </cfRule>
  </conditionalFormatting>
  <conditionalFormatting sqref="W35">
    <cfRule type="cellIs" dxfId="40" priority="38" stopIfTrue="1" operator="greaterThan">
      <formula>$W$31</formula>
    </cfRule>
  </conditionalFormatting>
  <conditionalFormatting sqref="X35">
    <cfRule type="cellIs" dxfId="39" priority="37" stopIfTrue="1" operator="greaterThan">
      <formula>$X$31</formula>
    </cfRule>
  </conditionalFormatting>
  <conditionalFormatting sqref="Y35">
    <cfRule type="cellIs" dxfId="38" priority="36" stopIfTrue="1" operator="greaterThan">
      <formula>$Y$31</formula>
    </cfRule>
  </conditionalFormatting>
  <conditionalFormatting sqref="Z35">
    <cfRule type="cellIs" dxfId="37" priority="35" stopIfTrue="1" operator="greaterThan">
      <formula>$Z$31</formula>
    </cfRule>
  </conditionalFormatting>
  <conditionalFormatting sqref="AA35">
    <cfRule type="cellIs" dxfId="36" priority="34" stopIfTrue="1" operator="greaterThan">
      <formula>$AA$31</formula>
    </cfRule>
  </conditionalFormatting>
  <conditionalFormatting sqref="AB35">
    <cfRule type="cellIs" dxfId="35" priority="33" stopIfTrue="1" operator="greaterThan">
      <formula>$AB$31</formula>
    </cfRule>
  </conditionalFormatting>
  <conditionalFormatting sqref="AC35">
    <cfRule type="cellIs" dxfId="34" priority="32" stopIfTrue="1" operator="greaterThan">
      <formula>$AC$31</formula>
    </cfRule>
  </conditionalFormatting>
  <conditionalFormatting sqref="AD35">
    <cfRule type="cellIs" dxfId="33" priority="31" stopIfTrue="1" operator="greaterThan">
      <formula>$AD$31</formula>
    </cfRule>
  </conditionalFormatting>
  <conditionalFormatting sqref="AE35">
    <cfRule type="cellIs" dxfId="32" priority="30" stopIfTrue="1" operator="greaterThan">
      <formula>$AE$31</formula>
    </cfRule>
  </conditionalFormatting>
  <conditionalFormatting sqref="AF35">
    <cfRule type="cellIs" dxfId="31" priority="29" stopIfTrue="1" operator="greaterThan">
      <formula>$AF$31</formula>
    </cfRule>
  </conditionalFormatting>
  <conditionalFormatting sqref="AG35">
    <cfRule type="cellIs" dxfId="30" priority="28" stopIfTrue="1" operator="greaterThan">
      <formula>$AG$31</formula>
    </cfRule>
  </conditionalFormatting>
  <conditionalFormatting sqref="AH35">
    <cfRule type="cellIs" dxfId="29" priority="27" stopIfTrue="1" operator="greaterThan">
      <formula>$AH$31</formula>
    </cfRule>
  </conditionalFormatting>
  <conditionalFormatting sqref="AI35">
    <cfRule type="cellIs" dxfId="28" priority="26" stopIfTrue="1" operator="greaterThan">
      <formula>$AI$31</formula>
    </cfRule>
  </conditionalFormatting>
  <conditionalFormatting sqref="AJ35">
    <cfRule type="cellIs" dxfId="27" priority="25" stopIfTrue="1" operator="greaterThan">
      <formula>$AJ$31</formula>
    </cfRule>
  </conditionalFormatting>
  <conditionalFormatting sqref="AK35">
    <cfRule type="cellIs" dxfId="26" priority="24" stopIfTrue="1" operator="greaterThan">
      <formula>$AK$31</formula>
    </cfRule>
  </conditionalFormatting>
  <conditionalFormatting sqref="AL35">
    <cfRule type="cellIs" dxfId="25" priority="23" stopIfTrue="1" operator="greaterThan">
      <formula>$AL$31</formula>
    </cfRule>
  </conditionalFormatting>
  <conditionalFormatting sqref="AM35">
    <cfRule type="cellIs" dxfId="24" priority="22" stopIfTrue="1" operator="greaterThan">
      <formula>$AM$31</formula>
    </cfRule>
  </conditionalFormatting>
  <conditionalFormatting sqref="AN35">
    <cfRule type="cellIs" dxfId="23" priority="21" stopIfTrue="1" operator="greaterThan">
      <formula>$AN$31</formula>
    </cfRule>
  </conditionalFormatting>
  <conditionalFormatting sqref="AO35">
    <cfRule type="cellIs" dxfId="22" priority="20" stopIfTrue="1" operator="greaterThan">
      <formula>$AO$31</formula>
    </cfRule>
  </conditionalFormatting>
  <conditionalFormatting sqref="AP35">
    <cfRule type="cellIs" dxfId="21" priority="19" stopIfTrue="1" operator="greaterThan">
      <formula>$AP$31</formula>
    </cfRule>
  </conditionalFormatting>
  <conditionalFormatting sqref="AQ35">
    <cfRule type="cellIs" dxfId="20" priority="18" stopIfTrue="1" operator="greaterThan">
      <formula>$AQ$31</formula>
    </cfRule>
  </conditionalFormatting>
  <conditionalFormatting sqref="AR35">
    <cfRule type="cellIs" dxfId="19" priority="17" stopIfTrue="1" operator="greaterThan">
      <formula>$AR$31</formula>
    </cfRule>
  </conditionalFormatting>
  <conditionalFormatting sqref="AS35">
    <cfRule type="cellIs" dxfId="18" priority="16" stopIfTrue="1" operator="greaterThan">
      <formula>$AS$31</formula>
    </cfRule>
  </conditionalFormatting>
  <conditionalFormatting sqref="AT35">
    <cfRule type="cellIs" dxfId="17" priority="15" stopIfTrue="1" operator="greaterThan">
      <formula>$AT$31</formula>
    </cfRule>
  </conditionalFormatting>
  <conditionalFormatting sqref="AU35">
    <cfRule type="cellIs" dxfId="16" priority="14" stopIfTrue="1" operator="greaterThan">
      <formula>$AU$31</formula>
    </cfRule>
  </conditionalFormatting>
  <conditionalFormatting sqref="AV35">
    <cfRule type="cellIs" dxfId="15" priority="13" stopIfTrue="1" operator="greaterThan">
      <formula>$AV$31</formula>
    </cfRule>
  </conditionalFormatting>
  <conditionalFormatting sqref="AW35">
    <cfRule type="cellIs" dxfId="14" priority="12" stopIfTrue="1" operator="greaterThan">
      <formula>$AW$31</formula>
    </cfRule>
  </conditionalFormatting>
  <conditionalFormatting sqref="AX35">
    <cfRule type="cellIs" dxfId="13" priority="11" stopIfTrue="1" operator="greaterThan">
      <formula>$AX$31</formula>
    </cfRule>
  </conditionalFormatting>
  <conditionalFormatting sqref="AY35">
    <cfRule type="cellIs" dxfId="12" priority="10" stopIfTrue="1" operator="greaterThan">
      <formula>$AY$31</formula>
    </cfRule>
  </conditionalFormatting>
  <conditionalFormatting sqref="AZ35">
    <cfRule type="cellIs" dxfId="11" priority="9" stopIfTrue="1" operator="greaterThan">
      <formula>$AZ$31</formula>
    </cfRule>
  </conditionalFormatting>
  <conditionalFormatting sqref="BA35">
    <cfRule type="cellIs" dxfId="10" priority="8" stopIfTrue="1" operator="greaterThan">
      <formula>$BA$31</formula>
    </cfRule>
  </conditionalFormatting>
  <conditionalFormatting sqref="BB35">
    <cfRule type="cellIs" dxfId="9" priority="7" stopIfTrue="1" operator="greaterThan">
      <formula>$BB$31</formula>
    </cfRule>
  </conditionalFormatting>
  <conditionalFormatting sqref="BC35">
    <cfRule type="cellIs" dxfId="8" priority="6" stopIfTrue="1" operator="greaterThan">
      <formula>$BC$31</formula>
    </cfRule>
  </conditionalFormatting>
  <conditionalFormatting sqref="BD35">
    <cfRule type="cellIs" dxfId="7" priority="5" stopIfTrue="1" operator="greaterThan">
      <formula>$BD$31</formula>
    </cfRule>
  </conditionalFormatting>
  <conditionalFormatting sqref="BE35">
    <cfRule type="cellIs" dxfId="6" priority="4" stopIfTrue="1" operator="greaterThan">
      <formula>$BE$31</formula>
    </cfRule>
  </conditionalFormatting>
  <conditionalFormatting sqref="BF35">
    <cfRule type="cellIs" dxfId="5" priority="3" stopIfTrue="1" operator="greaterThan">
      <formula>$BF$31</formula>
    </cfRule>
  </conditionalFormatting>
  <conditionalFormatting sqref="BG35">
    <cfRule type="cellIs" dxfId="4" priority="2" stopIfTrue="1" operator="greaterThan">
      <formula>$BG$31</formula>
    </cfRule>
  </conditionalFormatting>
  <conditionalFormatting sqref="BH35">
    <cfRule type="cellIs" dxfId="3" priority="1" stopIfTrue="1" operator="greaterThan">
      <formula>$BH$31</formula>
    </cfRule>
  </conditionalFormatting>
  <dataValidations count="1">
    <dataValidation operator="lessThan" allowBlank="1" showInputMessage="1" showErrorMessage="1" errorTitle="Error" error="Return on capital should be less than Revenue." sqref="AK35" xr:uid="{D1A548A1-EDA7-472C-A82C-667312B6CAAD}"/>
  </dataValidations>
  <pageMargins left="0.75" right="0.75" top="1" bottom="1" header="0.5" footer="0.5"/>
  <pageSetup paperSize="9" scale="30" orientation="landscape" r:id="rId1"/>
  <headerFooter alignWithMargins="0">
    <oddFooter>&amp;C_x000D_&amp;1#&amp;"Aptos"&amp;10&amp;K008000 APA-INTERNAL</oddFooter>
  </headerFooter>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95947-FD18-47F5-AA8C-A16D3E5F9AA6}">
  <sheetPr codeName="Sheet17">
    <tabColor rgb="FF17415D"/>
  </sheetPr>
  <dimension ref="B1:G98"/>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28515625" defaultRowHeight="12.75" x14ac:dyDescent="0.2"/>
  <cols>
    <col min="1" max="1" width="12.28515625" style="216" customWidth="1"/>
    <col min="2" max="2" width="21" style="216" customWidth="1"/>
    <col min="3" max="3" width="64.7109375" style="216" customWidth="1"/>
    <col min="4" max="5" width="42.28515625" style="216" customWidth="1"/>
    <col min="6" max="6" width="34.7109375" style="216" customWidth="1"/>
    <col min="7" max="7" width="44" style="216" customWidth="1"/>
    <col min="8" max="16384" width="9.28515625" style="216"/>
  </cols>
  <sheetData>
    <row r="1" spans="2:5" ht="20.25" x14ac:dyDescent="0.3">
      <c r="B1" s="146" t="s">
        <v>510</v>
      </c>
      <c r="C1" s="146"/>
      <c r="D1" s="215"/>
      <c r="E1" s="215"/>
    </row>
    <row r="2" spans="2:5" ht="20.25" x14ac:dyDescent="0.3">
      <c r="B2" s="146" t="str">
        <f>IF(Tradingname=0," ",Tradingname)</f>
        <v>EAST AUSTRALIAN PIPELINE PTY LIMITED</v>
      </c>
      <c r="C2" s="146"/>
      <c r="D2" s="217"/>
    </row>
    <row r="3" spans="2:5" ht="20.25" x14ac:dyDescent="0.3">
      <c r="B3" s="146" t="s">
        <v>110</v>
      </c>
      <c r="C3" s="110">
        <f>IF(Yearending=0, "01/01/2000", Yearending)</f>
        <v>45838</v>
      </c>
    </row>
    <row r="4" spans="2:5" ht="20.25" x14ac:dyDescent="0.2">
      <c r="B4" s="102" t="s">
        <v>513</v>
      </c>
      <c r="C4" s="102"/>
    </row>
    <row r="6" spans="2:5" x14ac:dyDescent="0.2">
      <c r="B6" s="474" t="s">
        <v>561</v>
      </c>
      <c r="C6" s="474"/>
      <c r="D6" s="474"/>
      <c r="E6" s="474"/>
    </row>
    <row r="7" spans="2:5" x14ac:dyDescent="0.2">
      <c r="B7" s="474"/>
      <c r="C7" s="474"/>
      <c r="D7" s="474"/>
      <c r="E7" s="474"/>
    </row>
    <row r="8" spans="2:5" x14ac:dyDescent="0.2">
      <c r="B8" s="474"/>
      <c r="C8" s="474"/>
      <c r="D8" s="474"/>
      <c r="E8" s="474"/>
    </row>
    <row r="9" spans="2:5" x14ac:dyDescent="0.2">
      <c r="B9" s="474"/>
      <c r="C9" s="474"/>
      <c r="D9" s="474"/>
      <c r="E9" s="474"/>
    </row>
    <row r="12" spans="2:5" ht="15.75" x14ac:dyDescent="0.25">
      <c r="B12" s="218" t="s">
        <v>559</v>
      </c>
      <c r="C12" s="219"/>
      <c r="D12" s="219"/>
      <c r="E12" s="219"/>
    </row>
    <row r="13" spans="2:5" ht="15.75" x14ac:dyDescent="0.25">
      <c r="B13" s="218"/>
      <c r="C13" s="219"/>
      <c r="D13" s="219"/>
      <c r="E13" s="219"/>
    </row>
    <row r="14" spans="2:5" ht="25.5" x14ac:dyDescent="0.2">
      <c r="B14" s="48" t="s">
        <v>515</v>
      </c>
      <c r="C14" s="48" t="s">
        <v>108</v>
      </c>
      <c r="D14" s="48" t="s">
        <v>109</v>
      </c>
      <c r="E14" s="48" t="s">
        <v>124</v>
      </c>
    </row>
    <row r="15" spans="2:5" ht="25.5" x14ac:dyDescent="0.2">
      <c r="B15" s="391" t="s">
        <v>960</v>
      </c>
      <c r="C15" s="295" t="s">
        <v>947</v>
      </c>
      <c r="D15" s="330" t="s">
        <v>935</v>
      </c>
      <c r="E15" s="82">
        <v>106070856.43000004</v>
      </c>
    </row>
    <row r="16" spans="2:5" x14ac:dyDescent="0.2">
      <c r="B16" s="391" t="s">
        <v>960</v>
      </c>
      <c r="C16" s="295" t="s">
        <v>948</v>
      </c>
      <c r="D16" s="91" t="s">
        <v>937</v>
      </c>
      <c r="E16" s="82">
        <v>51903208.639999993</v>
      </c>
    </row>
    <row r="17" spans="2:5" x14ac:dyDescent="0.2">
      <c r="B17" s="391" t="s">
        <v>960</v>
      </c>
      <c r="C17" s="295" t="s">
        <v>949</v>
      </c>
      <c r="D17" s="330" t="s">
        <v>938</v>
      </c>
      <c r="E17" s="82">
        <v>45361146.409999996</v>
      </c>
    </row>
    <row r="18" spans="2:5" ht="25.5" x14ac:dyDescent="0.2">
      <c r="B18" s="391" t="s">
        <v>960</v>
      </c>
      <c r="C18" s="295" t="s">
        <v>950</v>
      </c>
      <c r="D18" s="330" t="s">
        <v>940</v>
      </c>
      <c r="E18" s="82">
        <v>92855932.769999996</v>
      </c>
    </row>
    <row r="19" spans="2:5" ht="25.5" x14ac:dyDescent="0.2">
      <c r="B19" s="391" t="s">
        <v>960</v>
      </c>
      <c r="C19" s="295" t="s">
        <v>943</v>
      </c>
      <c r="D19" s="91" t="s">
        <v>911</v>
      </c>
      <c r="E19" s="82">
        <v>52673475.679999977</v>
      </c>
    </row>
    <row r="20" spans="2:5" ht="25.5" x14ac:dyDescent="0.2">
      <c r="B20" s="391" t="s">
        <v>960</v>
      </c>
      <c r="C20" s="295" t="s">
        <v>951</v>
      </c>
      <c r="D20" s="91" t="s">
        <v>912</v>
      </c>
      <c r="E20" s="82">
        <v>72272353.180000007</v>
      </c>
    </row>
    <row r="21" spans="2:5" ht="25.5" x14ac:dyDescent="0.2">
      <c r="B21" s="391" t="s">
        <v>960</v>
      </c>
      <c r="C21" s="295" t="s">
        <v>944</v>
      </c>
      <c r="D21" s="91" t="s">
        <v>913</v>
      </c>
      <c r="E21" s="82">
        <v>142286325.08999997</v>
      </c>
    </row>
    <row r="22" spans="2:5" ht="38.25" x14ac:dyDescent="0.2">
      <c r="B22" s="391" t="s">
        <v>960</v>
      </c>
      <c r="C22" s="295" t="s">
        <v>945</v>
      </c>
      <c r="D22" s="91" t="s">
        <v>802</v>
      </c>
      <c r="E22" s="82">
        <v>135062792.23999998</v>
      </c>
    </row>
    <row r="23" spans="2:5" x14ac:dyDescent="0.2">
      <c r="B23" s="299"/>
      <c r="C23" s="295"/>
      <c r="D23" s="91"/>
      <c r="E23" s="82"/>
    </row>
    <row r="24" spans="2:5" x14ac:dyDescent="0.2">
      <c r="B24" s="299"/>
      <c r="C24" s="295"/>
      <c r="D24" s="91"/>
      <c r="E24" s="82"/>
    </row>
    <row r="25" spans="2:5" x14ac:dyDescent="0.2">
      <c r="B25" s="299"/>
      <c r="C25" s="295"/>
      <c r="D25" s="91"/>
      <c r="E25" s="82"/>
    </row>
    <row r="26" spans="2:5" x14ac:dyDescent="0.2">
      <c r="B26" s="299"/>
      <c r="C26" s="295"/>
      <c r="D26" s="91"/>
      <c r="E26" s="82"/>
    </row>
    <row r="27" spans="2:5" x14ac:dyDescent="0.2">
      <c r="B27" s="299"/>
      <c r="C27" s="295"/>
      <c r="D27" s="91"/>
      <c r="E27" s="82"/>
    </row>
    <row r="28" spans="2:5" x14ac:dyDescent="0.2">
      <c r="B28" s="299"/>
      <c r="C28" s="295"/>
      <c r="D28" s="91"/>
      <c r="E28" s="82"/>
    </row>
    <row r="29" spans="2:5" x14ac:dyDescent="0.2">
      <c r="B29" s="299"/>
      <c r="C29" s="295"/>
      <c r="D29" s="91"/>
      <c r="E29" s="82"/>
    </row>
    <row r="30" spans="2:5" x14ac:dyDescent="0.2">
      <c r="B30" s="299"/>
      <c r="C30" s="295"/>
      <c r="D30" s="91"/>
      <c r="E30" s="82"/>
    </row>
    <row r="31" spans="2:5" x14ac:dyDescent="0.2">
      <c r="B31" s="299"/>
      <c r="C31" s="295"/>
      <c r="D31" s="91"/>
      <c r="E31" s="82"/>
    </row>
    <row r="32" spans="2:5" x14ac:dyDescent="0.2">
      <c r="B32" s="299"/>
      <c r="C32" s="295"/>
      <c r="D32" s="91"/>
      <c r="E32" s="82"/>
    </row>
    <row r="33" spans="2:5" x14ac:dyDescent="0.2">
      <c r="B33" s="299"/>
      <c r="C33" s="295"/>
      <c r="D33" s="91"/>
      <c r="E33" s="82"/>
    </row>
    <row r="34" spans="2:5" x14ac:dyDescent="0.2">
      <c r="B34" s="299"/>
      <c r="C34" s="295"/>
      <c r="D34" s="91"/>
      <c r="E34" s="82"/>
    </row>
    <row r="35" spans="2:5" x14ac:dyDescent="0.2">
      <c r="B35" s="299"/>
      <c r="C35" s="295"/>
      <c r="D35" s="91"/>
      <c r="E35" s="82"/>
    </row>
    <row r="36" spans="2:5" x14ac:dyDescent="0.2">
      <c r="B36" s="299"/>
      <c r="C36" s="295"/>
      <c r="D36" s="91"/>
      <c r="E36" s="82"/>
    </row>
    <row r="37" spans="2:5" x14ac:dyDescent="0.2">
      <c r="B37" s="299"/>
      <c r="C37" s="295"/>
      <c r="D37" s="91"/>
      <c r="E37" s="82"/>
    </row>
    <row r="38" spans="2:5" x14ac:dyDescent="0.2">
      <c r="B38" s="299"/>
      <c r="C38" s="295"/>
      <c r="D38" s="91"/>
      <c r="E38" s="82"/>
    </row>
    <row r="39" spans="2:5" x14ac:dyDescent="0.2">
      <c r="B39" s="299"/>
      <c r="C39" s="295"/>
      <c r="D39" s="91"/>
      <c r="E39" s="82"/>
    </row>
    <row r="40" spans="2:5" x14ac:dyDescent="0.2">
      <c r="B40" s="299"/>
      <c r="C40" s="295"/>
      <c r="D40" s="91"/>
      <c r="E40" s="82"/>
    </row>
    <row r="41" spans="2:5" x14ac:dyDescent="0.2">
      <c r="B41" s="489" t="s">
        <v>424</v>
      </c>
      <c r="C41" s="490"/>
      <c r="D41" s="491"/>
      <c r="E41" s="220">
        <f>SUM(E15:E40)</f>
        <v>698486090.43999994</v>
      </c>
    </row>
    <row r="44" spans="2:5" ht="15.75" x14ac:dyDescent="0.25">
      <c r="B44" s="218" t="s">
        <v>560</v>
      </c>
      <c r="C44" s="219"/>
      <c r="D44" s="219"/>
      <c r="E44" s="219"/>
    </row>
    <row r="45" spans="2:5" ht="15.75" x14ac:dyDescent="0.25">
      <c r="B45" s="218"/>
      <c r="C45" s="219"/>
      <c r="D45" s="219"/>
      <c r="E45" s="219"/>
    </row>
    <row r="46" spans="2:5" ht="25.5" x14ac:dyDescent="0.2">
      <c r="B46" s="48" t="s">
        <v>515</v>
      </c>
      <c r="C46" s="48" t="s">
        <v>108</v>
      </c>
      <c r="D46" s="48" t="s">
        <v>109</v>
      </c>
      <c r="E46" s="48" t="s">
        <v>124</v>
      </c>
    </row>
    <row r="47" spans="2:5" x14ac:dyDescent="0.2">
      <c r="B47" s="391" t="s">
        <v>960</v>
      </c>
      <c r="C47" s="295" t="s">
        <v>981</v>
      </c>
      <c r="D47" s="91" t="s">
        <v>934</v>
      </c>
      <c r="E47" s="82">
        <v>4000000</v>
      </c>
    </row>
    <row r="48" spans="2:5" x14ac:dyDescent="0.2">
      <c r="B48" s="391" t="s">
        <v>960</v>
      </c>
      <c r="C48" s="295" t="s">
        <v>962</v>
      </c>
      <c r="D48" s="91" t="s">
        <v>936</v>
      </c>
      <c r="E48" s="82">
        <v>14907991.770000001</v>
      </c>
    </row>
    <row r="49" spans="2:5" x14ac:dyDescent="0.2">
      <c r="B49" s="391" t="s">
        <v>960</v>
      </c>
      <c r="C49" s="295" t="s">
        <v>982</v>
      </c>
      <c r="D49" s="91" t="s">
        <v>937</v>
      </c>
      <c r="E49" s="82">
        <v>34571052.379999995</v>
      </c>
    </row>
    <row r="50" spans="2:5" x14ac:dyDescent="0.2">
      <c r="B50" s="391" t="s">
        <v>960</v>
      </c>
      <c r="C50" s="295" t="s">
        <v>983</v>
      </c>
      <c r="D50" s="91" t="s">
        <v>938</v>
      </c>
      <c r="E50" s="82">
        <v>15035641.050000001</v>
      </c>
    </row>
    <row r="51" spans="2:5" x14ac:dyDescent="0.2">
      <c r="B51" s="391" t="s">
        <v>960</v>
      </c>
      <c r="C51" s="295" t="s">
        <v>984</v>
      </c>
      <c r="D51" s="91" t="s">
        <v>939</v>
      </c>
      <c r="E51" s="82">
        <v>9541679.2500000019</v>
      </c>
    </row>
    <row r="52" spans="2:5" x14ac:dyDescent="0.2">
      <c r="B52" s="391" t="s">
        <v>960</v>
      </c>
      <c r="C52" s="295" t="s">
        <v>985</v>
      </c>
      <c r="D52" s="91" t="s">
        <v>940</v>
      </c>
      <c r="E52" s="82">
        <v>86074675.400000006</v>
      </c>
    </row>
    <row r="53" spans="2:5" x14ac:dyDescent="0.2">
      <c r="B53" s="391" t="s">
        <v>960</v>
      </c>
      <c r="C53" s="295" t="s">
        <v>985</v>
      </c>
      <c r="D53" s="91" t="s">
        <v>941</v>
      </c>
      <c r="E53" s="82">
        <v>10293891.539999999</v>
      </c>
    </row>
    <row r="54" spans="2:5" x14ac:dyDescent="0.2">
      <c r="B54" s="391" t="s">
        <v>960</v>
      </c>
      <c r="C54" s="295" t="s">
        <v>985</v>
      </c>
      <c r="D54" s="91" t="s">
        <v>942</v>
      </c>
      <c r="E54" s="82">
        <v>2813553.07</v>
      </c>
    </row>
    <row r="55" spans="2:5" x14ac:dyDescent="0.2">
      <c r="B55" s="391" t="s">
        <v>960</v>
      </c>
      <c r="C55" s="295" t="s">
        <v>986</v>
      </c>
      <c r="D55" s="91" t="s">
        <v>913</v>
      </c>
      <c r="E55" s="82">
        <v>66966236.109999992</v>
      </c>
    </row>
    <row r="56" spans="2:5" ht="25.5" x14ac:dyDescent="0.2">
      <c r="B56" s="391" t="s">
        <v>960</v>
      </c>
      <c r="C56" s="295" t="s">
        <v>987</v>
      </c>
      <c r="D56" s="91" t="s">
        <v>802</v>
      </c>
      <c r="E56" s="82">
        <v>90575669.279999986</v>
      </c>
    </row>
    <row r="57" spans="2:5" ht="25.5" x14ac:dyDescent="0.2">
      <c r="B57" s="391" t="s">
        <v>960</v>
      </c>
      <c r="C57" s="295" t="s">
        <v>988</v>
      </c>
      <c r="D57" s="91" t="s">
        <v>801</v>
      </c>
      <c r="E57" s="82">
        <v>9547705.9299999997</v>
      </c>
    </row>
    <row r="58" spans="2:5" x14ac:dyDescent="0.2">
      <c r="B58" s="84"/>
      <c r="C58" s="295"/>
      <c r="D58" s="91"/>
      <c r="E58" s="82"/>
    </row>
    <row r="59" spans="2:5" x14ac:dyDescent="0.2">
      <c r="B59" s="84"/>
      <c r="C59" s="295"/>
      <c r="D59" s="91"/>
      <c r="E59" s="82"/>
    </row>
    <row r="60" spans="2:5" x14ac:dyDescent="0.2">
      <c r="B60" s="84"/>
      <c r="C60" s="295"/>
      <c r="D60" s="91"/>
      <c r="E60" s="82"/>
    </row>
    <row r="61" spans="2:5" x14ac:dyDescent="0.2">
      <c r="B61" s="84"/>
      <c r="C61" s="295"/>
      <c r="D61" s="91"/>
      <c r="E61" s="82"/>
    </row>
    <row r="62" spans="2:5" x14ac:dyDescent="0.2">
      <c r="B62" s="84"/>
      <c r="C62" s="295"/>
      <c r="D62" s="91"/>
      <c r="E62" s="82"/>
    </row>
    <row r="63" spans="2:5" x14ac:dyDescent="0.2">
      <c r="B63" s="84"/>
      <c r="C63" s="295"/>
      <c r="D63" s="91"/>
      <c r="E63" s="82"/>
    </row>
    <row r="64" spans="2:5" x14ac:dyDescent="0.2">
      <c r="B64" s="84"/>
      <c r="C64" s="295"/>
      <c r="D64" s="91"/>
      <c r="E64" s="82"/>
    </row>
    <row r="65" spans="2:7" x14ac:dyDescent="0.2">
      <c r="B65" s="84"/>
      <c r="C65" s="295"/>
      <c r="D65" s="91"/>
      <c r="E65" s="82"/>
    </row>
    <row r="66" spans="2:7" x14ac:dyDescent="0.2">
      <c r="B66" s="84"/>
      <c r="C66" s="295"/>
      <c r="D66" s="91"/>
      <c r="E66" s="82"/>
    </row>
    <row r="67" spans="2:7" x14ac:dyDescent="0.2">
      <c r="B67" s="84"/>
      <c r="C67" s="295"/>
      <c r="D67" s="91"/>
      <c r="E67" s="82"/>
    </row>
    <row r="68" spans="2:7" x14ac:dyDescent="0.2">
      <c r="B68" s="84"/>
      <c r="C68" s="295"/>
      <c r="D68" s="91"/>
      <c r="E68" s="82"/>
    </row>
    <row r="69" spans="2:7" x14ac:dyDescent="0.2">
      <c r="B69" s="84"/>
      <c r="C69" s="295"/>
      <c r="D69" s="91"/>
      <c r="E69" s="82"/>
    </row>
    <row r="70" spans="2:7" x14ac:dyDescent="0.2">
      <c r="B70" s="84"/>
      <c r="C70" s="295"/>
      <c r="D70" s="91"/>
      <c r="E70" s="82"/>
    </row>
    <row r="71" spans="2:7" x14ac:dyDescent="0.2">
      <c r="B71" s="84"/>
      <c r="C71" s="295"/>
      <c r="D71" s="91"/>
      <c r="E71" s="82"/>
    </row>
    <row r="72" spans="2:7" x14ac:dyDescent="0.2">
      <c r="B72" s="84"/>
      <c r="C72" s="295"/>
      <c r="D72" s="91"/>
      <c r="E72" s="82"/>
    </row>
    <row r="73" spans="2:7" x14ac:dyDescent="0.2">
      <c r="B73" s="489" t="s">
        <v>424</v>
      </c>
      <c r="C73" s="490"/>
      <c r="D73" s="491"/>
      <c r="E73" s="220">
        <f>SUM(E47:E72)</f>
        <v>344328095.77999997</v>
      </c>
    </row>
    <row r="76" spans="2:7" ht="15.75" x14ac:dyDescent="0.25">
      <c r="B76" s="221" t="s">
        <v>567</v>
      </c>
      <c r="C76" s="219"/>
      <c r="D76" s="219"/>
      <c r="E76" s="219"/>
      <c r="F76" s="222"/>
      <c r="G76" s="219"/>
    </row>
    <row r="77" spans="2:7" ht="15.75" x14ac:dyDescent="0.25">
      <c r="B77" s="218"/>
      <c r="C77" s="219"/>
      <c r="D77" s="219"/>
      <c r="E77" s="219"/>
      <c r="F77" s="222"/>
      <c r="G77" s="219"/>
    </row>
    <row r="78" spans="2:7" ht="38.25" x14ac:dyDescent="0.2">
      <c r="B78" s="48" t="s">
        <v>515</v>
      </c>
      <c r="C78" s="48" t="s">
        <v>391</v>
      </c>
      <c r="D78" s="48" t="s">
        <v>569</v>
      </c>
      <c r="E78" s="60" t="s">
        <v>570</v>
      </c>
      <c r="F78" s="60" t="s">
        <v>568</v>
      </c>
      <c r="G78" s="60" t="s">
        <v>392</v>
      </c>
    </row>
    <row r="79" spans="2:7" x14ac:dyDescent="0.2">
      <c r="B79" s="100"/>
      <c r="C79" s="48"/>
      <c r="D79" s="64"/>
      <c r="E79" s="64"/>
      <c r="F79" s="64" t="s">
        <v>394</v>
      </c>
      <c r="G79" s="64" t="s">
        <v>111</v>
      </c>
    </row>
    <row r="80" spans="2:7" x14ac:dyDescent="0.2">
      <c r="B80" s="397" t="s">
        <v>960</v>
      </c>
      <c r="C80" s="400" t="s">
        <v>968</v>
      </c>
      <c r="D80" s="82"/>
      <c r="E80" s="82"/>
      <c r="F80" s="83"/>
      <c r="G80" s="77"/>
    </row>
    <row r="81" spans="2:7" x14ac:dyDescent="0.2">
      <c r="B81" s="81"/>
      <c r="C81" s="296"/>
      <c r="D81" s="82"/>
      <c r="E81" s="82"/>
      <c r="F81" s="83"/>
      <c r="G81" s="77"/>
    </row>
    <row r="82" spans="2:7" x14ac:dyDescent="0.2">
      <c r="B82" s="81"/>
      <c r="C82" s="296"/>
      <c r="D82" s="82"/>
      <c r="E82" s="82"/>
      <c r="F82" s="83"/>
      <c r="G82" s="77"/>
    </row>
    <row r="83" spans="2:7" x14ac:dyDescent="0.2">
      <c r="B83" s="81"/>
      <c r="C83" s="296"/>
      <c r="D83" s="82"/>
      <c r="E83" s="82"/>
      <c r="F83" s="83"/>
      <c r="G83" s="77"/>
    </row>
    <row r="84" spans="2:7" x14ac:dyDescent="0.2">
      <c r="B84" s="81"/>
      <c r="C84" s="296"/>
      <c r="D84" s="82"/>
      <c r="E84" s="82"/>
      <c r="F84" s="83"/>
      <c r="G84" s="77"/>
    </row>
    <row r="85" spans="2:7" x14ac:dyDescent="0.2">
      <c r="B85" s="81"/>
      <c r="C85" s="296"/>
      <c r="D85" s="82"/>
      <c r="E85" s="82"/>
      <c r="F85" s="83"/>
      <c r="G85" s="77"/>
    </row>
    <row r="86" spans="2:7" x14ac:dyDescent="0.2">
      <c r="B86" s="81"/>
      <c r="C86" s="296"/>
      <c r="D86" s="82"/>
      <c r="E86" s="82"/>
      <c r="F86" s="83"/>
      <c r="G86" s="77"/>
    </row>
    <row r="87" spans="2:7" x14ac:dyDescent="0.2">
      <c r="B87" s="81"/>
      <c r="C87" s="296"/>
      <c r="D87" s="82"/>
      <c r="E87" s="82"/>
      <c r="F87" s="83"/>
      <c r="G87" s="77"/>
    </row>
    <row r="88" spans="2:7" x14ac:dyDescent="0.2">
      <c r="B88" s="81"/>
      <c r="C88" s="296"/>
      <c r="D88" s="82"/>
      <c r="E88" s="82"/>
      <c r="F88" s="83"/>
      <c r="G88" s="77"/>
    </row>
    <row r="89" spans="2:7" x14ac:dyDescent="0.2">
      <c r="B89" s="81"/>
      <c r="C89" s="296"/>
      <c r="D89" s="82"/>
      <c r="E89" s="82"/>
      <c r="F89" s="83"/>
      <c r="G89" s="77"/>
    </row>
    <row r="90" spans="2:7" x14ac:dyDescent="0.2">
      <c r="B90" s="81"/>
      <c r="C90" s="296"/>
      <c r="D90" s="82"/>
      <c r="E90" s="82"/>
      <c r="F90" s="83"/>
      <c r="G90" s="77"/>
    </row>
    <row r="91" spans="2:7" x14ac:dyDescent="0.2">
      <c r="B91" s="81"/>
      <c r="C91" s="296"/>
      <c r="D91" s="82"/>
      <c r="E91" s="82"/>
      <c r="F91" s="83"/>
      <c r="G91" s="77"/>
    </row>
    <row r="92" spans="2:7" x14ac:dyDescent="0.2">
      <c r="B92" s="81"/>
      <c r="C92" s="296"/>
      <c r="D92" s="82"/>
      <c r="E92" s="82"/>
      <c r="F92" s="83"/>
      <c r="G92" s="77"/>
    </row>
    <row r="93" spans="2:7" x14ac:dyDescent="0.2">
      <c r="B93" s="81"/>
      <c r="C93" s="296"/>
      <c r="D93" s="82"/>
      <c r="E93" s="82"/>
      <c r="F93" s="83"/>
      <c r="G93" s="77"/>
    </row>
    <row r="94" spans="2:7" x14ac:dyDescent="0.2">
      <c r="B94" s="81"/>
      <c r="C94" s="296"/>
      <c r="D94" s="82"/>
      <c r="E94" s="82"/>
      <c r="F94" s="83"/>
      <c r="G94" s="77"/>
    </row>
    <row r="95" spans="2:7" x14ac:dyDescent="0.2">
      <c r="B95" s="81"/>
      <c r="C95" s="296"/>
      <c r="D95" s="82"/>
      <c r="E95" s="82"/>
      <c r="F95" s="83"/>
      <c r="G95" s="77"/>
    </row>
    <row r="96" spans="2:7" x14ac:dyDescent="0.2">
      <c r="B96" s="81"/>
      <c r="C96" s="296"/>
      <c r="D96" s="82"/>
      <c r="E96" s="82"/>
      <c r="F96" s="83"/>
      <c r="G96" s="77"/>
    </row>
    <row r="97" spans="2:7" x14ac:dyDescent="0.2">
      <c r="B97" s="81"/>
      <c r="C97" s="296"/>
      <c r="D97" s="82"/>
      <c r="E97" s="82"/>
      <c r="F97" s="83"/>
      <c r="G97" s="77"/>
    </row>
    <row r="98" spans="2:7" x14ac:dyDescent="0.2">
      <c r="B98" s="487" t="s">
        <v>393</v>
      </c>
      <c r="C98" s="488"/>
      <c r="D98" s="488"/>
      <c r="E98" s="488"/>
      <c r="F98" s="488"/>
      <c r="G98" s="101">
        <f>SUM(G80:G97)</f>
        <v>0</v>
      </c>
    </row>
  </sheetData>
  <sheetProtection sheet="1" insertRows="0" deleteRows="0"/>
  <mergeCells count="4">
    <mergeCell ref="B98:F98"/>
    <mergeCell ref="B41:D41"/>
    <mergeCell ref="B6:E9"/>
    <mergeCell ref="B73:D73"/>
  </mergeCells>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1770C-F9B3-4A9A-AE79-8F2439DFD3F3}">
  <sheetPr>
    <tabColor theme="5" tint="0.79998168889431442"/>
  </sheetPr>
  <dimension ref="A1:N1"/>
  <sheetViews>
    <sheetView workbookViewId="0"/>
  </sheetViews>
  <sheetFormatPr defaultColWidth="9.28515625" defaultRowHeight="12.75" x14ac:dyDescent="0.2"/>
  <cols>
    <col min="1" max="16384" width="9.28515625" style="329"/>
  </cols>
  <sheetData>
    <row r="1" spans="1:14" x14ac:dyDescent="0.2">
      <c r="A1"/>
      <c r="N1"/>
    </row>
  </sheetData>
  <pageMargins left="0.7" right="0.7" top="0.75" bottom="0.75" header="0.3" footer="0.3"/>
  <headerFooter>
    <oddFooter>&amp;C_x000D_&amp;1#&amp;"Aptos"&amp;10&amp;K008000 APA-INTERNAL</oddFoot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9A112-D45A-4F05-96C2-4D08C496704F}">
  <sheetPr codeName="Sheet26">
    <tabColor rgb="FF17415D"/>
  </sheetPr>
  <dimension ref="B1:I408"/>
  <sheetViews>
    <sheetView showGridLines="0" zoomScaleNormal="100" workbookViewId="0">
      <pane xSplit="1" ySplit="9" topLeftCell="B10" activePane="bottomRight" state="frozen"/>
      <selection pane="topRight" activeCell="B1" sqref="B1"/>
      <selection pane="bottomLeft" activeCell="A10" sqref="A10"/>
      <selection pane="bottomRight"/>
    </sheetView>
  </sheetViews>
  <sheetFormatPr defaultColWidth="8.7109375" defaultRowHeight="12.75" x14ac:dyDescent="0.2"/>
  <cols>
    <col min="1" max="1" width="11.42578125" customWidth="1"/>
    <col min="2" max="2" width="47.42578125" customWidth="1"/>
    <col min="3" max="9" width="30.7109375" customWidth="1"/>
    <col min="10" max="60" width="10.7109375" customWidth="1"/>
    <col min="62" max="62" width="13.5703125" customWidth="1"/>
  </cols>
  <sheetData>
    <row r="1" spans="2:4" ht="20.25" x14ac:dyDescent="0.2">
      <c r="B1" s="146" t="s">
        <v>510</v>
      </c>
      <c r="C1" s="146"/>
    </row>
    <row r="2" spans="2:4" ht="25.5" customHeight="1" x14ac:dyDescent="0.2">
      <c r="B2" s="146" t="str">
        <f>IF(Tradingname=0," ",Tradingname)</f>
        <v>EAST AUSTRALIAN PIPELINE PTY LIMITED</v>
      </c>
      <c r="C2" s="146"/>
    </row>
    <row r="3" spans="2:4" ht="19.5" customHeight="1" x14ac:dyDescent="0.3">
      <c r="B3" s="146" t="s">
        <v>110</v>
      </c>
      <c r="C3" s="110">
        <f>IF(Yearending=0, "01/01/2000", Yearending)</f>
        <v>45838</v>
      </c>
    </row>
    <row r="4" spans="2:4" ht="20.25" x14ac:dyDescent="0.2">
      <c r="B4" s="102" t="s">
        <v>395</v>
      </c>
      <c r="C4" s="102"/>
    </row>
    <row r="5" spans="2:4" ht="12" customHeight="1" x14ac:dyDescent="0.2"/>
    <row r="6" spans="2:4" ht="12" customHeight="1" x14ac:dyDescent="0.2">
      <c r="B6" s="474" t="s">
        <v>398</v>
      </c>
      <c r="C6" s="474"/>
      <c r="D6" s="474"/>
    </row>
    <row r="7" spans="2:4" ht="12" customHeight="1" x14ac:dyDescent="0.2">
      <c r="B7" s="474"/>
      <c r="C7" s="474"/>
      <c r="D7" s="474"/>
    </row>
    <row r="8" spans="2:4" ht="12" customHeight="1" x14ac:dyDescent="0.2">
      <c r="B8" s="474"/>
      <c r="C8" s="474"/>
      <c r="D8" s="474"/>
    </row>
    <row r="9" spans="2:4" ht="12" customHeight="1" x14ac:dyDescent="0.2">
      <c r="B9" s="474"/>
      <c r="C9" s="474"/>
      <c r="D9" s="474"/>
    </row>
    <row r="10" spans="2:4" ht="12" customHeight="1" x14ac:dyDescent="0.2"/>
    <row r="11" spans="2:4" ht="12" customHeight="1" x14ac:dyDescent="0.2"/>
    <row r="12" spans="2:4" ht="15.75" x14ac:dyDescent="0.25">
      <c r="B12" s="208" t="s">
        <v>422</v>
      </c>
    </row>
    <row r="14" spans="2:4" ht="25.5" x14ac:dyDescent="0.2">
      <c r="B14" s="62" t="s">
        <v>515</v>
      </c>
      <c r="C14" s="61" t="s">
        <v>397</v>
      </c>
      <c r="D14" s="61" t="s">
        <v>396</v>
      </c>
    </row>
    <row r="15" spans="2:4" x14ac:dyDescent="0.2">
      <c r="B15" s="308" t="s">
        <v>961</v>
      </c>
      <c r="C15" s="73" t="s">
        <v>414</v>
      </c>
      <c r="D15" s="73" t="s">
        <v>815</v>
      </c>
    </row>
    <row r="16" spans="2:4" x14ac:dyDescent="0.2">
      <c r="B16" s="308" t="s">
        <v>961</v>
      </c>
      <c r="C16" s="73" t="s">
        <v>978</v>
      </c>
      <c r="D16" s="73" t="s">
        <v>815</v>
      </c>
    </row>
    <row r="17" spans="2:6" x14ac:dyDescent="0.2">
      <c r="B17" s="308"/>
      <c r="C17" s="73"/>
      <c r="D17" s="73"/>
    </row>
    <row r="18" spans="2:6" x14ac:dyDescent="0.2">
      <c r="B18" s="308"/>
      <c r="C18" s="115"/>
      <c r="D18" s="115"/>
    </row>
    <row r="19" spans="2:6" x14ac:dyDescent="0.2">
      <c r="B19" s="308"/>
      <c r="C19" s="115"/>
      <c r="D19" s="115"/>
    </row>
    <row r="22" spans="2:6" ht="15.75" x14ac:dyDescent="0.25">
      <c r="B22" s="208" t="s">
        <v>584</v>
      </c>
    </row>
    <row r="24" spans="2:6" s="9" customFormat="1" x14ac:dyDescent="0.2">
      <c r="B24" s="112"/>
      <c r="C24" s="113" t="s">
        <v>583</v>
      </c>
    </row>
    <row r="25" spans="2:6" s="9" customFormat="1" x14ac:dyDescent="0.2">
      <c r="B25" s="112"/>
      <c r="C25" s="112" t="s">
        <v>420</v>
      </c>
      <c r="D25" s="207"/>
    </row>
    <row r="26" spans="2:6" ht="14.25" x14ac:dyDescent="0.2">
      <c r="B26" s="123" t="s">
        <v>571</v>
      </c>
      <c r="C26" s="82">
        <f>C42/365</f>
        <v>340.62236986301372</v>
      </c>
      <c r="D26" s="206"/>
      <c r="E26" s="15"/>
      <c r="F26" s="15"/>
    </row>
    <row r="27" spans="2:6" ht="14.25" x14ac:dyDescent="0.2">
      <c r="B27" s="123" t="s">
        <v>661</v>
      </c>
      <c r="C27" s="82"/>
      <c r="D27" s="206"/>
      <c r="E27" s="15"/>
      <c r="F27" s="15"/>
    </row>
    <row r="28" spans="2:6" ht="14.25" x14ac:dyDescent="0.2">
      <c r="B28" s="123" t="s">
        <v>573</v>
      </c>
      <c r="C28" s="82"/>
      <c r="D28" s="206"/>
      <c r="E28" s="15"/>
      <c r="F28" s="15"/>
    </row>
    <row r="29" spans="2:6" ht="14.25" x14ac:dyDescent="0.2">
      <c r="B29" s="123" t="s">
        <v>574</v>
      </c>
      <c r="C29" s="82"/>
      <c r="D29" s="206"/>
      <c r="E29" s="15"/>
      <c r="F29" s="15"/>
    </row>
    <row r="30" spans="2:6" ht="25.5" x14ac:dyDescent="0.2">
      <c r="B30" s="205" t="s">
        <v>575</v>
      </c>
      <c r="C30" s="82"/>
      <c r="D30" s="206"/>
      <c r="E30" s="15"/>
      <c r="F30" s="15"/>
    </row>
    <row r="31" spans="2:6" ht="14.25" x14ac:dyDescent="0.2">
      <c r="B31" s="123" t="s">
        <v>662</v>
      </c>
      <c r="C31" s="82"/>
      <c r="D31" s="206"/>
      <c r="E31" s="15"/>
      <c r="F31" s="15"/>
    </row>
    <row r="32" spans="2:6" ht="14.25" x14ac:dyDescent="0.2">
      <c r="B32" s="123" t="s">
        <v>577</v>
      </c>
      <c r="C32" s="82"/>
      <c r="D32" s="206"/>
      <c r="E32" s="15"/>
      <c r="F32" s="15"/>
    </row>
    <row r="33" spans="2:9" x14ac:dyDescent="0.2">
      <c r="B33" s="123" t="s">
        <v>578</v>
      </c>
      <c r="C33" s="82"/>
      <c r="D33" s="15"/>
      <c r="E33" s="15"/>
      <c r="F33" s="15"/>
    </row>
    <row r="34" spans="2:9" x14ac:dyDescent="0.2">
      <c r="B34" s="123" t="s">
        <v>579</v>
      </c>
      <c r="C34" s="82"/>
      <c r="D34" s="15"/>
      <c r="E34" s="15"/>
      <c r="F34" s="15"/>
    </row>
    <row r="35" spans="2:9" x14ac:dyDescent="0.2">
      <c r="B35" s="123" t="s">
        <v>519</v>
      </c>
      <c r="C35" s="82"/>
    </row>
    <row r="38" spans="2:9" ht="15.75" x14ac:dyDescent="0.25">
      <c r="B38" s="208" t="s">
        <v>423</v>
      </c>
    </row>
    <row r="40" spans="2:9" s="9" customFormat="1" ht="25.5" x14ac:dyDescent="0.2">
      <c r="B40" s="112"/>
      <c r="C40" s="113" t="s">
        <v>419</v>
      </c>
      <c r="D40" s="113" t="s">
        <v>418</v>
      </c>
      <c r="E40" s="113" t="s">
        <v>414</v>
      </c>
      <c r="F40" s="113" t="s">
        <v>563</v>
      </c>
      <c r="G40" s="113" t="s">
        <v>415</v>
      </c>
      <c r="H40" s="113" t="s">
        <v>416</v>
      </c>
      <c r="I40" s="113" t="s">
        <v>417</v>
      </c>
    </row>
    <row r="41" spans="2:9" s="9" customFormat="1" x14ac:dyDescent="0.2">
      <c r="B41" s="112"/>
      <c r="C41" s="114" t="s">
        <v>420</v>
      </c>
      <c r="D41" s="114" t="s">
        <v>420</v>
      </c>
      <c r="E41" s="114" t="s">
        <v>420</v>
      </c>
      <c r="F41" s="114" t="s">
        <v>420</v>
      </c>
      <c r="G41" s="113"/>
      <c r="H41" s="113"/>
      <c r="I41" s="113"/>
    </row>
    <row r="42" spans="2:9" x14ac:dyDescent="0.2">
      <c r="B42" s="204" t="s">
        <v>18</v>
      </c>
      <c r="C42" s="22">
        <f>SUM(C43:C408)</f>
        <v>124327.16500000001</v>
      </c>
      <c r="D42" s="22">
        <f>SUM(D43:D408)</f>
        <v>0</v>
      </c>
      <c r="E42" s="22">
        <f>SUM(E43:E408)</f>
        <v>44994.630999999987</v>
      </c>
      <c r="F42" s="22" t="s">
        <v>665</v>
      </c>
      <c r="G42" s="22">
        <f>SUM(G43:G408)</f>
        <v>161230.36899999998</v>
      </c>
      <c r="H42" s="22">
        <f>SUM(H43:H408)</f>
        <v>81897.83499999989</v>
      </c>
      <c r="I42" s="22">
        <f>SUM(I43:I408)</f>
        <v>79332.534000000014</v>
      </c>
    </row>
    <row r="43" spans="2:9" x14ac:dyDescent="0.2">
      <c r="B43" s="203">
        <f>IF(Yearstart=0, "1/01/1999", Yearstart)</f>
        <v>45474</v>
      </c>
      <c r="C43" s="92">
        <v>536.48500000000001</v>
      </c>
      <c r="D43" s="92"/>
      <c r="E43" s="92">
        <v>399.17</v>
      </c>
      <c r="F43" s="92">
        <v>565</v>
      </c>
      <c r="G43" s="22">
        <f>F43-E43</f>
        <v>165.82999999999998</v>
      </c>
      <c r="H43" s="22">
        <f>'5. Historical demand'!F43-'5. Historical demand'!C43-'5. Historical demand'!D43</f>
        <v>28.514999999999986</v>
      </c>
      <c r="I43" s="22">
        <f>C43+D43-E43</f>
        <v>137.315</v>
      </c>
    </row>
    <row r="44" spans="2:9" x14ac:dyDescent="0.2">
      <c r="B44" s="203">
        <f t="shared" ref="B44:B107" si="0">IFERROR(IF(Yearending&gt;B43, B43+1, ""),"")</f>
        <v>45475</v>
      </c>
      <c r="C44" s="92">
        <v>536.48500000000001</v>
      </c>
      <c r="D44" s="92"/>
      <c r="E44" s="92">
        <v>389.24400000000003</v>
      </c>
      <c r="F44" s="92">
        <v>565</v>
      </c>
      <c r="G44" s="22">
        <f t="shared" ref="G44:G107" si="1">IFERROR(IF(Yearending&gt;B43,F44-E44,""),"")</f>
        <v>175.75599999999997</v>
      </c>
      <c r="H44" s="22">
        <f>IFERROR(IF(Yearending&gt;B43,'5. Historical demand'!F44-'5. Historical demand'!C44-'5. Historical demand'!D44,""),"")</f>
        <v>28.514999999999986</v>
      </c>
      <c r="I44" s="22">
        <f t="shared" ref="I44:I107" si="2">IFERROR(IF(Yearending&gt;B43,C44+D44-E44,""),"")</f>
        <v>147.24099999999999</v>
      </c>
    </row>
    <row r="45" spans="2:9" x14ac:dyDescent="0.2">
      <c r="B45" s="203">
        <f t="shared" si="0"/>
        <v>45476</v>
      </c>
      <c r="C45" s="92">
        <v>536.48500000000001</v>
      </c>
      <c r="D45" s="92"/>
      <c r="E45" s="92">
        <v>384.57400000000001</v>
      </c>
      <c r="F45" s="92">
        <v>565</v>
      </c>
      <c r="G45" s="22">
        <f t="shared" si="1"/>
        <v>180.42599999999999</v>
      </c>
      <c r="H45" s="22">
        <f>IFERROR(IF(Yearending&gt;B44,'5. Historical demand'!F45-'5. Historical demand'!C45-'5. Historical demand'!D45,""),"")</f>
        <v>28.514999999999986</v>
      </c>
      <c r="I45" s="22">
        <f t="shared" si="2"/>
        <v>151.911</v>
      </c>
    </row>
    <row r="46" spans="2:9" x14ac:dyDescent="0.2">
      <c r="B46" s="203">
        <f t="shared" si="0"/>
        <v>45477</v>
      </c>
      <c r="C46" s="92">
        <v>536.48500000000001</v>
      </c>
      <c r="D46" s="92"/>
      <c r="E46" s="92">
        <v>401.40800000000002</v>
      </c>
      <c r="F46" s="92">
        <v>565</v>
      </c>
      <c r="G46" s="22">
        <f t="shared" si="1"/>
        <v>163.59199999999998</v>
      </c>
      <c r="H46" s="22">
        <f>IFERROR(IF(Yearending&gt;B45,'5. Historical demand'!F46-'5. Historical demand'!C46-'5. Historical demand'!D46,""),"")</f>
        <v>28.514999999999986</v>
      </c>
      <c r="I46" s="22">
        <f t="shared" si="2"/>
        <v>135.077</v>
      </c>
    </row>
    <row r="47" spans="2:9" x14ac:dyDescent="0.2">
      <c r="B47" s="203">
        <f t="shared" si="0"/>
        <v>45478</v>
      </c>
      <c r="C47" s="92">
        <v>536.48500000000001</v>
      </c>
      <c r="D47" s="92"/>
      <c r="E47" s="92">
        <v>399.99599999999998</v>
      </c>
      <c r="F47" s="92">
        <v>565</v>
      </c>
      <c r="G47" s="22">
        <f t="shared" si="1"/>
        <v>165.00400000000002</v>
      </c>
      <c r="H47" s="22">
        <f>IFERROR(IF(Yearending&gt;B46,'5. Historical demand'!F47-'5. Historical demand'!C47-'5. Historical demand'!D47,""),"")</f>
        <v>28.514999999999986</v>
      </c>
      <c r="I47" s="22">
        <f t="shared" si="2"/>
        <v>136.48900000000003</v>
      </c>
    </row>
    <row r="48" spans="2:9" x14ac:dyDescent="0.2">
      <c r="B48" s="203">
        <f t="shared" si="0"/>
        <v>45479</v>
      </c>
      <c r="C48" s="92">
        <v>536.48500000000001</v>
      </c>
      <c r="D48" s="92"/>
      <c r="E48" s="92">
        <v>415.596</v>
      </c>
      <c r="F48" s="92">
        <v>565</v>
      </c>
      <c r="G48" s="22">
        <f t="shared" si="1"/>
        <v>149.404</v>
      </c>
      <c r="H48" s="22">
        <f>IFERROR(IF(Yearending&gt;B47,'5. Historical demand'!F48-'5. Historical demand'!C48-'5. Historical demand'!D48,""),"")</f>
        <v>28.514999999999986</v>
      </c>
      <c r="I48" s="22">
        <f t="shared" si="2"/>
        <v>120.88900000000001</v>
      </c>
    </row>
    <row r="49" spans="2:9" x14ac:dyDescent="0.2">
      <c r="B49" s="203">
        <f t="shared" si="0"/>
        <v>45480</v>
      </c>
      <c r="C49" s="92">
        <v>536.48500000000001</v>
      </c>
      <c r="D49" s="92"/>
      <c r="E49" s="92">
        <v>396.49400000000003</v>
      </c>
      <c r="F49" s="92">
        <v>565</v>
      </c>
      <c r="G49" s="22">
        <f t="shared" si="1"/>
        <v>168.50599999999997</v>
      </c>
      <c r="H49" s="22">
        <f>IFERROR(IF(Yearending&gt;B48,'5. Historical demand'!F49-'5. Historical demand'!C49-'5. Historical demand'!D49,""),"")</f>
        <v>28.514999999999986</v>
      </c>
      <c r="I49" s="22">
        <f t="shared" si="2"/>
        <v>139.99099999999999</v>
      </c>
    </row>
    <row r="50" spans="2:9" x14ac:dyDescent="0.2">
      <c r="B50" s="203">
        <f t="shared" si="0"/>
        <v>45481</v>
      </c>
      <c r="C50" s="92">
        <v>536.48500000000001</v>
      </c>
      <c r="D50" s="92"/>
      <c r="E50" s="92">
        <v>429.54199999999997</v>
      </c>
      <c r="F50" s="92">
        <v>565</v>
      </c>
      <c r="G50" s="22">
        <f t="shared" si="1"/>
        <v>135.45800000000003</v>
      </c>
      <c r="H50" s="22">
        <f>IFERROR(IF(Yearending&gt;B49,'5. Historical demand'!F50-'5. Historical demand'!C50-'5. Historical demand'!D50,""),"")</f>
        <v>28.514999999999986</v>
      </c>
      <c r="I50" s="22">
        <f t="shared" si="2"/>
        <v>106.94300000000004</v>
      </c>
    </row>
    <row r="51" spans="2:9" x14ac:dyDescent="0.2">
      <c r="B51" s="203">
        <f t="shared" si="0"/>
        <v>45482</v>
      </c>
      <c r="C51" s="92">
        <v>536.48500000000001</v>
      </c>
      <c r="D51" s="92"/>
      <c r="E51" s="92">
        <v>317.88499999999999</v>
      </c>
      <c r="F51" s="92">
        <v>565</v>
      </c>
      <c r="G51" s="22">
        <f t="shared" si="1"/>
        <v>247.11500000000001</v>
      </c>
      <c r="H51" s="22">
        <f>IFERROR(IF(Yearending&gt;B50,'5. Historical demand'!F51-'5. Historical demand'!C51-'5. Historical demand'!D51,""),"")</f>
        <v>28.514999999999986</v>
      </c>
      <c r="I51" s="22">
        <f t="shared" si="2"/>
        <v>218.60000000000002</v>
      </c>
    </row>
    <row r="52" spans="2:9" x14ac:dyDescent="0.2">
      <c r="B52" s="203">
        <f t="shared" si="0"/>
        <v>45483</v>
      </c>
      <c r="C52" s="92">
        <v>536.48500000000001</v>
      </c>
      <c r="D52" s="92"/>
      <c r="E52" s="92">
        <v>282.505</v>
      </c>
      <c r="F52" s="92">
        <v>565</v>
      </c>
      <c r="G52" s="22">
        <f t="shared" si="1"/>
        <v>282.495</v>
      </c>
      <c r="H52" s="22">
        <f>IFERROR(IF(Yearending&gt;B51,'5. Historical demand'!F52-'5. Historical demand'!C52-'5. Historical demand'!D52,""),"")</f>
        <v>28.514999999999986</v>
      </c>
      <c r="I52" s="22">
        <f t="shared" si="2"/>
        <v>253.98000000000002</v>
      </c>
    </row>
    <row r="53" spans="2:9" x14ac:dyDescent="0.2">
      <c r="B53" s="203">
        <f t="shared" si="0"/>
        <v>45484</v>
      </c>
      <c r="C53" s="92">
        <v>536.48500000000001</v>
      </c>
      <c r="D53" s="92"/>
      <c r="E53" s="92">
        <v>371.50200000000001</v>
      </c>
      <c r="F53" s="92">
        <v>565</v>
      </c>
      <c r="G53" s="22">
        <f t="shared" si="1"/>
        <v>193.49799999999999</v>
      </c>
      <c r="H53" s="22">
        <f>IFERROR(IF(Yearending&gt;B52,'5. Historical demand'!F53-'5. Historical demand'!C53-'5. Historical demand'!D53,""),"")</f>
        <v>28.514999999999986</v>
      </c>
      <c r="I53" s="22">
        <f t="shared" si="2"/>
        <v>164.983</v>
      </c>
    </row>
    <row r="54" spans="2:9" x14ac:dyDescent="0.2">
      <c r="B54" s="203">
        <f t="shared" si="0"/>
        <v>45485</v>
      </c>
      <c r="C54" s="92">
        <v>536.48500000000001</v>
      </c>
      <c r="D54" s="92"/>
      <c r="E54" s="92">
        <v>250.00200000000001</v>
      </c>
      <c r="F54" s="92">
        <v>565</v>
      </c>
      <c r="G54" s="22">
        <f t="shared" si="1"/>
        <v>314.99799999999999</v>
      </c>
      <c r="H54" s="22">
        <f>IFERROR(IF(Yearending&gt;B53,'5. Historical demand'!F54-'5. Historical demand'!C54-'5. Historical demand'!D54,""),"")</f>
        <v>28.514999999999986</v>
      </c>
      <c r="I54" s="22">
        <f t="shared" si="2"/>
        <v>286.483</v>
      </c>
    </row>
    <row r="55" spans="2:9" x14ac:dyDescent="0.2">
      <c r="B55" s="203">
        <f t="shared" si="0"/>
        <v>45486</v>
      </c>
      <c r="C55" s="92">
        <v>536.48500000000001</v>
      </c>
      <c r="D55" s="92"/>
      <c r="E55" s="92">
        <v>318.50400000000002</v>
      </c>
      <c r="F55" s="92">
        <v>565</v>
      </c>
      <c r="G55" s="22">
        <f t="shared" si="1"/>
        <v>246.49599999999998</v>
      </c>
      <c r="H55" s="22">
        <f>IFERROR(IF(Yearending&gt;B54,'5. Historical demand'!F55-'5. Historical demand'!C55-'5. Historical demand'!D55,""),"")</f>
        <v>28.514999999999986</v>
      </c>
      <c r="I55" s="22">
        <f t="shared" si="2"/>
        <v>217.98099999999999</v>
      </c>
    </row>
    <row r="56" spans="2:9" x14ac:dyDescent="0.2">
      <c r="B56" s="203">
        <f t="shared" si="0"/>
        <v>45487</v>
      </c>
      <c r="C56" s="92">
        <v>536.48500000000001</v>
      </c>
      <c r="D56" s="92"/>
      <c r="E56" s="92">
        <v>461.80200000000002</v>
      </c>
      <c r="F56" s="92">
        <v>565</v>
      </c>
      <c r="G56" s="22">
        <f t="shared" si="1"/>
        <v>103.19799999999998</v>
      </c>
      <c r="H56" s="22">
        <f>IFERROR(IF(Yearending&gt;B55,'5. Historical demand'!F56-'5. Historical demand'!C56-'5. Historical demand'!D56,""),"")</f>
        <v>28.514999999999986</v>
      </c>
      <c r="I56" s="22">
        <f t="shared" si="2"/>
        <v>74.682999999999993</v>
      </c>
    </row>
    <row r="57" spans="2:9" x14ac:dyDescent="0.2">
      <c r="B57" s="203">
        <f t="shared" si="0"/>
        <v>45488</v>
      </c>
      <c r="C57" s="92">
        <v>536.48500000000001</v>
      </c>
      <c r="D57" s="92"/>
      <c r="E57" s="92">
        <v>431.14</v>
      </c>
      <c r="F57" s="92">
        <v>565</v>
      </c>
      <c r="G57" s="22">
        <f t="shared" si="1"/>
        <v>133.86000000000001</v>
      </c>
      <c r="H57" s="22">
        <f>IFERROR(IF(Yearending&gt;B56,'5. Historical demand'!F57-'5. Historical demand'!C57-'5. Historical demand'!D57,""),"")</f>
        <v>28.514999999999986</v>
      </c>
      <c r="I57" s="22">
        <f t="shared" si="2"/>
        <v>105.34500000000003</v>
      </c>
    </row>
    <row r="58" spans="2:9" x14ac:dyDescent="0.2">
      <c r="B58" s="203">
        <f t="shared" si="0"/>
        <v>45489</v>
      </c>
      <c r="C58" s="92">
        <v>536.48500000000001</v>
      </c>
      <c r="D58" s="92"/>
      <c r="E58" s="92">
        <v>438.41800000000001</v>
      </c>
      <c r="F58" s="92">
        <v>565</v>
      </c>
      <c r="G58" s="22">
        <f t="shared" si="1"/>
        <v>126.58199999999999</v>
      </c>
      <c r="H58" s="22">
        <f>IFERROR(IF(Yearending&gt;B57,'5. Historical demand'!F58-'5. Historical demand'!C58-'5. Historical demand'!D58,""),"")</f>
        <v>28.514999999999986</v>
      </c>
      <c r="I58" s="22">
        <f t="shared" si="2"/>
        <v>98.067000000000007</v>
      </c>
    </row>
    <row r="59" spans="2:9" x14ac:dyDescent="0.2">
      <c r="B59" s="203">
        <f t="shared" si="0"/>
        <v>45490</v>
      </c>
      <c r="C59" s="92">
        <v>536.48500000000001</v>
      </c>
      <c r="D59" s="92"/>
      <c r="E59" s="92">
        <v>459.14400000000001</v>
      </c>
      <c r="F59" s="92">
        <v>565</v>
      </c>
      <c r="G59" s="22">
        <f t="shared" si="1"/>
        <v>105.85599999999999</v>
      </c>
      <c r="H59" s="22">
        <f>IFERROR(IF(Yearending&gt;B58,'5. Historical demand'!F59-'5. Historical demand'!C59-'5. Historical demand'!D59,""),"")</f>
        <v>28.514999999999986</v>
      </c>
      <c r="I59" s="22">
        <f t="shared" si="2"/>
        <v>77.341000000000008</v>
      </c>
    </row>
    <row r="60" spans="2:9" x14ac:dyDescent="0.2">
      <c r="B60" s="203">
        <f t="shared" si="0"/>
        <v>45491</v>
      </c>
      <c r="C60" s="92">
        <v>536.48500000000001</v>
      </c>
      <c r="D60" s="92"/>
      <c r="E60" s="92">
        <v>474.44299999999998</v>
      </c>
      <c r="F60" s="92">
        <v>565</v>
      </c>
      <c r="G60" s="22">
        <f t="shared" si="1"/>
        <v>90.557000000000016</v>
      </c>
      <c r="H60" s="22">
        <f>IFERROR(IF(Yearending&gt;B59,'5. Historical demand'!F60-'5. Historical demand'!C60-'5. Historical demand'!D60,""),"")</f>
        <v>28.514999999999986</v>
      </c>
      <c r="I60" s="22">
        <f t="shared" si="2"/>
        <v>62.04200000000003</v>
      </c>
    </row>
    <row r="61" spans="2:9" x14ac:dyDescent="0.2">
      <c r="B61" s="203">
        <f t="shared" si="0"/>
        <v>45492</v>
      </c>
      <c r="C61" s="92">
        <v>536.48500000000001</v>
      </c>
      <c r="D61" s="92"/>
      <c r="E61" s="92">
        <v>430.08199999999999</v>
      </c>
      <c r="F61" s="92">
        <v>565</v>
      </c>
      <c r="G61" s="22">
        <f t="shared" si="1"/>
        <v>134.91800000000001</v>
      </c>
      <c r="H61" s="22">
        <f>IFERROR(IF(Yearending&gt;B60,'5. Historical demand'!F61-'5. Historical demand'!C61-'5. Historical demand'!D61,""),"")</f>
        <v>28.514999999999986</v>
      </c>
      <c r="I61" s="22">
        <f t="shared" si="2"/>
        <v>106.40300000000002</v>
      </c>
    </row>
    <row r="62" spans="2:9" x14ac:dyDescent="0.2">
      <c r="B62" s="203">
        <f t="shared" si="0"/>
        <v>45493</v>
      </c>
      <c r="C62" s="92">
        <v>536.48500000000001</v>
      </c>
      <c r="D62" s="92"/>
      <c r="E62" s="92">
        <v>407.00200000000001</v>
      </c>
      <c r="F62" s="92">
        <v>565</v>
      </c>
      <c r="G62" s="22">
        <f t="shared" si="1"/>
        <v>157.99799999999999</v>
      </c>
      <c r="H62" s="22">
        <f>IFERROR(IF(Yearending&gt;B61,'5. Historical demand'!F62-'5. Historical demand'!C62-'5. Historical demand'!D62,""),"")</f>
        <v>28.514999999999986</v>
      </c>
      <c r="I62" s="22">
        <f t="shared" si="2"/>
        <v>129.483</v>
      </c>
    </row>
    <row r="63" spans="2:9" x14ac:dyDescent="0.2">
      <c r="B63" s="203">
        <f t="shared" si="0"/>
        <v>45494</v>
      </c>
      <c r="C63" s="92">
        <v>536.48500000000001</v>
      </c>
      <c r="D63" s="92"/>
      <c r="E63" s="92">
        <v>433.31</v>
      </c>
      <c r="F63" s="92">
        <v>565</v>
      </c>
      <c r="G63" s="22">
        <f t="shared" si="1"/>
        <v>131.69</v>
      </c>
      <c r="H63" s="22">
        <f>IFERROR(IF(Yearending&gt;B62,'5. Historical demand'!F63-'5. Historical demand'!C63-'5. Historical demand'!D63,""),"")</f>
        <v>28.514999999999986</v>
      </c>
      <c r="I63" s="22">
        <f t="shared" si="2"/>
        <v>103.17500000000001</v>
      </c>
    </row>
    <row r="64" spans="2:9" x14ac:dyDescent="0.2">
      <c r="B64" s="203">
        <f t="shared" si="0"/>
        <v>45495</v>
      </c>
      <c r="C64" s="92">
        <v>536.48500000000001</v>
      </c>
      <c r="D64" s="92"/>
      <c r="E64" s="92">
        <v>381.79700000000003</v>
      </c>
      <c r="F64" s="92">
        <v>565</v>
      </c>
      <c r="G64" s="22">
        <f t="shared" si="1"/>
        <v>183.20299999999997</v>
      </c>
      <c r="H64" s="22">
        <f>IFERROR(IF(Yearending&gt;B63,'5. Historical demand'!F64-'5. Historical demand'!C64-'5. Historical demand'!D64,""),"")</f>
        <v>28.514999999999986</v>
      </c>
      <c r="I64" s="22">
        <f t="shared" si="2"/>
        <v>154.68799999999999</v>
      </c>
    </row>
    <row r="65" spans="2:9" x14ac:dyDescent="0.2">
      <c r="B65" s="203">
        <f t="shared" si="0"/>
        <v>45496</v>
      </c>
      <c r="C65" s="92">
        <v>536.48500000000001</v>
      </c>
      <c r="D65" s="92"/>
      <c r="E65" s="92">
        <v>433.64499999999998</v>
      </c>
      <c r="F65" s="92">
        <v>565</v>
      </c>
      <c r="G65" s="22">
        <f t="shared" si="1"/>
        <v>131.35500000000002</v>
      </c>
      <c r="H65" s="22">
        <f>IFERROR(IF(Yearending&gt;B64,'5. Historical demand'!F65-'5. Historical demand'!C65-'5. Historical demand'!D65,""),"")</f>
        <v>28.514999999999986</v>
      </c>
      <c r="I65" s="22">
        <f t="shared" si="2"/>
        <v>102.84000000000003</v>
      </c>
    </row>
    <row r="66" spans="2:9" x14ac:dyDescent="0.2">
      <c r="B66" s="203">
        <f t="shared" si="0"/>
        <v>45497</v>
      </c>
      <c r="C66" s="92">
        <v>536.48500000000001</v>
      </c>
      <c r="D66" s="92"/>
      <c r="E66" s="92">
        <v>401.13200000000001</v>
      </c>
      <c r="F66" s="92">
        <v>565</v>
      </c>
      <c r="G66" s="22">
        <f t="shared" si="1"/>
        <v>163.86799999999999</v>
      </c>
      <c r="H66" s="22">
        <f>IFERROR(IF(Yearending&gt;B65,'5. Historical demand'!F66-'5. Historical demand'!C66-'5. Historical demand'!D66,""),"")</f>
        <v>28.514999999999986</v>
      </c>
      <c r="I66" s="22">
        <f t="shared" si="2"/>
        <v>135.35300000000001</v>
      </c>
    </row>
    <row r="67" spans="2:9" x14ac:dyDescent="0.2">
      <c r="B67" s="203">
        <f t="shared" si="0"/>
        <v>45498</v>
      </c>
      <c r="C67" s="92">
        <v>536.48500000000001</v>
      </c>
      <c r="D67" s="92"/>
      <c r="E67" s="92">
        <v>367.99200000000002</v>
      </c>
      <c r="F67" s="92">
        <v>565</v>
      </c>
      <c r="G67" s="22">
        <f t="shared" si="1"/>
        <v>197.00799999999998</v>
      </c>
      <c r="H67" s="22">
        <f>IFERROR(IF(Yearending&gt;B66,'5. Historical demand'!F67-'5. Historical demand'!C67-'5. Historical demand'!D67,""),"")</f>
        <v>28.514999999999986</v>
      </c>
      <c r="I67" s="22">
        <f t="shared" si="2"/>
        <v>168.49299999999999</v>
      </c>
    </row>
    <row r="68" spans="2:9" x14ac:dyDescent="0.2">
      <c r="B68" s="203">
        <f t="shared" si="0"/>
        <v>45499</v>
      </c>
      <c r="C68" s="92">
        <v>536.48500000000001</v>
      </c>
      <c r="D68" s="92"/>
      <c r="E68" s="92">
        <v>404</v>
      </c>
      <c r="F68" s="92">
        <v>565</v>
      </c>
      <c r="G68" s="22">
        <f t="shared" si="1"/>
        <v>161</v>
      </c>
      <c r="H68" s="22">
        <f>IFERROR(IF(Yearending&gt;B67,'5. Historical demand'!F68-'5. Historical demand'!C68-'5. Historical demand'!D68,""),"")</f>
        <v>28.514999999999986</v>
      </c>
      <c r="I68" s="22">
        <f t="shared" si="2"/>
        <v>132.48500000000001</v>
      </c>
    </row>
    <row r="69" spans="2:9" x14ac:dyDescent="0.2">
      <c r="B69" s="203">
        <f t="shared" si="0"/>
        <v>45500</v>
      </c>
      <c r="C69" s="92">
        <v>536.48500000000001</v>
      </c>
      <c r="D69" s="92"/>
      <c r="E69" s="92">
        <v>331</v>
      </c>
      <c r="F69" s="92">
        <v>565</v>
      </c>
      <c r="G69" s="22">
        <f t="shared" si="1"/>
        <v>234</v>
      </c>
      <c r="H69" s="22">
        <f>IFERROR(IF(Yearending&gt;B68,'5. Historical demand'!F69-'5. Historical demand'!C69-'5. Historical demand'!D69,""),"")</f>
        <v>28.514999999999986</v>
      </c>
      <c r="I69" s="22">
        <f t="shared" si="2"/>
        <v>205.48500000000001</v>
      </c>
    </row>
    <row r="70" spans="2:9" x14ac:dyDescent="0.2">
      <c r="B70" s="203">
        <f t="shared" si="0"/>
        <v>45501</v>
      </c>
      <c r="C70" s="92">
        <v>536.48500000000001</v>
      </c>
      <c r="D70" s="92"/>
      <c r="E70" s="92">
        <v>356.49799999999999</v>
      </c>
      <c r="F70" s="92">
        <v>565</v>
      </c>
      <c r="G70" s="22">
        <f t="shared" si="1"/>
        <v>208.50200000000001</v>
      </c>
      <c r="H70" s="22">
        <f>IFERROR(IF(Yearending&gt;B69,'5. Historical demand'!F70-'5. Historical demand'!C70-'5. Historical demand'!D70,""),"")</f>
        <v>28.514999999999986</v>
      </c>
      <c r="I70" s="22">
        <f t="shared" si="2"/>
        <v>179.98700000000002</v>
      </c>
    </row>
    <row r="71" spans="2:9" x14ac:dyDescent="0.2">
      <c r="B71" s="203">
        <f t="shared" si="0"/>
        <v>45502</v>
      </c>
      <c r="C71" s="92">
        <v>536.48500000000001</v>
      </c>
      <c r="D71" s="92"/>
      <c r="E71" s="92">
        <v>319.5</v>
      </c>
      <c r="F71" s="92">
        <v>565</v>
      </c>
      <c r="G71" s="22">
        <f t="shared" si="1"/>
        <v>245.5</v>
      </c>
      <c r="H71" s="22">
        <f>IFERROR(IF(Yearending&gt;B70,'5. Historical demand'!F71-'5. Historical demand'!C71-'5. Historical demand'!D71,""),"")</f>
        <v>28.514999999999986</v>
      </c>
      <c r="I71" s="22">
        <f t="shared" si="2"/>
        <v>216.98500000000001</v>
      </c>
    </row>
    <row r="72" spans="2:9" x14ac:dyDescent="0.2">
      <c r="B72" s="203">
        <f t="shared" si="0"/>
        <v>45503</v>
      </c>
      <c r="C72" s="92">
        <v>536.48500000000001</v>
      </c>
      <c r="D72" s="92"/>
      <c r="E72" s="92">
        <v>249.99600000000001</v>
      </c>
      <c r="F72" s="92">
        <v>565</v>
      </c>
      <c r="G72" s="22">
        <f t="shared" si="1"/>
        <v>315.00400000000002</v>
      </c>
      <c r="H72" s="22">
        <f>IFERROR(IF(Yearending&gt;B71,'5. Historical demand'!F72-'5. Historical demand'!C72-'5. Historical demand'!D72,""),"")</f>
        <v>28.514999999999986</v>
      </c>
      <c r="I72" s="22">
        <f t="shared" si="2"/>
        <v>286.48900000000003</v>
      </c>
    </row>
    <row r="73" spans="2:9" x14ac:dyDescent="0.2">
      <c r="B73" s="203">
        <f t="shared" si="0"/>
        <v>45504</v>
      </c>
      <c r="C73" s="92">
        <v>536.48500000000001</v>
      </c>
      <c r="D73" s="92"/>
      <c r="E73" s="92">
        <v>315.00099999999998</v>
      </c>
      <c r="F73" s="92">
        <v>565</v>
      </c>
      <c r="G73" s="22">
        <f t="shared" si="1"/>
        <v>249.99900000000002</v>
      </c>
      <c r="H73" s="22">
        <f>IFERROR(IF(Yearending&gt;B72,'5. Historical demand'!F73-'5. Historical demand'!C73-'5. Historical demand'!D73,""),"")</f>
        <v>28.514999999999986</v>
      </c>
      <c r="I73" s="22">
        <f t="shared" si="2"/>
        <v>221.48400000000004</v>
      </c>
    </row>
    <row r="74" spans="2:9" x14ac:dyDescent="0.2">
      <c r="B74" s="203">
        <f t="shared" si="0"/>
        <v>45505</v>
      </c>
      <c r="C74" s="92">
        <v>537.53</v>
      </c>
      <c r="D74" s="92"/>
      <c r="E74" s="92">
        <v>334.49900000000002</v>
      </c>
      <c r="F74" s="92">
        <v>565</v>
      </c>
      <c r="G74" s="22">
        <f t="shared" si="1"/>
        <v>230.50099999999998</v>
      </c>
      <c r="H74" s="22">
        <f>IFERROR(IF(Yearending&gt;B73,'5. Historical demand'!F74-'5. Historical demand'!C74-'5. Historical demand'!D74,""),"")</f>
        <v>27.470000000000027</v>
      </c>
      <c r="I74" s="22">
        <f t="shared" si="2"/>
        <v>203.03099999999995</v>
      </c>
    </row>
    <row r="75" spans="2:9" x14ac:dyDescent="0.2">
      <c r="B75" s="203">
        <f t="shared" si="0"/>
        <v>45506</v>
      </c>
      <c r="C75" s="92">
        <v>537.53</v>
      </c>
      <c r="D75" s="92"/>
      <c r="E75" s="92">
        <v>310</v>
      </c>
      <c r="F75" s="92">
        <v>565</v>
      </c>
      <c r="G75" s="22">
        <f t="shared" si="1"/>
        <v>255</v>
      </c>
      <c r="H75" s="22">
        <f>IFERROR(IF(Yearending&gt;B74,'5. Historical demand'!F75-'5. Historical demand'!C75-'5. Historical demand'!D75,""),"")</f>
        <v>27.470000000000027</v>
      </c>
      <c r="I75" s="22">
        <f t="shared" si="2"/>
        <v>227.52999999999997</v>
      </c>
    </row>
    <row r="76" spans="2:9" x14ac:dyDescent="0.2">
      <c r="B76" s="203">
        <f t="shared" si="0"/>
        <v>45507</v>
      </c>
      <c r="C76" s="92">
        <v>537.53</v>
      </c>
      <c r="D76" s="92"/>
      <c r="E76" s="92">
        <v>219.76599999999999</v>
      </c>
      <c r="F76" s="92">
        <v>565</v>
      </c>
      <c r="G76" s="22">
        <f t="shared" si="1"/>
        <v>345.23400000000004</v>
      </c>
      <c r="H76" s="22">
        <f>IFERROR(IF(Yearending&gt;B75,'5. Historical demand'!F76-'5. Historical demand'!C76-'5. Historical demand'!D76,""),"")</f>
        <v>27.470000000000027</v>
      </c>
      <c r="I76" s="22">
        <f t="shared" si="2"/>
        <v>317.76400000000001</v>
      </c>
    </row>
    <row r="77" spans="2:9" x14ac:dyDescent="0.2">
      <c r="B77" s="203">
        <f t="shared" si="0"/>
        <v>45508</v>
      </c>
      <c r="C77" s="92">
        <v>537.53</v>
      </c>
      <c r="D77" s="92"/>
      <c r="E77" s="92">
        <v>186.93600000000001</v>
      </c>
      <c r="F77" s="92">
        <v>565</v>
      </c>
      <c r="G77" s="22">
        <f t="shared" si="1"/>
        <v>378.06399999999996</v>
      </c>
      <c r="H77" s="22">
        <f>IFERROR(IF(Yearending&gt;B76,'5. Historical demand'!F77-'5. Historical demand'!C77-'5. Historical demand'!D77,""),"")</f>
        <v>27.470000000000027</v>
      </c>
      <c r="I77" s="22">
        <f t="shared" si="2"/>
        <v>350.59399999999994</v>
      </c>
    </row>
    <row r="78" spans="2:9" x14ac:dyDescent="0.2">
      <c r="B78" s="203">
        <f t="shared" si="0"/>
        <v>45509</v>
      </c>
      <c r="C78" s="92">
        <v>537.53</v>
      </c>
      <c r="D78" s="92"/>
      <c r="E78" s="92">
        <v>259.87700000000001</v>
      </c>
      <c r="F78" s="92">
        <v>565</v>
      </c>
      <c r="G78" s="22">
        <f t="shared" si="1"/>
        <v>305.12299999999999</v>
      </c>
      <c r="H78" s="22">
        <f>IFERROR(IF(Yearending&gt;B77,'5. Historical demand'!F78-'5. Historical demand'!C78-'5. Historical demand'!D78,""),"")</f>
        <v>27.470000000000027</v>
      </c>
      <c r="I78" s="22">
        <f t="shared" si="2"/>
        <v>277.65299999999996</v>
      </c>
    </row>
    <row r="79" spans="2:9" x14ac:dyDescent="0.2">
      <c r="B79" s="203">
        <f t="shared" si="0"/>
        <v>45510</v>
      </c>
      <c r="C79" s="92">
        <v>537.53</v>
      </c>
      <c r="D79" s="92"/>
      <c r="E79" s="92">
        <v>274</v>
      </c>
      <c r="F79" s="92">
        <v>565</v>
      </c>
      <c r="G79" s="22">
        <f t="shared" si="1"/>
        <v>291</v>
      </c>
      <c r="H79" s="22">
        <f>IFERROR(IF(Yearending&gt;B78,'5. Historical demand'!F79-'5. Historical demand'!C79-'5. Historical demand'!D79,""),"")</f>
        <v>27.470000000000027</v>
      </c>
      <c r="I79" s="22">
        <f t="shared" si="2"/>
        <v>263.52999999999997</v>
      </c>
    </row>
    <row r="80" spans="2:9" x14ac:dyDescent="0.2">
      <c r="B80" s="203">
        <f t="shared" si="0"/>
        <v>45511</v>
      </c>
      <c r="C80" s="92">
        <v>537.53</v>
      </c>
      <c r="D80" s="92"/>
      <c r="E80" s="92">
        <v>303.99599999999998</v>
      </c>
      <c r="F80" s="92">
        <v>565</v>
      </c>
      <c r="G80" s="22">
        <f t="shared" si="1"/>
        <v>261.00400000000002</v>
      </c>
      <c r="H80" s="22">
        <f>IFERROR(IF(Yearending&gt;B79,'5. Historical demand'!F80-'5. Historical demand'!C80-'5. Historical demand'!D80,""),"")</f>
        <v>27.470000000000027</v>
      </c>
      <c r="I80" s="22">
        <f t="shared" si="2"/>
        <v>233.53399999999999</v>
      </c>
    </row>
    <row r="81" spans="2:9" x14ac:dyDescent="0.2">
      <c r="B81" s="203">
        <f t="shared" si="0"/>
        <v>45512</v>
      </c>
      <c r="C81" s="92">
        <v>537.53</v>
      </c>
      <c r="D81" s="92"/>
      <c r="E81" s="92">
        <v>270.00400000000002</v>
      </c>
      <c r="F81" s="92">
        <v>565</v>
      </c>
      <c r="G81" s="22">
        <f t="shared" si="1"/>
        <v>294.99599999999998</v>
      </c>
      <c r="H81" s="22">
        <f>IFERROR(IF(Yearending&gt;B80,'5. Historical demand'!F81-'5. Historical demand'!C81-'5. Historical demand'!D81,""),"")</f>
        <v>27.470000000000027</v>
      </c>
      <c r="I81" s="22">
        <f t="shared" si="2"/>
        <v>267.52599999999995</v>
      </c>
    </row>
    <row r="82" spans="2:9" x14ac:dyDescent="0.2">
      <c r="B82" s="203">
        <f t="shared" si="0"/>
        <v>45513</v>
      </c>
      <c r="C82" s="92">
        <v>537.53</v>
      </c>
      <c r="D82" s="92"/>
      <c r="E82" s="92">
        <v>342.15600000000001</v>
      </c>
      <c r="F82" s="92">
        <v>565</v>
      </c>
      <c r="G82" s="22">
        <f t="shared" si="1"/>
        <v>222.84399999999999</v>
      </c>
      <c r="H82" s="22">
        <f>IFERROR(IF(Yearending&gt;B81,'5. Historical demand'!F82-'5. Historical demand'!C82-'5. Historical demand'!D82,""),"")</f>
        <v>27.470000000000027</v>
      </c>
      <c r="I82" s="22">
        <f t="shared" si="2"/>
        <v>195.37399999999997</v>
      </c>
    </row>
    <row r="83" spans="2:9" x14ac:dyDescent="0.2">
      <c r="B83" s="203">
        <f t="shared" si="0"/>
        <v>45514</v>
      </c>
      <c r="C83" s="92">
        <v>537.53</v>
      </c>
      <c r="D83" s="92"/>
      <c r="E83" s="92">
        <v>258.98700000000002</v>
      </c>
      <c r="F83" s="92">
        <v>565</v>
      </c>
      <c r="G83" s="22">
        <f t="shared" si="1"/>
        <v>306.01299999999998</v>
      </c>
      <c r="H83" s="22">
        <f>IFERROR(IF(Yearending&gt;B82,'5. Historical demand'!F83-'5. Historical demand'!C83-'5. Historical demand'!D83,""),"")</f>
        <v>27.470000000000027</v>
      </c>
      <c r="I83" s="22">
        <f t="shared" si="2"/>
        <v>278.54299999999995</v>
      </c>
    </row>
    <row r="84" spans="2:9" x14ac:dyDescent="0.2">
      <c r="B84" s="203">
        <f t="shared" si="0"/>
        <v>45515</v>
      </c>
      <c r="C84" s="92">
        <v>537.53</v>
      </c>
      <c r="D84" s="92"/>
      <c r="E84" s="92">
        <v>285</v>
      </c>
      <c r="F84" s="92">
        <v>565</v>
      </c>
      <c r="G84" s="22">
        <f t="shared" si="1"/>
        <v>280</v>
      </c>
      <c r="H84" s="22">
        <f>IFERROR(IF(Yearending&gt;B83,'5. Historical demand'!F84-'5. Historical demand'!C84-'5. Historical demand'!D84,""),"")</f>
        <v>27.470000000000027</v>
      </c>
      <c r="I84" s="22">
        <f t="shared" si="2"/>
        <v>252.52999999999997</v>
      </c>
    </row>
    <row r="85" spans="2:9" x14ac:dyDescent="0.2">
      <c r="B85" s="203">
        <f t="shared" si="0"/>
        <v>45516</v>
      </c>
      <c r="C85" s="92">
        <v>537.53</v>
      </c>
      <c r="D85" s="92"/>
      <c r="E85" s="92">
        <v>289.99799999999999</v>
      </c>
      <c r="F85" s="92">
        <v>565</v>
      </c>
      <c r="G85" s="22">
        <f t="shared" si="1"/>
        <v>275.00200000000001</v>
      </c>
      <c r="H85" s="22">
        <f>IFERROR(IF(Yearending&gt;B84,'5. Historical demand'!F85-'5. Historical demand'!C85-'5. Historical demand'!D85,""),"")</f>
        <v>27.470000000000027</v>
      </c>
      <c r="I85" s="22">
        <f t="shared" si="2"/>
        <v>247.53199999999998</v>
      </c>
    </row>
    <row r="86" spans="2:9" x14ac:dyDescent="0.2">
      <c r="B86" s="203">
        <f t="shared" si="0"/>
        <v>45517</v>
      </c>
      <c r="C86" s="92">
        <v>537.53</v>
      </c>
      <c r="D86" s="92"/>
      <c r="E86" s="92">
        <v>229.99799999999999</v>
      </c>
      <c r="F86" s="92">
        <v>565</v>
      </c>
      <c r="G86" s="22">
        <f t="shared" si="1"/>
        <v>335.00200000000001</v>
      </c>
      <c r="H86" s="22">
        <f>IFERROR(IF(Yearending&gt;B85,'5. Historical demand'!F86-'5. Historical demand'!C86-'5. Historical demand'!D86,""),"")</f>
        <v>27.470000000000027</v>
      </c>
      <c r="I86" s="22">
        <f t="shared" si="2"/>
        <v>307.53199999999998</v>
      </c>
    </row>
    <row r="87" spans="2:9" x14ac:dyDescent="0.2">
      <c r="B87" s="203">
        <f t="shared" si="0"/>
        <v>45518</v>
      </c>
      <c r="C87" s="92">
        <v>537.53</v>
      </c>
      <c r="D87" s="92"/>
      <c r="E87" s="92">
        <v>259.99700000000001</v>
      </c>
      <c r="F87" s="92">
        <v>565</v>
      </c>
      <c r="G87" s="22">
        <f t="shared" si="1"/>
        <v>305.00299999999999</v>
      </c>
      <c r="H87" s="22">
        <f>IFERROR(IF(Yearending&gt;B86,'5. Historical demand'!F87-'5. Historical demand'!C87-'5. Historical demand'!D87,""),"")</f>
        <v>27.470000000000027</v>
      </c>
      <c r="I87" s="22">
        <f t="shared" si="2"/>
        <v>277.53299999999996</v>
      </c>
    </row>
    <row r="88" spans="2:9" x14ac:dyDescent="0.2">
      <c r="B88" s="203">
        <f t="shared" si="0"/>
        <v>45519</v>
      </c>
      <c r="C88" s="92">
        <v>537.53</v>
      </c>
      <c r="D88" s="92"/>
      <c r="E88" s="92">
        <v>245.12</v>
      </c>
      <c r="F88" s="92">
        <v>565</v>
      </c>
      <c r="G88" s="22">
        <f t="shared" si="1"/>
        <v>319.88</v>
      </c>
      <c r="H88" s="22">
        <f>IFERROR(IF(Yearending&gt;B87,'5. Historical demand'!F88-'5. Historical demand'!C88-'5. Historical demand'!D88,""),"")</f>
        <v>27.470000000000027</v>
      </c>
      <c r="I88" s="22">
        <f t="shared" si="2"/>
        <v>292.40999999999997</v>
      </c>
    </row>
    <row r="89" spans="2:9" x14ac:dyDescent="0.2">
      <c r="B89" s="203">
        <f t="shared" si="0"/>
        <v>45520</v>
      </c>
      <c r="C89" s="92">
        <v>537.53</v>
      </c>
      <c r="D89" s="92"/>
      <c r="E89" s="92">
        <v>178.16800000000001</v>
      </c>
      <c r="F89" s="92">
        <v>565</v>
      </c>
      <c r="G89" s="22">
        <f t="shared" si="1"/>
        <v>386.83199999999999</v>
      </c>
      <c r="H89" s="22">
        <f>IFERROR(IF(Yearending&gt;B88,'5. Historical demand'!F89-'5. Historical demand'!C89-'5. Historical demand'!D89,""),"")</f>
        <v>27.470000000000027</v>
      </c>
      <c r="I89" s="22">
        <f t="shared" si="2"/>
        <v>359.36199999999997</v>
      </c>
    </row>
    <row r="90" spans="2:9" x14ac:dyDescent="0.2">
      <c r="B90" s="203">
        <f t="shared" si="0"/>
        <v>45521</v>
      </c>
      <c r="C90" s="92">
        <v>537.53</v>
      </c>
      <c r="D90" s="92"/>
      <c r="E90" s="92">
        <v>125.08799999999999</v>
      </c>
      <c r="F90" s="92">
        <v>565</v>
      </c>
      <c r="G90" s="22">
        <f t="shared" si="1"/>
        <v>439.91200000000003</v>
      </c>
      <c r="H90" s="22">
        <f>IFERROR(IF(Yearending&gt;B89,'5. Historical demand'!F90-'5. Historical demand'!C90-'5. Historical demand'!D90,""),"")</f>
        <v>27.470000000000027</v>
      </c>
      <c r="I90" s="22">
        <f t="shared" si="2"/>
        <v>412.44200000000001</v>
      </c>
    </row>
    <row r="91" spans="2:9" x14ac:dyDescent="0.2">
      <c r="B91" s="203">
        <f t="shared" si="0"/>
        <v>45522</v>
      </c>
      <c r="C91" s="92">
        <v>537.53</v>
      </c>
      <c r="D91" s="92"/>
      <c r="E91" s="92">
        <v>131.637</v>
      </c>
      <c r="F91" s="92">
        <v>565</v>
      </c>
      <c r="G91" s="22">
        <f t="shared" si="1"/>
        <v>433.363</v>
      </c>
      <c r="H91" s="22">
        <f>IFERROR(IF(Yearending&gt;B90,'5. Historical demand'!F91-'5. Historical demand'!C91-'5. Historical demand'!D91,""),"")</f>
        <v>27.470000000000027</v>
      </c>
      <c r="I91" s="22">
        <f t="shared" si="2"/>
        <v>405.89299999999997</v>
      </c>
    </row>
    <row r="92" spans="2:9" x14ac:dyDescent="0.2">
      <c r="B92" s="203">
        <f t="shared" si="0"/>
        <v>45523</v>
      </c>
      <c r="C92" s="92">
        <v>537.53</v>
      </c>
      <c r="D92" s="92"/>
      <c r="E92" s="92">
        <v>402.00799999999998</v>
      </c>
      <c r="F92" s="92">
        <v>565</v>
      </c>
      <c r="G92" s="22">
        <f t="shared" si="1"/>
        <v>162.99200000000002</v>
      </c>
      <c r="H92" s="22">
        <f>IFERROR(IF(Yearending&gt;B91,'5. Historical demand'!F92-'5. Historical demand'!C92-'5. Historical demand'!D92,""),"")</f>
        <v>27.470000000000027</v>
      </c>
      <c r="I92" s="22">
        <f t="shared" si="2"/>
        <v>135.52199999999999</v>
      </c>
    </row>
    <row r="93" spans="2:9" x14ac:dyDescent="0.2">
      <c r="B93" s="203">
        <f t="shared" si="0"/>
        <v>45524</v>
      </c>
      <c r="C93" s="92">
        <v>537.53</v>
      </c>
      <c r="D93" s="92"/>
      <c r="E93" s="92">
        <v>248</v>
      </c>
      <c r="F93" s="92">
        <v>565</v>
      </c>
      <c r="G93" s="22">
        <f t="shared" si="1"/>
        <v>317</v>
      </c>
      <c r="H93" s="22">
        <f>IFERROR(IF(Yearending&gt;B92,'5. Historical demand'!F93-'5. Historical demand'!C93-'5. Historical demand'!D93,""),"")</f>
        <v>27.470000000000027</v>
      </c>
      <c r="I93" s="22">
        <f t="shared" si="2"/>
        <v>289.52999999999997</v>
      </c>
    </row>
    <row r="94" spans="2:9" x14ac:dyDescent="0.2">
      <c r="B94" s="203">
        <f t="shared" si="0"/>
        <v>45525</v>
      </c>
      <c r="C94" s="92">
        <v>537.53</v>
      </c>
      <c r="D94" s="92"/>
      <c r="E94" s="92">
        <v>231.99600000000001</v>
      </c>
      <c r="F94" s="92">
        <v>565</v>
      </c>
      <c r="G94" s="22">
        <f t="shared" si="1"/>
        <v>333.00400000000002</v>
      </c>
      <c r="H94" s="22">
        <f>IFERROR(IF(Yearending&gt;B93,'5. Historical demand'!F94-'5. Historical demand'!C94-'5. Historical demand'!D94,""),"")</f>
        <v>27.470000000000027</v>
      </c>
      <c r="I94" s="22">
        <f t="shared" si="2"/>
        <v>305.53399999999999</v>
      </c>
    </row>
    <row r="95" spans="2:9" x14ac:dyDescent="0.2">
      <c r="B95" s="203">
        <f t="shared" si="0"/>
        <v>45526</v>
      </c>
      <c r="C95" s="92">
        <v>537.53</v>
      </c>
      <c r="D95" s="92"/>
      <c r="E95" s="92">
        <v>246.49299999999999</v>
      </c>
      <c r="F95" s="92">
        <v>565</v>
      </c>
      <c r="G95" s="22">
        <f t="shared" si="1"/>
        <v>318.50700000000001</v>
      </c>
      <c r="H95" s="22">
        <f>IFERROR(IF(Yearending&gt;B94,'5. Historical demand'!F95-'5. Historical demand'!C95-'5. Historical demand'!D95,""),"")</f>
        <v>27.470000000000027</v>
      </c>
      <c r="I95" s="22">
        <f t="shared" si="2"/>
        <v>291.03699999999998</v>
      </c>
    </row>
    <row r="96" spans="2:9" x14ac:dyDescent="0.2">
      <c r="B96" s="203">
        <f t="shared" si="0"/>
        <v>45527</v>
      </c>
      <c r="C96" s="92">
        <v>537.53</v>
      </c>
      <c r="D96" s="92"/>
      <c r="E96" s="92">
        <v>204.548</v>
      </c>
      <c r="F96" s="92">
        <v>565</v>
      </c>
      <c r="G96" s="22">
        <f t="shared" si="1"/>
        <v>360.452</v>
      </c>
      <c r="H96" s="22">
        <f>IFERROR(IF(Yearending&gt;B95,'5. Historical demand'!F96-'5. Historical demand'!C96-'5. Historical demand'!D96,""),"")</f>
        <v>27.470000000000027</v>
      </c>
      <c r="I96" s="22">
        <f t="shared" si="2"/>
        <v>332.98199999999997</v>
      </c>
    </row>
    <row r="97" spans="2:9" x14ac:dyDescent="0.2">
      <c r="B97" s="203">
        <f t="shared" si="0"/>
        <v>45528</v>
      </c>
      <c r="C97" s="92">
        <v>537.53</v>
      </c>
      <c r="D97" s="92"/>
      <c r="E97" s="92">
        <v>17.239000000000001</v>
      </c>
      <c r="F97" s="92">
        <v>565</v>
      </c>
      <c r="G97" s="22">
        <f t="shared" si="1"/>
        <v>547.76099999999997</v>
      </c>
      <c r="H97" s="22">
        <f>IFERROR(IF(Yearending&gt;B96,'5. Historical demand'!F97-'5. Historical demand'!C97-'5. Historical demand'!D97,""),"")</f>
        <v>27.470000000000027</v>
      </c>
      <c r="I97" s="22">
        <f t="shared" si="2"/>
        <v>520.29099999999994</v>
      </c>
    </row>
    <row r="98" spans="2:9" x14ac:dyDescent="0.2">
      <c r="B98" s="203">
        <f t="shared" si="0"/>
        <v>45529</v>
      </c>
      <c r="C98" s="92">
        <v>537.53</v>
      </c>
      <c r="D98" s="92"/>
      <c r="E98" s="92">
        <v>11.667999999999999</v>
      </c>
      <c r="F98" s="92">
        <v>565</v>
      </c>
      <c r="G98" s="22">
        <f t="shared" si="1"/>
        <v>553.33199999999999</v>
      </c>
      <c r="H98" s="22">
        <f>IFERROR(IF(Yearending&gt;B97,'5. Historical demand'!F98-'5. Historical demand'!C98-'5. Historical demand'!D98,""),"")</f>
        <v>27.470000000000027</v>
      </c>
      <c r="I98" s="22">
        <f t="shared" si="2"/>
        <v>525.86199999999997</v>
      </c>
    </row>
    <row r="99" spans="2:9" x14ac:dyDescent="0.2">
      <c r="B99" s="203">
        <f t="shared" si="0"/>
        <v>45530</v>
      </c>
      <c r="C99" s="92">
        <v>537.53</v>
      </c>
      <c r="D99" s="92"/>
      <c r="E99" s="92">
        <v>188.149</v>
      </c>
      <c r="F99" s="92">
        <v>565</v>
      </c>
      <c r="G99" s="22">
        <f t="shared" si="1"/>
        <v>376.851</v>
      </c>
      <c r="H99" s="22">
        <f>IFERROR(IF(Yearending&gt;B98,'5. Historical demand'!F99-'5. Historical demand'!C99-'5. Historical demand'!D99,""),"")</f>
        <v>27.470000000000027</v>
      </c>
      <c r="I99" s="22">
        <f t="shared" si="2"/>
        <v>349.38099999999997</v>
      </c>
    </row>
    <row r="100" spans="2:9" x14ac:dyDescent="0.2">
      <c r="B100" s="203">
        <f t="shared" si="0"/>
        <v>45531</v>
      </c>
      <c r="C100" s="92">
        <v>537.53</v>
      </c>
      <c r="D100" s="92"/>
      <c r="E100" s="92">
        <v>215.7</v>
      </c>
      <c r="F100" s="92">
        <v>565</v>
      </c>
      <c r="G100" s="22">
        <f t="shared" si="1"/>
        <v>349.3</v>
      </c>
      <c r="H100" s="22">
        <f>IFERROR(IF(Yearending&gt;B99,'5. Historical demand'!F100-'5. Historical demand'!C100-'5. Historical demand'!D100,""),"")</f>
        <v>27.470000000000027</v>
      </c>
      <c r="I100" s="22">
        <f t="shared" si="2"/>
        <v>321.83</v>
      </c>
    </row>
    <row r="101" spans="2:9" x14ac:dyDescent="0.2">
      <c r="B101" s="203">
        <f t="shared" si="0"/>
        <v>45532</v>
      </c>
      <c r="C101" s="92">
        <v>537.53</v>
      </c>
      <c r="D101" s="92"/>
      <c r="E101" s="92">
        <v>78.188999999999993</v>
      </c>
      <c r="F101" s="92">
        <v>565</v>
      </c>
      <c r="G101" s="22">
        <f t="shared" si="1"/>
        <v>486.81100000000004</v>
      </c>
      <c r="H101" s="22">
        <f>IFERROR(IF(Yearending&gt;B100,'5. Historical demand'!F101-'5. Historical demand'!C101-'5. Historical demand'!D101,""),"")</f>
        <v>27.470000000000027</v>
      </c>
      <c r="I101" s="22">
        <f t="shared" si="2"/>
        <v>459.34100000000001</v>
      </c>
    </row>
    <row r="102" spans="2:9" x14ac:dyDescent="0.2">
      <c r="B102" s="203">
        <f t="shared" si="0"/>
        <v>45533</v>
      </c>
      <c r="C102" s="92">
        <v>537.53</v>
      </c>
      <c r="D102" s="92"/>
      <c r="E102" s="92">
        <v>197.15899999999999</v>
      </c>
      <c r="F102" s="92">
        <v>565</v>
      </c>
      <c r="G102" s="22">
        <f t="shared" si="1"/>
        <v>367.84100000000001</v>
      </c>
      <c r="H102" s="22">
        <f>IFERROR(IF(Yearending&gt;B101,'5. Historical demand'!F102-'5. Historical demand'!C102-'5. Historical demand'!D102,""),"")</f>
        <v>27.470000000000027</v>
      </c>
      <c r="I102" s="22">
        <f t="shared" si="2"/>
        <v>340.37099999999998</v>
      </c>
    </row>
    <row r="103" spans="2:9" x14ac:dyDescent="0.2">
      <c r="B103" s="203">
        <f t="shared" si="0"/>
        <v>45534</v>
      </c>
      <c r="C103" s="92">
        <v>537.53</v>
      </c>
      <c r="D103" s="92"/>
      <c r="E103" s="92">
        <v>168.21799999999999</v>
      </c>
      <c r="F103" s="92">
        <v>565</v>
      </c>
      <c r="G103" s="22">
        <f t="shared" si="1"/>
        <v>396.78200000000004</v>
      </c>
      <c r="H103" s="22">
        <f>IFERROR(IF(Yearending&gt;B102,'5. Historical demand'!F103-'5. Historical demand'!C103-'5. Historical demand'!D103,""),"")</f>
        <v>27.470000000000027</v>
      </c>
      <c r="I103" s="22">
        <f t="shared" si="2"/>
        <v>369.31200000000001</v>
      </c>
    </row>
    <row r="104" spans="2:9" x14ac:dyDescent="0.2">
      <c r="B104" s="203">
        <f t="shared" si="0"/>
        <v>45535</v>
      </c>
      <c r="C104" s="92">
        <v>537.53</v>
      </c>
      <c r="D104" s="92"/>
      <c r="E104" s="92">
        <v>20.181000000000001</v>
      </c>
      <c r="F104" s="92">
        <v>565</v>
      </c>
      <c r="G104" s="22">
        <f t="shared" si="1"/>
        <v>544.81899999999996</v>
      </c>
      <c r="H104" s="22">
        <f>IFERROR(IF(Yearending&gt;B103,'5. Historical demand'!F104-'5. Historical demand'!C104-'5. Historical demand'!D104,""),"")</f>
        <v>27.470000000000027</v>
      </c>
      <c r="I104" s="22">
        <f t="shared" si="2"/>
        <v>517.34899999999993</v>
      </c>
    </row>
    <row r="105" spans="2:9" x14ac:dyDescent="0.2">
      <c r="B105" s="203">
        <f t="shared" si="0"/>
        <v>45536</v>
      </c>
      <c r="C105" s="92">
        <v>527.53</v>
      </c>
      <c r="D105" s="92"/>
      <c r="E105" s="92">
        <v>57.899000000000001</v>
      </c>
      <c r="F105" s="92">
        <v>565</v>
      </c>
      <c r="G105" s="22">
        <f t="shared" si="1"/>
        <v>507.101</v>
      </c>
      <c r="H105" s="22">
        <f>IFERROR(IF(Yearending&gt;B104,'5. Historical demand'!F105-'5. Historical demand'!C105-'5. Historical demand'!D105,""),"")</f>
        <v>37.470000000000027</v>
      </c>
      <c r="I105" s="22">
        <f t="shared" si="2"/>
        <v>469.63099999999997</v>
      </c>
    </row>
    <row r="106" spans="2:9" x14ac:dyDescent="0.2">
      <c r="B106" s="203">
        <f t="shared" si="0"/>
        <v>45537</v>
      </c>
      <c r="C106" s="92">
        <v>527.53</v>
      </c>
      <c r="D106" s="92"/>
      <c r="E106" s="92">
        <v>301.995</v>
      </c>
      <c r="F106" s="92">
        <v>565</v>
      </c>
      <c r="G106" s="22">
        <f t="shared" si="1"/>
        <v>263.005</v>
      </c>
      <c r="H106" s="22">
        <f>IFERROR(IF(Yearending&gt;B105,'5. Historical demand'!F106-'5. Historical demand'!C106-'5. Historical demand'!D106,""),"")</f>
        <v>37.470000000000027</v>
      </c>
      <c r="I106" s="22">
        <f t="shared" si="2"/>
        <v>225.53499999999997</v>
      </c>
    </row>
    <row r="107" spans="2:9" x14ac:dyDescent="0.2">
      <c r="B107" s="203">
        <f t="shared" si="0"/>
        <v>45538</v>
      </c>
      <c r="C107" s="92">
        <v>527.53</v>
      </c>
      <c r="D107" s="92"/>
      <c r="E107" s="92">
        <v>243.999</v>
      </c>
      <c r="F107" s="92">
        <v>565</v>
      </c>
      <c r="G107" s="22">
        <f t="shared" si="1"/>
        <v>321.00099999999998</v>
      </c>
      <c r="H107" s="22">
        <f>IFERROR(IF(Yearending&gt;B106,'5. Historical demand'!F107-'5. Historical demand'!C107-'5. Historical demand'!D107,""),"")</f>
        <v>37.470000000000027</v>
      </c>
      <c r="I107" s="22">
        <f t="shared" si="2"/>
        <v>283.53099999999995</v>
      </c>
    </row>
    <row r="108" spans="2:9" x14ac:dyDescent="0.2">
      <c r="B108" s="203">
        <f t="shared" ref="B108:B171" si="3">IFERROR(IF(Yearending&gt;B107, B107+1, ""),"")</f>
        <v>45539</v>
      </c>
      <c r="C108" s="92">
        <v>527.53</v>
      </c>
      <c r="D108" s="92"/>
      <c r="E108" s="92">
        <v>242.499</v>
      </c>
      <c r="F108" s="92">
        <v>565</v>
      </c>
      <c r="G108" s="22">
        <f t="shared" ref="G108:G171" si="4">IFERROR(IF(Yearending&gt;B107,F108-E108,""),"")</f>
        <v>322.50099999999998</v>
      </c>
      <c r="H108" s="22">
        <f>IFERROR(IF(Yearending&gt;B107,'5. Historical demand'!F108-'5. Historical demand'!C108-'5. Historical demand'!D108,""),"")</f>
        <v>37.470000000000027</v>
      </c>
      <c r="I108" s="22">
        <f t="shared" ref="I108:I171" si="5">IFERROR(IF(Yearending&gt;B107,C108+D108-E108,""),"")</f>
        <v>285.03099999999995</v>
      </c>
    </row>
    <row r="109" spans="2:9" x14ac:dyDescent="0.2">
      <c r="B109" s="203">
        <f t="shared" si="3"/>
        <v>45540</v>
      </c>
      <c r="C109" s="92">
        <v>527.53</v>
      </c>
      <c r="D109" s="92"/>
      <c r="E109" s="92">
        <v>202.24600000000001</v>
      </c>
      <c r="F109" s="92">
        <v>565</v>
      </c>
      <c r="G109" s="22">
        <f t="shared" si="4"/>
        <v>362.75400000000002</v>
      </c>
      <c r="H109" s="22">
        <f>IFERROR(IF(Yearending&gt;B108,'5. Historical demand'!F109-'5. Historical demand'!C109-'5. Historical demand'!D109,""),"")</f>
        <v>37.470000000000027</v>
      </c>
      <c r="I109" s="22">
        <f t="shared" si="5"/>
        <v>325.28399999999999</v>
      </c>
    </row>
    <row r="110" spans="2:9" x14ac:dyDescent="0.2">
      <c r="B110" s="203">
        <f t="shared" si="3"/>
        <v>45541</v>
      </c>
      <c r="C110" s="92">
        <v>527.53</v>
      </c>
      <c r="D110" s="92"/>
      <c r="E110" s="92">
        <v>147.001</v>
      </c>
      <c r="F110" s="92">
        <v>565</v>
      </c>
      <c r="G110" s="22">
        <f t="shared" si="4"/>
        <v>417.99900000000002</v>
      </c>
      <c r="H110" s="22">
        <f>IFERROR(IF(Yearending&gt;B109,'5. Historical demand'!F110-'5. Historical demand'!C110-'5. Historical demand'!D110,""),"")</f>
        <v>37.470000000000027</v>
      </c>
      <c r="I110" s="22">
        <f t="shared" si="5"/>
        <v>380.529</v>
      </c>
    </row>
    <row r="111" spans="2:9" x14ac:dyDescent="0.2">
      <c r="B111" s="203">
        <f t="shared" si="3"/>
        <v>45542</v>
      </c>
      <c r="C111" s="92">
        <v>527.53</v>
      </c>
      <c r="D111" s="92"/>
      <c r="E111" s="92">
        <v>127.104</v>
      </c>
      <c r="F111" s="92">
        <v>565</v>
      </c>
      <c r="G111" s="22">
        <f t="shared" si="4"/>
        <v>437.89600000000002</v>
      </c>
      <c r="H111" s="22">
        <f>IFERROR(IF(Yearending&gt;B110,'5. Historical demand'!F111-'5. Historical demand'!C111-'5. Historical demand'!D111,""),"")</f>
        <v>37.470000000000027</v>
      </c>
      <c r="I111" s="22">
        <f t="shared" si="5"/>
        <v>400.42599999999999</v>
      </c>
    </row>
    <row r="112" spans="2:9" x14ac:dyDescent="0.2">
      <c r="B112" s="203">
        <f t="shared" si="3"/>
        <v>45543</v>
      </c>
      <c r="C112" s="92">
        <v>527.53</v>
      </c>
      <c r="D112" s="92"/>
      <c r="E112" s="92">
        <v>173.15299999999999</v>
      </c>
      <c r="F112" s="92">
        <v>565</v>
      </c>
      <c r="G112" s="22">
        <f t="shared" si="4"/>
        <v>391.84699999999998</v>
      </c>
      <c r="H112" s="22">
        <f>IFERROR(IF(Yearending&gt;B111,'5. Historical demand'!F112-'5. Historical demand'!C112-'5. Historical demand'!D112,""),"")</f>
        <v>37.470000000000027</v>
      </c>
      <c r="I112" s="22">
        <f t="shared" si="5"/>
        <v>354.37699999999995</v>
      </c>
    </row>
    <row r="113" spans="2:9" x14ac:dyDescent="0.2">
      <c r="B113" s="203">
        <f t="shared" si="3"/>
        <v>45544</v>
      </c>
      <c r="C113" s="92">
        <v>527.53</v>
      </c>
      <c r="D113" s="92"/>
      <c r="E113" s="92">
        <v>152.01900000000001</v>
      </c>
      <c r="F113" s="92">
        <v>565</v>
      </c>
      <c r="G113" s="22">
        <f t="shared" si="4"/>
        <v>412.98099999999999</v>
      </c>
      <c r="H113" s="22">
        <f>IFERROR(IF(Yearending&gt;B112,'5. Historical demand'!F113-'5. Historical demand'!C113-'5. Historical demand'!D113,""),"")</f>
        <v>37.470000000000027</v>
      </c>
      <c r="I113" s="22">
        <f t="shared" si="5"/>
        <v>375.51099999999997</v>
      </c>
    </row>
    <row r="114" spans="2:9" x14ac:dyDescent="0.2">
      <c r="B114" s="203">
        <f t="shared" si="3"/>
        <v>45545</v>
      </c>
      <c r="C114" s="92">
        <v>527.53</v>
      </c>
      <c r="D114" s="92"/>
      <c r="E114" s="92">
        <v>155.517</v>
      </c>
      <c r="F114" s="92">
        <v>565</v>
      </c>
      <c r="G114" s="22">
        <f t="shared" si="4"/>
        <v>409.483</v>
      </c>
      <c r="H114" s="22">
        <f>IFERROR(IF(Yearending&gt;B113,'5. Historical demand'!F114-'5. Historical demand'!C114-'5. Historical demand'!D114,""),"")</f>
        <v>37.470000000000027</v>
      </c>
      <c r="I114" s="22">
        <f t="shared" si="5"/>
        <v>372.01299999999998</v>
      </c>
    </row>
    <row r="115" spans="2:9" x14ac:dyDescent="0.2">
      <c r="B115" s="203">
        <f t="shared" si="3"/>
        <v>45546</v>
      </c>
      <c r="C115" s="92">
        <v>527.53</v>
      </c>
      <c r="D115" s="92"/>
      <c r="E115" s="92">
        <v>102.30500000000001</v>
      </c>
      <c r="F115" s="92">
        <v>565</v>
      </c>
      <c r="G115" s="22">
        <f t="shared" si="4"/>
        <v>462.69499999999999</v>
      </c>
      <c r="H115" s="22">
        <f>IFERROR(IF(Yearending&gt;B114,'5. Historical demand'!F115-'5. Historical demand'!C115-'5. Historical demand'!D115,""),"")</f>
        <v>37.470000000000027</v>
      </c>
      <c r="I115" s="22">
        <f t="shared" si="5"/>
        <v>425.22499999999997</v>
      </c>
    </row>
    <row r="116" spans="2:9" x14ac:dyDescent="0.2">
      <c r="B116" s="203">
        <f t="shared" si="3"/>
        <v>45547</v>
      </c>
      <c r="C116" s="92">
        <v>527.53</v>
      </c>
      <c r="D116" s="92"/>
      <c r="E116" s="92">
        <v>196.89599999999999</v>
      </c>
      <c r="F116" s="92">
        <v>565</v>
      </c>
      <c r="G116" s="22">
        <f t="shared" si="4"/>
        <v>368.10400000000004</v>
      </c>
      <c r="H116" s="22">
        <f>IFERROR(IF(Yearending&gt;B115,'5. Historical demand'!F116-'5. Historical demand'!C116-'5. Historical demand'!D116,""),"")</f>
        <v>37.470000000000027</v>
      </c>
      <c r="I116" s="22">
        <f t="shared" si="5"/>
        <v>330.63400000000001</v>
      </c>
    </row>
    <row r="117" spans="2:9" x14ac:dyDescent="0.2">
      <c r="B117" s="203">
        <f t="shared" si="3"/>
        <v>45548</v>
      </c>
      <c r="C117" s="92">
        <v>527.53</v>
      </c>
      <c r="D117" s="92"/>
      <c r="E117" s="92">
        <v>220.06899999999999</v>
      </c>
      <c r="F117" s="92">
        <v>565</v>
      </c>
      <c r="G117" s="22">
        <f t="shared" si="4"/>
        <v>344.93100000000004</v>
      </c>
      <c r="H117" s="22">
        <f>IFERROR(IF(Yearending&gt;B116,'5. Historical demand'!F117-'5. Historical demand'!C117-'5. Historical demand'!D117,""),"")</f>
        <v>37.470000000000027</v>
      </c>
      <c r="I117" s="22">
        <f t="shared" si="5"/>
        <v>307.46100000000001</v>
      </c>
    </row>
    <row r="118" spans="2:9" x14ac:dyDescent="0.2">
      <c r="B118" s="203">
        <f t="shared" si="3"/>
        <v>45549</v>
      </c>
      <c r="C118" s="92">
        <v>527.53</v>
      </c>
      <c r="D118" s="92"/>
      <c r="E118" s="92">
        <v>5.8419999999999996</v>
      </c>
      <c r="F118" s="92">
        <v>565</v>
      </c>
      <c r="G118" s="22">
        <f t="shared" si="4"/>
        <v>559.15800000000002</v>
      </c>
      <c r="H118" s="22">
        <f>IFERROR(IF(Yearending&gt;B117,'5. Historical demand'!F118-'5. Historical demand'!C118-'5. Historical demand'!D118,""),"")</f>
        <v>37.470000000000027</v>
      </c>
      <c r="I118" s="22">
        <f t="shared" si="5"/>
        <v>521.68799999999999</v>
      </c>
    </row>
    <row r="119" spans="2:9" x14ac:dyDescent="0.2">
      <c r="B119" s="203">
        <f t="shared" si="3"/>
        <v>45550</v>
      </c>
      <c r="C119" s="92">
        <v>527.53</v>
      </c>
      <c r="D119" s="92"/>
      <c r="E119" s="92">
        <v>151.78299999999999</v>
      </c>
      <c r="F119" s="92">
        <v>565</v>
      </c>
      <c r="G119" s="22">
        <f t="shared" si="4"/>
        <v>413.21699999999998</v>
      </c>
      <c r="H119" s="22">
        <f>IFERROR(IF(Yearending&gt;B118,'5. Historical demand'!F119-'5. Historical demand'!C119-'5. Historical demand'!D119,""),"")</f>
        <v>37.470000000000027</v>
      </c>
      <c r="I119" s="22">
        <f t="shared" si="5"/>
        <v>375.74699999999996</v>
      </c>
    </row>
    <row r="120" spans="2:9" x14ac:dyDescent="0.2">
      <c r="B120" s="203">
        <f t="shared" si="3"/>
        <v>45551</v>
      </c>
      <c r="C120" s="92">
        <v>527.53</v>
      </c>
      <c r="D120" s="92"/>
      <c r="E120" s="92">
        <v>232.495</v>
      </c>
      <c r="F120" s="92">
        <v>565</v>
      </c>
      <c r="G120" s="22">
        <f t="shared" si="4"/>
        <v>332.505</v>
      </c>
      <c r="H120" s="22">
        <f>IFERROR(IF(Yearending&gt;B119,'5. Historical demand'!F120-'5. Historical demand'!C120-'5. Historical demand'!D120,""),"")</f>
        <v>37.470000000000027</v>
      </c>
      <c r="I120" s="22">
        <f t="shared" si="5"/>
        <v>295.03499999999997</v>
      </c>
    </row>
    <row r="121" spans="2:9" x14ac:dyDescent="0.2">
      <c r="B121" s="203">
        <f t="shared" si="3"/>
        <v>45552</v>
      </c>
      <c r="C121" s="92">
        <v>527.53</v>
      </c>
      <c r="D121" s="92"/>
      <c r="E121" s="92">
        <v>211.81200000000001</v>
      </c>
      <c r="F121" s="92">
        <v>565</v>
      </c>
      <c r="G121" s="22">
        <f t="shared" si="4"/>
        <v>353.18799999999999</v>
      </c>
      <c r="H121" s="22">
        <f>IFERROR(IF(Yearending&gt;B120,'5. Historical demand'!F121-'5. Historical demand'!C121-'5. Historical demand'!D121,""),"")</f>
        <v>37.470000000000027</v>
      </c>
      <c r="I121" s="22">
        <f t="shared" si="5"/>
        <v>315.71799999999996</v>
      </c>
    </row>
    <row r="122" spans="2:9" x14ac:dyDescent="0.2">
      <c r="B122" s="203">
        <f t="shared" si="3"/>
        <v>45553</v>
      </c>
      <c r="C122" s="92">
        <v>527.53</v>
      </c>
      <c r="D122" s="92"/>
      <c r="E122" s="92">
        <v>178.33</v>
      </c>
      <c r="F122" s="92">
        <v>565</v>
      </c>
      <c r="G122" s="22">
        <f t="shared" si="4"/>
        <v>386.66999999999996</v>
      </c>
      <c r="H122" s="22">
        <f>IFERROR(IF(Yearending&gt;B121,'5. Historical demand'!F122-'5. Historical demand'!C122-'5. Historical demand'!D122,""),"")</f>
        <v>37.470000000000027</v>
      </c>
      <c r="I122" s="22">
        <f t="shared" si="5"/>
        <v>349.19999999999993</v>
      </c>
    </row>
    <row r="123" spans="2:9" x14ac:dyDescent="0.2">
      <c r="B123" s="203">
        <f t="shared" si="3"/>
        <v>45554</v>
      </c>
      <c r="C123" s="92">
        <v>527.53</v>
      </c>
      <c r="D123" s="92"/>
      <c r="E123" s="92">
        <v>179.50899999999999</v>
      </c>
      <c r="F123" s="92">
        <v>565</v>
      </c>
      <c r="G123" s="22">
        <f t="shared" si="4"/>
        <v>385.49099999999999</v>
      </c>
      <c r="H123" s="22">
        <f>IFERROR(IF(Yearending&gt;B122,'5. Historical demand'!F123-'5. Historical demand'!C123-'5. Historical demand'!D123,""),"")</f>
        <v>37.470000000000027</v>
      </c>
      <c r="I123" s="22">
        <f t="shared" si="5"/>
        <v>348.02099999999996</v>
      </c>
    </row>
    <row r="124" spans="2:9" x14ac:dyDescent="0.2">
      <c r="B124" s="203">
        <f t="shared" si="3"/>
        <v>45555</v>
      </c>
      <c r="C124" s="92">
        <v>527.53</v>
      </c>
      <c r="D124" s="92"/>
      <c r="E124" s="92">
        <v>165.47</v>
      </c>
      <c r="F124" s="92">
        <v>565</v>
      </c>
      <c r="G124" s="22">
        <f t="shared" si="4"/>
        <v>399.53</v>
      </c>
      <c r="H124" s="22">
        <f>IFERROR(IF(Yearending&gt;B123,'5. Historical demand'!F124-'5. Historical demand'!C124-'5. Historical demand'!D124,""),"")</f>
        <v>37.470000000000027</v>
      </c>
      <c r="I124" s="22">
        <f t="shared" si="5"/>
        <v>362.05999999999995</v>
      </c>
    </row>
    <row r="125" spans="2:9" x14ac:dyDescent="0.2">
      <c r="B125" s="203">
        <f t="shared" si="3"/>
        <v>45556</v>
      </c>
      <c r="C125" s="92">
        <v>527.53</v>
      </c>
      <c r="D125" s="92"/>
      <c r="E125" s="92">
        <v>130.75299999999999</v>
      </c>
      <c r="F125" s="92">
        <v>565</v>
      </c>
      <c r="G125" s="22">
        <f t="shared" si="4"/>
        <v>434.24700000000001</v>
      </c>
      <c r="H125" s="22">
        <f>IFERROR(IF(Yearending&gt;B124,'5. Historical demand'!F125-'5. Historical demand'!C125-'5. Historical demand'!D125,""),"")</f>
        <v>37.470000000000027</v>
      </c>
      <c r="I125" s="22">
        <f t="shared" si="5"/>
        <v>396.77699999999999</v>
      </c>
    </row>
    <row r="126" spans="2:9" x14ac:dyDescent="0.2">
      <c r="B126" s="203">
        <f t="shared" si="3"/>
        <v>45557</v>
      </c>
      <c r="C126" s="92">
        <v>527.53</v>
      </c>
      <c r="D126" s="92"/>
      <c r="E126" s="92">
        <v>138.27099999999999</v>
      </c>
      <c r="F126" s="92">
        <v>565</v>
      </c>
      <c r="G126" s="22">
        <f t="shared" si="4"/>
        <v>426.72900000000004</v>
      </c>
      <c r="H126" s="22">
        <f>IFERROR(IF(Yearending&gt;B125,'5. Historical demand'!F126-'5. Historical demand'!C126-'5. Historical demand'!D126,""),"")</f>
        <v>37.470000000000027</v>
      </c>
      <c r="I126" s="22">
        <f t="shared" si="5"/>
        <v>389.25900000000001</v>
      </c>
    </row>
    <row r="127" spans="2:9" x14ac:dyDescent="0.2">
      <c r="B127" s="203">
        <f t="shared" si="3"/>
        <v>45558</v>
      </c>
      <c r="C127" s="92">
        <v>527.53</v>
      </c>
      <c r="D127" s="92"/>
      <c r="E127" s="92">
        <v>82.534000000000006</v>
      </c>
      <c r="F127" s="92">
        <v>565</v>
      </c>
      <c r="G127" s="22">
        <f t="shared" si="4"/>
        <v>482.46600000000001</v>
      </c>
      <c r="H127" s="22">
        <f>IFERROR(IF(Yearending&gt;B126,'5. Historical demand'!F127-'5. Historical demand'!C127-'5. Historical demand'!D127,""),"")</f>
        <v>37.470000000000027</v>
      </c>
      <c r="I127" s="22">
        <f t="shared" si="5"/>
        <v>444.99599999999998</v>
      </c>
    </row>
    <row r="128" spans="2:9" x14ac:dyDescent="0.2">
      <c r="B128" s="203">
        <f t="shared" si="3"/>
        <v>45559</v>
      </c>
      <c r="C128" s="92">
        <v>527.53</v>
      </c>
      <c r="D128" s="92"/>
      <c r="E128" s="92">
        <v>71.88</v>
      </c>
      <c r="F128" s="92">
        <v>565</v>
      </c>
      <c r="G128" s="22">
        <f t="shared" si="4"/>
        <v>493.12</v>
      </c>
      <c r="H128" s="22">
        <f>IFERROR(IF(Yearending&gt;B127,'5. Historical demand'!F128-'5. Historical demand'!C128-'5. Historical demand'!D128,""),"")</f>
        <v>37.470000000000027</v>
      </c>
      <c r="I128" s="22">
        <f t="shared" si="5"/>
        <v>455.65</v>
      </c>
    </row>
    <row r="129" spans="2:9" x14ac:dyDescent="0.2">
      <c r="B129" s="203">
        <f t="shared" si="3"/>
        <v>45560</v>
      </c>
      <c r="C129" s="92">
        <v>527.53</v>
      </c>
      <c r="D129" s="92"/>
      <c r="E129" s="92">
        <v>24.055</v>
      </c>
      <c r="F129" s="92">
        <v>565</v>
      </c>
      <c r="G129" s="22">
        <f t="shared" si="4"/>
        <v>540.94500000000005</v>
      </c>
      <c r="H129" s="22">
        <f>IFERROR(IF(Yearending&gt;B128,'5. Historical demand'!F129-'5. Historical demand'!C129-'5. Historical demand'!D129,""),"")</f>
        <v>37.470000000000027</v>
      </c>
      <c r="I129" s="22">
        <f t="shared" si="5"/>
        <v>503.47499999999997</v>
      </c>
    </row>
    <row r="130" spans="2:9" x14ac:dyDescent="0.2">
      <c r="B130" s="203">
        <f t="shared" si="3"/>
        <v>45561</v>
      </c>
      <c r="C130" s="92">
        <v>527.53</v>
      </c>
      <c r="D130" s="92"/>
      <c r="E130" s="92">
        <v>214.1</v>
      </c>
      <c r="F130" s="92">
        <v>565</v>
      </c>
      <c r="G130" s="22">
        <f t="shared" si="4"/>
        <v>350.9</v>
      </c>
      <c r="H130" s="22">
        <f>IFERROR(IF(Yearending&gt;B129,'5. Historical demand'!F130-'5. Historical demand'!C130-'5. Historical demand'!D130,""),"")</f>
        <v>37.470000000000027</v>
      </c>
      <c r="I130" s="22">
        <f t="shared" si="5"/>
        <v>313.42999999999995</v>
      </c>
    </row>
    <row r="131" spans="2:9" x14ac:dyDescent="0.2">
      <c r="B131" s="203">
        <f t="shared" si="3"/>
        <v>45562</v>
      </c>
      <c r="C131" s="92">
        <v>527.53</v>
      </c>
      <c r="D131" s="92"/>
      <c r="E131" s="92">
        <v>84.513000000000005</v>
      </c>
      <c r="F131" s="92">
        <v>565</v>
      </c>
      <c r="G131" s="22">
        <f t="shared" si="4"/>
        <v>480.48699999999997</v>
      </c>
      <c r="H131" s="22">
        <f>IFERROR(IF(Yearending&gt;B130,'5. Historical demand'!F131-'5. Historical demand'!C131-'5. Historical demand'!D131,""),"")</f>
        <v>37.470000000000027</v>
      </c>
      <c r="I131" s="22">
        <f t="shared" si="5"/>
        <v>443.01699999999994</v>
      </c>
    </row>
    <row r="132" spans="2:9" x14ac:dyDescent="0.2">
      <c r="B132" s="203">
        <f t="shared" si="3"/>
        <v>45563</v>
      </c>
      <c r="C132" s="92">
        <v>527.53</v>
      </c>
      <c r="D132" s="92"/>
      <c r="E132" s="92">
        <v>0.40500000000000003</v>
      </c>
      <c r="F132" s="92">
        <v>565</v>
      </c>
      <c r="G132" s="22">
        <f t="shared" si="4"/>
        <v>564.59500000000003</v>
      </c>
      <c r="H132" s="22">
        <f>IFERROR(IF(Yearending&gt;B131,'5. Historical demand'!F132-'5. Historical demand'!C132-'5. Historical demand'!D132,""),"")</f>
        <v>37.470000000000027</v>
      </c>
      <c r="I132" s="22">
        <f t="shared" si="5"/>
        <v>527.125</v>
      </c>
    </row>
    <row r="133" spans="2:9" x14ac:dyDescent="0.2">
      <c r="B133" s="203">
        <f t="shared" si="3"/>
        <v>45564</v>
      </c>
      <c r="C133" s="92">
        <v>527.53</v>
      </c>
      <c r="D133" s="92"/>
      <c r="E133" s="92">
        <v>102</v>
      </c>
      <c r="F133" s="92">
        <v>565</v>
      </c>
      <c r="G133" s="22">
        <f t="shared" si="4"/>
        <v>463</v>
      </c>
      <c r="H133" s="22">
        <f>IFERROR(IF(Yearending&gt;B132,'5. Historical demand'!F133-'5. Historical demand'!C133-'5. Historical demand'!D133,""),"")</f>
        <v>37.470000000000027</v>
      </c>
      <c r="I133" s="22">
        <f t="shared" si="5"/>
        <v>425.53</v>
      </c>
    </row>
    <row r="134" spans="2:9" x14ac:dyDescent="0.2">
      <c r="B134" s="203">
        <f t="shared" si="3"/>
        <v>45565</v>
      </c>
      <c r="C134" s="92">
        <v>527.53</v>
      </c>
      <c r="D134" s="92"/>
      <c r="E134" s="92">
        <v>25</v>
      </c>
      <c r="F134" s="92">
        <v>565</v>
      </c>
      <c r="G134" s="22">
        <f t="shared" si="4"/>
        <v>540</v>
      </c>
      <c r="H134" s="22">
        <f>IFERROR(IF(Yearending&gt;B133,'5. Historical demand'!F134-'5. Historical demand'!C134-'5. Historical demand'!D134,""),"")</f>
        <v>37.470000000000027</v>
      </c>
      <c r="I134" s="22">
        <f t="shared" si="5"/>
        <v>502.53</v>
      </c>
    </row>
    <row r="135" spans="2:9" x14ac:dyDescent="0.2">
      <c r="B135" s="203">
        <f t="shared" si="3"/>
        <v>45566</v>
      </c>
      <c r="C135" s="92">
        <v>209.52999999999997</v>
      </c>
      <c r="D135" s="92"/>
      <c r="E135" s="92">
        <v>70</v>
      </c>
      <c r="F135" s="92">
        <v>565</v>
      </c>
      <c r="G135" s="22">
        <f t="shared" si="4"/>
        <v>495</v>
      </c>
      <c r="H135" s="22">
        <f>IFERROR(IF(Yearending&gt;B134,'5. Historical demand'!F135-'5. Historical demand'!C135-'5. Historical demand'!D135,""),"")</f>
        <v>355.47</v>
      </c>
      <c r="I135" s="22">
        <f t="shared" si="5"/>
        <v>139.52999999999997</v>
      </c>
    </row>
    <row r="136" spans="2:9" x14ac:dyDescent="0.2">
      <c r="B136" s="203">
        <f t="shared" si="3"/>
        <v>45567</v>
      </c>
      <c r="C136" s="92">
        <v>209.52999999999997</v>
      </c>
      <c r="D136" s="92"/>
      <c r="E136" s="92">
        <v>46.198</v>
      </c>
      <c r="F136" s="92">
        <v>565</v>
      </c>
      <c r="G136" s="22">
        <f t="shared" si="4"/>
        <v>518.80200000000002</v>
      </c>
      <c r="H136" s="22">
        <f>IFERROR(IF(Yearending&gt;B135,'5. Historical demand'!F136-'5. Historical demand'!C136-'5. Historical demand'!D136,""),"")</f>
        <v>355.47</v>
      </c>
      <c r="I136" s="22">
        <f t="shared" si="5"/>
        <v>163.33199999999997</v>
      </c>
    </row>
    <row r="137" spans="2:9" x14ac:dyDescent="0.2">
      <c r="B137" s="203">
        <f t="shared" si="3"/>
        <v>45568</v>
      </c>
      <c r="C137" s="92">
        <v>209.52999999999997</v>
      </c>
      <c r="D137" s="92"/>
      <c r="E137" s="92">
        <v>20</v>
      </c>
      <c r="F137" s="92">
        <v>565</v>
      </c>
      <c r="G137" s="22">
        <f t="shared" si="4"/>
        <v>545</v>
      </c>
      <c r="H137" s="22">
        <f>IFERROR(IF(Yearending&gt;B136,'5. Historical demand'!F137-'5. Historical demand'!C137-'5. Historical demand'!D137,""),"")</f>
        <v>355.47</v>
      </c>
      <c r="I137" s="22">
        <f t="shared" si="5"/>
        <v>189.52999999999997</v>
      </c>
    </row>
    <row r="138" spans="2:9" x14ac:dyDescent="0.2">
      <c r="B138" s="203">
        <f t="shared" si="3"/>
        <v>45569</v>
      </c>
      <c r="C138" s="92">
        <v>209.52999999999997</v>
      </c>
      <c r="D138" s="92"/>
      <c r="E138" s="92">
        <v>20.062000000000001</v>
      </c>
      <c r="F138" s="92">
        <v>565</v>
      </c>
      <c r="G138" s="22">
        <f t="shared" si="4"/>
        <v>544.93799999999999</v>
      </c>
      <c r="H138" s="22">
        <f>IFERROR(IF(Yearending&gt;B137,'5. Historical demand'!F138-'5. Historical demand'!C138-'5. Historical demand'!D138,""),"")</f>
        <v>355.47</v>
      </c>
      <c r="I138" s="22">
        <f t="shared" si="5"/>
        <v>189.46799999999996</v>
      </c>
    </row>
    <row r="139" spans="2:9" x14ac:dyDescent="0.2">
      <c r="B139" s="203">
        <f t="shared" si="3"/>
        <v>45570</v>
      </c>
      <c r="C139" s="92">
        <v>209.52999999999997</v>
      </c>
      <c r="D139" s="92"/>
      <c r="E139" s="92">
        <v>20.651</v>
      </c>
      <c r="F139" s="92">
        <v>565</v>
      </c>
      <c r="G139" s="22">
        <f t="shared" si="4"/>
        <v>544.34900000000005</v>
      </c>
      <c r="H139" s="22">
        <f>IFERROR(IF(Yearending&gt;B138,'5. Historical demand'!F139-'5. Historical demand'!C139-'5. Historical demand'!D139,""),"")</f>
        <v>355.47</v>
      </c>
      <c r="I139" s="22">
        <f t="shared" si="5"/>
        <v>188.87899999999996</v>
      </c>
    </row>
    <row r="140" spans="2:9" x14ac:dyDescent="0.2">
      <c r="B140" s="203">
        <f t="shared" si="3"/>
        <v>45571</v>
      </c>
      <c r="C140" s="92">
        <v>209.52999999999997</v>
      </c>
      <c r="D140" s="92"/>
      <c r="E140" s="92">
        <v>20.704000000000001</v>
      </c>
      <c r="F140" s="92">
        <v>565</v>
      </c>
      <c r="G140" s="22">
        <f t="shared" si="4"/>
        <v>544.29600000000005</v>
      </c>
      <c r="H140" s="22">
        <f>IFERROR(IF(Yearending&gt;B139,'5. Historical demand'!F140-'5. Historical demand'!C140-'5. Historical demand'!D140,""),"")</f>
        <v>355.47</v>
      </c>
      <c r="I140" s="22">
        <f t="shared" si="5"/>
        <v>188.82599999999996</v>
      </c>
    </row>
    <row r="141" spans="2:9" x14ac:dyDescent="0.2">
      <c r="B141" s="203">
        <f t="shared" si="3"/>
        <v>45572</v>
      </c>
      <c r="C141" s="92">
        <v>209.52999999999997</v>
      </c>
      <c r="D141" s="92"/>
      <c r="E141" s="92">
        <v>20.805</v>
      </c>
      <c r="F141" s="92">
        <v>565</v>
      </c>
      <c r="G141" s="22">
        <f t="shared" si="4"/>
        <v>544.19500000000005</v>
      </c>
      <c r="H141" s="22">
        <f>IFERROR(IF(Yearending&gt;B140,'5. Historical demand'!F141-'5. Historical demand'!C141-'5. Historical demand'!D141,""),"")</f>
        <v>355.47</v>
      </c>
      <c r="I141" s="22">
        <f t="shared" si="5"/>
        <v>188.72499999999997</v>
      </c>
    </row>
    <row r="142" spans="2:9" x14ac:dyDescent="0.2">
      <c r="B142" s="203">
        <f t="shared" si="3"/>
        <v>45573</v>
      </c>
      <c r="C142" s="92">
        <v>209.52999999999997</v>
      </c>
      <c r="D142" s="92"/>
      <c r="E142" s="92">
        <v>68.3</v>
      </c>
      <c r="F142" s="92">
        <v>565</v>
      </c>
      <c r="G142" s="22">
        <f t="shared" si="4"/>
        <v>496.7</v>
      </c>
      <c r="H142" s="22">
        <f>IFERROR(IF(Yearending&gt;B141,'5. Historical demand'!F142-'5. Historical demand'!C142-'5. Historical demand'!D142,""),"")</f>
        <v>355.47</v>
      </c>
      <c r="I142" s="22">
        <f t="shared" si="5"/>
        <v>141.22999999999996</v>
      </c>
    </row>
    <row r="143" spans="2:9" x14ac:dyDescent="0.2">
      <c r="B143" s="203">
        <f t="shared" si="3"/>
        <v>45574</v>
      </c>
      <c r="C143" s="92">
        <v>209.52999999999997</v>
      </c>
      <c r="D143" s="92"/>
      <c r="E143" s="92">
        <v>35.499000000000002</v>
      </c>
      <c r="F143" s="92">
        <v>565</v>
      </c>
      <c r="G143" s="22">
        <f t="shared" si="4"/>
        <v>529.50099999999998</v>
      </c>
      <c r="H143" s="22">
        <f>IFERROR(IF(Yearending&gt;B142,'5. Historical demand'!F143-'5. Historical demand'!C143-'5. Historical demand'!D143,""),"")</f>
        <v>355.47</v>
      </c>
      <c r="I143" s="22">
        <f t="shared" si="5"/>
        <v>174.03099999999998</v>
      </c>
    </row>
    <row r="144" spans="2:9" x14ac:dyDescent="0.2">
      <c r="B144" s="203">
        <f t="shared" si="3"/>
        <v>45575</v>
      </c>
      <c r="C144" s="92">
        <v>209.52999999999997</v>
      </c>
      <c r="D144" s="92"/>
      <c r="E144" s="92">
        <v>4.0860000000000003</v>
      </c>
      <c r="F144" s="92">
        <v>565</v>
      </c>
      <c r="G144" s="22">
        <f t="shared" si="4"/>
        <v>560.91399999999999</v>
      </c>
      <c r="H144" s="22">
        <f>IFERROR(IF(Yearending&gt;B143,'5. Historical demand'!F144-'5. Historical demand'!C144-'5. Historical demand'!D144,""),"")</f>
        <v>355.47</v>
      </c>
      <c r="I144" s="22">
        <f t="shared" si="5"/>
        <v>205.44399999999996</v>
      </c>
    </row>
    <row r="145" spans="2:9" x14ac:dyDescent="0.2">
      <c r="B145" s="203">
        <f t="shared" si="3"/>
        <v>45576</v>
      </c>
      <c r="C145" s="92">
        <v>209.52999999999997</v>
      </c>
      <c r="D145" s="92"/>
      <c r="E145" s="92">
        <v>11</v>
      </c>
      <c r="F145" s="92">
        <v>565</v>
      </c>
      <c r="G145" s="22">
        <f t="shared" si="4"/>
        <v>554</v>
      </c>
      <c r="H145" s="22">
        <f>IFERROR(IF(Yearending&gt;B144,'5. Historical demand'!F145-'5. Historical demand'!C145-'5. Historical demand'!D145,""),"")</f>
        <v>355.47</v>
      </c>
      <c r="I145" s="22">
        <f t="shared" si="5"/>
        <v>198.52999999999997</v>
      </c>
    </row>
    <row r="146" spans="2:9" x14ac:dyDescent="0.2">
      <c r="B146" s="203">
        <f t="shared" si="3"/>
        <v>45577</v>
      </c>
      <c r="C146" s="92">
        <v>209.52999999999997</v>
      </c>
      <c r="D146" s="92"/>
      <c r="E146" s="92">
        <v>20.8</v>
      </c>
      <c r="F146" s="92">
        <v>565</v>
      </c>
      <c r="G146" s="22">
        <f t="shared" si="4"/>
        <v>544.20000000000005</v>
      </c>
      <c r="H146" s="22">
        <f>IFERROR(IF(Yearending&gt;B145,'5. Historical demand'!F146-'5. Historical demand'!C146-'5. Historical demand'!D146,""),"")</f>
        <v>355.47</v>
      </c>
      <c r="I146" s="22">
        <f t="shared" si="5"/>
        <v>188.72999999999996</v>
      </c>
    </row>
    <row r="147" spans="2:9" x14ac:dyDescent="0.2">
      <c r="B147" s="203">
        <f t="shared" si="3"/>
        <v>45578</v>
      </c>
      <c r="C147" s="92">
        <v>209.52999999999997</v>
      </c>
      <c r="D147" s="92"/>
      <c r="E147" s="92">
        <v>20.943000000000001</v>
      </c>
      <c r="F147" s="92">
        <v>565</v>
      </c>
      <c r="G147" s="22">
        <f t="shared" si="4"/>
        <v>544.05700000000002</v>
      </c>
      <c r="H147" s="22">
        <f>IFERROR(IF(Yearending&gt;B146,'5. Historical demand'!F147-'5. Historical demand'!C147-'5. Historical demand'!D147,""),"")</f>
        <v>355.47</v>
      </c>
      <c r="I147" s="22">
        <f t="shared" si="5"/>
        <v>188.58699999999996</v>
      </c>
    </row>
    <row r="148" spans="2:9" x14ac:dyDescent="0.2">
      <c r="B148" s="203">
        <f t="shared" si="3"/>
        <v>45579</v>
      </c>
      <c r="C148" s="92">
        <v>209.52999999999997</v>
      </c>
      <c r="D148" s="92"/>
      <c r="E148" s="92">
        <v>10.108000000000001</v>
      </c>
      <c r="F148" s="92">
        <v>565</v>
      </c>
      <c r="G148" s="22">
        <f t="shared" si="4"/>
        <v>554.89200000000005</v>
      </c>
      <c r="H148" s="22">
        <f>IFERROR(IF(Yearending&gt;B147,'5. Historical demand'!F148-'5. Historical demand'!C148-'5. Historical demand'!D148,""),"")</f>
        <v>355.47</v>
      </c>
      <c r="I148" s="22">
        <f t="shared" si="5"/>
        <v>199.42199999999997</v>
      </c>
    </row>
    <row r="149" spans="2:9" x14ac:dyDescent="0.2">
      <c r="B149" s="203">
        <f t="shared" si="3"/>
        <v>45580</v>
      </c>
      <c r="C149" s="92">
        <v>209.52999999999997</v>
      </c>
      <c r="D149" s="92"/>
      <c r="E149" s="92">
        <v>106.999</v>
      </c>
      <c r="F149" s="92">
        <v>565</v>
      </c>
      <c r="G149" s="22">
        <f t="shared" si="4"/>
        <v>458.00099999999998</v>
      </c>
      <c r="H149" s="22">
        <f>IFERROR(IF(Yearending&gt;B148,'5. Historical demand'!F149-'5. Historical demand'!C149-'5. Historical demand'!D149,""),"")</f>
        <v>355.47</v>
      </c>
      <c r="I149" s="22">
        <f t="shared" si="5"/>
        <v>102.53099999999998</v>
      </c>
    </row>
    <row r="150" spans="2:9" x14ac:dyDescent="0.2">
      <c r="B150" s="203">
        <f t="shared" si="3"/>
        <v>45581</v>
      </c>
      <c r="C150" s="92">
        <v>209.52999999999997</v>
      </c>
      <c r="D150" s="92"/>
      <c r="E150" s="92">
        <v>64</v>
      </c>
      <c r="F150" s="92">
        <v>565</v>
      </c>
      <c r="G150" s="22">
        <f t="shared" si="4"/>
        <v>501</v>
      </c>
      <c r="H150" s="22">
        <f>IFERROR(IF(Yearending&gt;B149,'5. Historical demand'!F150-'5. Historical demand'!C150-'5. Historical demand'!D150,""),"")</f>
        <v>355.47</v>
      </c>
      <c r="I150" s="22">
        <f t="shared" si="5"/>
        <v>145.52999999999997</v>
      </c>
    </row>
    <row r="151" spans="2:9" x14ac:dyDescent="0.2">
      <c r="B151" s="203">
        <f t="shared" si="3"/>
        <v>45582</v>
      </c>
      <c r="C151" s="92">
        <v>209.52999999999997</v>
      </c>
      <c r="D151" s="92"/>
      <c r="E151" s="92">
        <v>21.196999999999999</v>
      </c>
      <c r="F151" s="92">
        <v>565</v>
      </c>
      <c r="G151" s="22">
        <f t="shared" si="4"/>
        <v>543.803</v>
      </c>
      <c r="H151" s="22">
        <f>IFERROR(IF(Yearending&gt;B150,'5. Historical demand'!F151-'5. Historical demand'!C151-'5. Historical demand'!D151,""),"")</f>
        <v>355.47</v>
      </c>
      <c r="I151" s="22">
        <f t="shared" si="5"/>
        <v>188.33299999999997</v>
      </c>
    </row>
    <row r="152" spans="2:9" x14ac:dyDescent="0.2">
      <c r="B152" s="203">
        <f t="shared" si="3"/>
        <v>45583</v>
      </c>
      <c r="C152" s="92">
        <v>209.52999999999997</v>
      </c>
      <c r="D152" s="92"/>
      <c r="E152" s="92">
        <v>46.999000000000002</v>
      </c>
      <c r="F152" s="92">
        <v>565</v>
      </c>
      <c r="G152" s="22">
        <f t="shared" si="4"/>
        <v>518.00099999999998</v>
      </c>
      <c r="H152" s="22">
        <f>IFERROR(IF(Yearending&gt;B151,'5. Historical demand'!F152-'5. Historical demand'!C152-'5. Historical demand'!D152,""),"")</f>
        <v>355.47</v>
      </c>
      <c r="I152" s="22">
        <f t="shared" si="5"/>
        <v>162.53099999999998</v>
      </c>
    </row>
    <row r="153" spans="2:9" x14ac:dyDescent="0.2">
      <c r="B153" s="203">
        <f t="shared" si="3"/>
        <v>45584</v>
      </c>
      <c r="C153" s="92">
        <v>209.52999999999997</v>
      </c>
      <c r="D153" s="92"/>
      <c r="E153" s="92">
        <v>29</v>
      </c>
      <c r="F153" s="92">
        <v>565</v>
      </c>
      <c r="G153" s="22">
        <f t="shared" si="4"/>
        <v>536</v>
      </c>
      <c r="H153" s="22">
        <f>IFERROR(IF(Yearending&gt;B152,'5. Historical demand'!F153-'5. Historical demand'!C153-'5. Historical demand'!D153,""),"")</f>
        <v>355.47</v>
      </c>
      <c r="I153" s="22">
        <f t="shared" si="5"/>
        <v>180.52999999999997</v>
      </c>
    </row>
    <row r="154" spans="2:9" x14ac:dyDescent="0.2">
      <c r="B154" s="203">
        <f t="shared" si="3"/>
        <v>45585</v>
      </c>
      <c r="C154" s="92">
        <v>209.52999999999997</v>
      </c>
      <c r="D154" s="92"/>
      <c r="E154" s="92">
        <v>48.502000000000002</v>
      </c>
      <c r="F154" s="92">
        <v>565</v>
      </c>
      <c r="G154" s="22">
        <f t="shared" si="4"/>
        <v>516.49800000000005</v>
      </c>
      <c r="H154" s="22">
        <f>IFERROR(IF(Yearending&gt;B153,'5. Historical demand'!F154-'5. Historical demand'!C154-'5. Historical demand'!D154,""),"")</f>
        <v>355.47</v>
      </c>
      <c r="I154" s="22">
        <f t="shared" si="5"/>
        <v>161.02799999999996</v>
      </c>
    </row>
    <row r="155" spans="2:9" x14ac:dyDescent="0.2">
      <c r="B155" s="203">
        <f t="shared" si="3"/>
        <v>45586</v>
      </c>
      <c r="C155" s="92">
        <v>209.52999999999997</v>
      </c>
      <c r="D155" s="92"/>
      <c r="E155" s="92">
        <v>82.5</v>
      </c>
      <c r="F155" s="92">
        <v>565</v>
      </c>
      <c r="G155" s="22">
        <f t="shared" si="4"/>
        <v>482.5</v>
      </c>
      <c r="H155" s="22">
        <f>IFERROR(IF(Yearending&gt;B154,'5. Historical demand'!F155-'5. Historical demand'!C155-'5. Historical demand'!D155,""),"")</f>
        <v>355.47</v>
      </c>
      <c r="I155" s="22">
        <f t="shared" si="5"/>
        <v>127.02999999999997</v>
      </c>
    </row>
    <row r="156" spans="2:9" x14ac:dyDescent="0.2">
      <c r="B156" s="203">
        <f t="shared" si="3"/>
        <v>45587</v>
      </c>
      <c r="C156" s="92">
        <v>209.52999999999997</v>
      </c>
      <c r="D156" s="92"/>
      <c r="E156" s="92">
        <v>60.029000000000003</v>
      </c>
      <c r="F156" s="92">
        <v>565</v>
      </c>
      <c r="G156" s="22">
        <f t="shared" si="4"/>
        <v>504.971</v>
      </c>
      <c r="H156" s="22">
        <f>IFERROR(IF(Yearending&gt;B155,'5. Historical demand'!F156-'5. Historical demand'!C156-'5. Historical demand'!D156,""),"")</f>
        <v>355.47</v>
      </c>
      <c r="I156" s="22">
        <f t="shared" si="5"/>
        <v>149.50099999999998</v>
      </c>
    </row>
    <row r="157" spans="2:9" x14ac:dyDescent="0.2">
      <c r="B157" s="203">
        <f t="shared" si="3"/>
        <v>45588</v>
      </c>
      <c r="C157" s="92">
        <v>209.52999999999997</v>
      </c>
      <c r="D157" s="92"/>
      <c r="E157" s="92">
        <v>53.622999999999998</v>
      </c>
      <c r="F157" s="92">
        <v>565</v>
      </c>
      <c r="G157" s="22">
        <f t="shared" si="4"/>
        <v>511.37700000000001</v>
      </c>
      <c r="H157" s="22">
        <f>IFERROR(IF(Yearending&gt;B156,'5. Historical demand'!F157-'5. Historical demand'!C157-'5. Historical demand'!D157,""),"")</f>
        <v>355.47</v>
      </c>
      <c r="I157" s="22">
        <f t="shared" si="5"/>
        <v>155.90699999999998</v>
      </c>
    </row>
    <row r="158" spans="2:9" x14ac:dyDescent="0.2">
      <c r="B158" s="203">
        <f t="shared" si="3"/>
        <v>45589</v>
      </c>
      <c r="C158" s="92">
        <v>209.52999999999997</v>
      </c>
      <c r="D158" s="92"/>
      <c r="E158" s="92">
        <v>120.355</v>
      </c>
      <c r="F158" s="92">
        <v>565</v>
      </c>
      <c r="G158" s="22">
        <f t="shared" si="4"/>
        <v>444.64499999999998</v>
      </c>
      <c r="H158" s="22">
        <f>IFERROR(IF(Yearending&gt;B157,'5. Historical demand'!F158-'5. Historical demand'!C158-'5. Historical demand'!D158,""),"")</f>
        <v>355.47</v>
      </c>
      <c r="I158" s="22">
        <f t="shared" si="5"/>
        <v>89.174999999999969</v>
      </c>
    </row>
    <row r="159" spans="2:9" x14ac:dyDescent="0.2">
      <c r="B159" s="203">
        <f t="shared" si="3"/>
        <v>45590</v>
      </c>
      <c r="C159" s="92">
        <v>209.52999999999997</v>
      </c>
      <c r="D159" s="92"/>
      <c r="E159" s="92">
        <v>110.598</v>
      </c>
      <c r="F159" s="92">
        <v>565</v>
      </c>
      <c r="G159" s="22">
        <f t="shared" si="4"/>
        <v>454.40199999999999</v>
      </c>
      <c r="H159" s="22">
        <f>IFERROR(IF(Yearending&gt;B158,'5. Historical demand'!F159-'5. Historical demand'!C159-'5. Historical demand'!D159,""),"")</f>
        <v>355.47</v>
      </c>
      <c r="I159" s="22">
        <f t="shared" si="5"/>
        <v>98.931999999999974</v>
      </c>
    </row>
    <row r="160" spans="2:9" x14ac:dyDescent="0.2">
      <c r="B160" s="203">
        <f t="shared" si="3"/>
        <v>45591</v>
      </c>
      <c r="C160" s="92">
        <v>209.52999999999997</v>
      </c>
      <c r="D160" s="92"/>
      <c r="E160" s="92">
        <v>77.697999999999993</v>
      </c>
      <c r="F160" s="92">
        <v>565</v>
      </c>
      <c r="G160" s="22">
        <f t="shared" si="4"/>
        <v>487.30200000000002</v>
      </c>
      <c r="H160" s="22">
        <f>IFERROR(IF(Yearending&gt;B159,'5. Historical demand'!F160-'5. Historical demand'!C160-'5. Historical demand'!D160,""),"")</f>
        <v>355.47</v>
      </c>
      <c r="I160" s="22">
        <f t="shared" si="5"/>
        <v>131.83199999999999</v>
      </c>
    </row>
    <row r="161" spans="2:9" x14ac:dyDescent="0.2">
      <c r="B161" s="203">
        <f t="shared" si="3"/>
        <v>45592</v>
      </c>
      <c r="C161" s="92">
        <v>209.52999999999997</v>
      </c>
      <c r="D161" s="92"/>
      <c r="E161" s="92">
        <v>8.91</v>
      </c>
      <c r="F161" s="92">
        <v>565</v>
      </c>
      <c r="G161" s="22">
        <f t="shared" si="4"/>
        <v>556.09</v>
      </c>
      <c r="H161" s="22">
        <f>IFERROR(IF(Yearending&gt;B160,'5. Historical demand'!F161-'5. Historical demand'!C161-'5. Historical demand'!D161,""),"")</f>
        <v>355.47</v>
      </c>
      <c r="I161" s="22">
        <f t="shared" si="5"/>
        <v>200.61999999999998</v>
      </c>
    </row>
    <row r="162" spans="2:9" x14ac:dyDescent="0.2">
      <c r="B162" s="203">
        <f t="shared" si="3"/>
        <v>45593</v>
      </c>
      <c r="C162" s="92">
        <v>209.52999999999997</v>
      </c>
      <c r="D162" s="92"/>
      <c r="E162" s="92">
        <v>7.8929999999999998</v>
      </c>
      <c r="F162" s="92">
        <v>565</v>
      </c>
      <c r="G162" s="22">
        <f t="shared" si="4"/>
        <v>557.10699999999997</v>
      </c>
      <c r="H162" s="22">
        <f>IFERROR(IF(Yearending&gt;B161,'5. Historical demand'!F162-'5. Historical demand'!C162-'5. Historical demand'!D162,""),"")</f>
        <v>355.47</v>
      </c>
      <c r="I162" s="22">
        <f t="shared" si="5"/>
        <v>201.63699999999997</v>
      </c>
    </row>
    <row r="163" spans="2:9" x14ac:dyDescent="0.2">
      <c r="B163" s="203">
        <f t="shared" si="3"/>
        <v>45594</v>
      </c>
      <c r="C163" s="92">
        <v>209.52999999999997</v>
      </c>
      <c r="D163" s="92"/>
      <c r="E163" s="92">
        <v>13.851000000000001</v>
      </c>
      <c r="F163" s="92">
        <v>565</v>
      </c>
      <c r="G163" s="22">
        <f t="shared" si="4"/>
        <v>551.149</v>
      </c>
      <c r="H163" s="22">
        <f>IFERROR(IF(Yearending&gt;B162,'5. Historical demand'!F163-'5. Historical demand'!C163-'5. Historical demand'!D163,""),"")</f>
        <v>355.47</v>
      </c>
      <c r="I163" s="22">
        <f t="shared" si="5"/>
        <v>195.67899999999997</v>
      </c>
    </row>
    <row r="164" spans="2:9" x14ac:dyDescent="0.2">
      <c r="B164" s="203">
        <f t="shared" si="3"/>
        <v>45595</v>
      </c>
      <c r="C164" s="92">
        <v>209.52999999999997</v>
      </c>
      <c r="D164" s="92"/>
      <c r="E164" s="92">
        <v>5.1159999999999997</v>
      </c>
      <c r="F164" s="92">
        <v>565</v>
      </c>
      <c r="G164" s="22">
        <f t="shared" si="4"/>
        <v>559.88400000000001</v>
      </c>
      <c r="H164" s="22">
        <f>IFERROR(IF(Yearending&gt;B163,'5. Historical demand'!F164-'5. Historical demand'!C164-'5. Historical demand'!D164,""),"")</f>
        <v>355.47</v>
      </c>
      <c r="I164" s="22">
        <f t="shared" si="5"/>
        <v>204.41399999999999</v>
      </c>
    </row>
    <row r="165" spans="2:9" x14ac:dyDescent="0.2">
      <c r="B165" s="203">
        <f t="shared" si="3"/>
        <v>45596</v>
      </c>
      <c r="C165" s="92">
        <v>209.52999999999997</v>
      </c>
      <c r="D165" s="92"/>
      <c r="E165" s="92">
        <v>9.7279999999999998</v>
      </c>
      <c r="F165" s="92">
        <v>565</v>
      </c>
      <c r="G165" s="22">
        <f t="shared" si="4"/>
        <v>555.27200000000005</v>
      </c>
      <c r="H165" s="22">
        <f>IFERROR(IF(Yearending&gt;B164,'5. Historical demand'!F165-'5. Historical demand'!C165-'5. Historical demand'!D165,""),"")</f>
        <v>355.47</v>
      </c>
      <c r="I165" s="22">
        <f t="shared" si="5"/>
        <v>199.80199999999996</v>
      </c>
    </row>
    <row r="166" spans="2:9" x14ac:dyDescent="0.2">
      <c r="B166" s="203">
        <f t="shared" si="3"/>
        <v>45597</v>
      </c>
      <c r="C166" s="92">
        <v>210.52999999999997</v>
      </c>
      <c r="D166" s="92"/>
      <c r="E166" s="92">
        <v>63.670999999999999</v>
      </c>
      <c r="F166" s="92">
        <v>565</v>
      </c>
      <c r="G166" s="22">
        <f t="shared" si="4"/>
        <v>501.32900000000001</v>
      </c>
      <c r="H166" s="22">
        <f>IFERROR(IF(Yearending&gt;B165,'5. Historical demand'!F166-'5. Historical demand'!C166-'5. Historical demand'!D166,""),"")</f>
        <v>354.47</v>
      </c>
      <c r="I166" s="22">
        <f t="shared" si="5"/>
        <v>146.85899999999998</v>
      </c>
    </row>
    <row r="167" spans="2:9" x14ac:dyDescent="0.2">
      <c r="B167" s="203">
        <f t="shared" si="3"/>
        <v>45598</v>
      </c>
      <c r="C167" s="92">
        <v>210.52999999999997</v>
      </c>
      <c r="D167" s="92"/>
      <c r="E167" s="92">
        <v>17.713000000000001</v>
      </c>
      <c r="F167" s="92">
        <v>565</v>
      </c>
      <c r="G167" s="22">
        <f t="shared" si="4"/>
        <v>547.28700000000003</v>
      </c>
      <c r="H167" s="22">
        <f>IFERROR(IF(Yearending&gt;B166,'5. Historical demand'!F167-'5. Historical demand'!C167-'5. Historical demand'!D167,""),"")</f>
        <v>354.47</v>
      </c>
      <c r="I167" s="22">
        <f t="shared" si="5"/>
        <v>192.81699999999998</v>
      </c>
    </row>
    <row r="168" spans="2:9" x14ac:dyDescent="0.2">
      <c r="B168" s="203">
        <f t="shared" si="3"/>
        <v>45599</v>
      </c>
      <c r="C168" s="92">
        <v>210.52999999999997</v>
      </c>
      <c r="D168" s="92"/>
      <c r="E168" s="92">
        <v>16.321999999999999</v>
      </c>
      <c r="F168" s="92">
        <v>565</v>
      </c>
      <c r="G168" s="22">
        <f t="shared" si="4"/>
        <v>548.678</v>
      </c>
      <c r="H168" s="22">
        <f>IFERROR(IF(Yearending&gt;B167,'5. Historical demand'!F168-'5. Historical demand'!C168-'5. Historical demand'!D168,""),"")</f>
        <v>354.47</v>
      </c>
      <c r="I168" s="22">
        <f t="shared" si="5"/>
        <v>194.20799999999997</v>
      </c>
    </row>
    <row r="169" spans="2:9" x14ac:dyDescent="0.2">
      <c r="B169" s="203">
        <f t="shared" si="3"/>
        <v>45600</v>
      </c>
      <c r="C169" s="92">
        <v>210.52999999999997</v>
      </c>
      <c r="D169" s="92"/>
      <c r="E169" s="92">
        <v>37.307000000000002</v>
      </c>
      <c r="F169" s="92">
        <v>565</v>
      </c>
      <c r="G169" s="22">
        <f t="shared" si="4"/>
        <v>527.69299999999998</v>
      </c>
      <c r="H169" s="22">
        <f>IFERROR(IF(Yearending&gt;B168,'5. Historical demand'!F169-'5. Historical demand'!C169-'5. Historical demand'!D169,""),"")</f>
        <v>354.47</v>
      </c>
      <c r="I169" s="22">
        <f t="shared" si="5"/>
        <v>173.22299999999996</v>
      </c>
    </row>
    <row r="170" spans="2:9" x14ac:dyDescent="0.2">
      <c r="B170" s="203">
        <f t="shared" si="3"/>
        <v>45601</v>
      </c>
      <c r="C170" s="92">
        <v>210.52999999999997</v>
      </c>
      <c r="D170" s="92"/>
      <c r="E170" s="92">
        <v>21.643999999999998</v>
      </c>
      <c r="F170" s="92">
        <v>565</v>
      </c>
      <c r="G170" s="22">
        <f t="shared" si="4"/>
        <v>543.35599999999999</v>
      </c>
      <c r="H170" s="22">
        <f>IFERROR(IF(Yearending&gt;B169,'5. Historical demand'!F170-'5. Historical demand'!C170-'5. Historical demand'!D170,""),"")</f>
        <v>354.47</v>
      </c>
      <c r="I170" s="22">
        <f t="shared" si="5"/>
        <v>188.88599999999997</v>
      </c>
    </row>
    <row r="171" spans="2:9" x14ac:dyDescent="0.2">
      <c r="B171" s="203">
        <f t="shared" si="3"/>
        <v>45602</v>
      </c>
      <c r="C171" s="92">
        <v>210.52999999999997</v>
      </c>
      <c r="D171" s="92"/>
      <c r="E171" s="92">
        <v>25.172999999999998</v>
      </c>
      <c r="F171" s="92">
        <v>565</v>
      </c>
      <c r="G171" s="22">
        <f t="shared" si="4"/>
        <v>539.827</v>
      </c>
      <c r="H171" s="22">
        <f>IFERROR(IF(Yearending&gt;B170,'5. Historical demand'!F171-'5. Historical demand'!C171-'5. Historical demand'!D171,""),"")</f>
        <v>354.47</v>
      </c>
      <c r="I171" s="22">
        <f t="shared" si="5"/>
        <v>185.35699999999997</v>
      </c>
    </row>
    <row r="172" spans="2:9" x14ac:dyDescent="0.2">
      <c r="B172" s="203">
        <f t="shared" ref="B172:B235" si="6">IFERROR(IF(Yearending&gt;B171, B171+1, ""),"")</f>
        <v>45603</v>
      </c>
      <c r="C172" s="92">
        <v>210.52999999999997</v>
      </c>
      <c r="D172" s="92"/>
      <c r="E172" s="92">
        <v>43.731000000000002</v>
      </c>
      <c r="F172" s="92">
        <v>565</v>
      </c>
      <c r="G172" s="22">
        <f t="shared" ref="G172:G235" si="7">IFERROR(IF(Yearending&gt;B171,F172-E172,""),"")</f>
        <v>521.26900000000001</v>
      </c>
      <c r="H172" s="22">
        <f>IFERROR(IF(Yearending&gt;B171,'5. Historical demand'!F172-'5. Historical demand'!C172-'5. Historical demand'!D172,""),"")</f>
        <v>354.47</v>
      </c>
      <c r="I172" s="22">
        <f t="shared" ref="I172:I235" si="8">IFERROR(IF(Yearending&gt;B171,C172+D172-E172,""),"")</f>
        <v>166.79899999999998</v>
      </c>
    </row>
    <row r="173" spans="2:9" x14ac:dyDescent="0.2">
      <c r="B173" s="203">
        <f t="shared" si="6"/>
        <v>45604</v>
      </c>
      <c r="C173" s="92">
        <v>210.52999999999997</v>
      </c>
      <c r="D173" s="92"/>
      <c r="E173" s="92">
        <v>16.901</v>
      </c>
      <c r="F173" s="92">
        <v>565</v>
      </c>
      <c r="G173" s="22">
        <f t="shared" si="7"/>
        <v>548.09900000000005</v>
      </c>
      <c r="H173" s="22">
        <f>IFERROR(IF(Yearending&gt;B172,'5. Historical demand'!F173-'5. Historical demand'!C173-'5. Historical demand'!D173,""),"")</f>
        <v>354.47</v>
      </c>
      <c r="I173" s="22">
        <f t="shared" si="8"/>
        <v>193.62899999999996</v>
      </c>
    </row>
    <row r="174" spans="2:9" x14ac:dyDescent="0.2">
      <c r="B174" s="203">
        <f t="shared" si="6"/>
        <v>45605</v>
      </c>
      <c r="C174" s="92">
        <v>210.52999999999997</v>
      </c>
      <c r="D174" s="92"/>
      <c r="E174" s="92">
        <v>26.998999999999999</v>
      </c>
      <c r="F174" s="92">
        <v>565</v>
      </c>
      <c r="G174" s="22">
        <f t="shared" si="7"/>
        <v>538.00099999999998</v>
      </c>
      <c r="H174" s="22">
        <f>IFERROR(IF(Yearending&gt;B173,'5. Historical demand'!F174-'5. Historical demand'!C174-'5. Historical demand'!D174,""),"")</f>
        <v>354.47</v>
      </c>
      <c r="I174" s="22">
        <f t="shared" si="8"/>
        <v>183.53099999999998</v>
      </c>
    </row>
    <row r="175" spans="2:9" x14ac:dyDescent="0.2">
      <c r="B175" s="203">
        <f t="shared" si="6"/>
        <v>45606</v>
      </c>
      <c r="C175" s="92">
        <v>210.52999999999997</v>
      </c>
      <c r="D175" s="92"/>
      <c r="E175" s="92">
        <v>22.06</v>
      </c>
      <c r="F175" s="92">
        <v>565</v>
      </c>
      <c r="G175" s="22">
        <f t="shared" si="7"/>
        <v>542.94000000000005</v>
      </c>
      <c r="H175" s="22">
        <f>IFERROR(IF(Yearending&gt;B174,'5. Historical demand'!F175-'5. Historical demand'!C175-'5. Historical demand'!D175,""),"")</f>
        <v>354.47</v>
      </c>
      <c r="I175" s="22">
        <f t="shared" si="8"/>
        <v>188.46999999999997</v>
      </c>
    </row>
    <row r="176" spans="2:9" x14ac:dyDescent="0.2">
      <c r="B176" s="203">
        <f t="shared" si="6"/>
        <v>45607</v>
      </c>
      <c r="C176" s="92">
        <v>210.52999999999997</v>
      </c>
      <c r="D176" s="92"/>
      <c r="E176" s="92">
        <v>28.2</v>
      </c>
      <c r="F176" s="92">
        <v>565</v>
      </c>
      <c r="G176" s="22">
        <f t="shared" si="7"/>
        <v>536.79999999999995</v>
      </c>
      <c r="H176" s="22">
        <f>IFERROR(IF(Yearending&gt;B175,'5. Historical demand'!F176-'5. Historical demand'!C176-'5. Historical demand'!D176,""),"")</f>
        <v>354.47</v>
      </c>
      <c r="I176" s="22">
        <f t="shared" si="8"/>
        <v>182.32999999999998</v>
      </c>
    </row>
    <row r="177" spans="2:9" x14ac:dyDescent="0.2">
      <c r="B177" s="203">
        <f t="shared" si="6"/>
        <v>45608</v>
      </c>
      <c r="C177" s="92">
        <v>210.52999999999997</v>
      </c>
      <c r="D177" s="92"/>
      <c r="E177" s="92">
        <v>45.616999999999997</v>
      </c>
      <c r="F177" s="92">
        <v>565</v>
      </c>
      <c r="G177" s="22">
        <f t="shared" si="7"/>
        <v>519.38300000000004</v>
      </c>
      <c r="H177" s="22">
        <f>IFERROR(IF(Yearending&gt;B176,'5. Historical demand'!F177-'5. Historical demand'!C177-'5. Historical demand'!D177,""),"")</f>
        <v>354.47</v>
      </c>
      <c r="I177" s="22">
        <f t="shared" si="8"/>
        <v>164.91299999999998</v>
      </c>
    </row>
    <row r="178" spans="2:9" x14ac:dyDescent="0.2">
      <c r="B178" s="203">
        <f t="shared" si="6"/>
        <v>45609</v>
      </c>
      <c r="C178" s="92">
        <v>210.52999999999997</v>
      </c>
      <c r="D178" s="92"/>
      <c r="E178" s="92">
        <v>29.585999999999999</v>
      </c>
      <c r="F178" s="92">
        <v>565</v>
      </c>
      <c r="G178" s="22">
        <f t="shared" si="7"/>
        <v>535.41399999999999</v>
      </c>
      <c r="H178" s="22">
        <f>IFERROR(IF(Yearending&gt;B177,'5. Historical demand'!F178-'5. Historical demand'!C178-'5. Historical demand'!D178,""),"")</f>
        <v>354.47</v>
      </c>
      <c r="I178" s="22">
        <f t="shared" si="8"/>
        <v>180.94399999999996</v>
      </c>
    </row>
    <row r="179" spans="2:9" x14ac:dyDescent="0.2">
      <c r="B179" s="203">
        <f t="shared" si="6"/>
        <v>45610</v>
      </c>
      <c r="C179" s="92">
        <v>210.52999999999997</v>
      </c>
      <c r="D179" s="92"/>
      <c r="E179" s="92">
        <v>36.835999999999999</v>
      </c>
      <c r="F179" s="92">
        <v>565</v>
      </c>
      <c r="G179" s="22">
        <f t="shared" si="7"/>
        <v>528.16399999999999</v>
      </c>
      <c r="H179" s="22">
        <f>IFERROR(IF(Yearending&gt;B178,'5. Historical demand'!F179-'5. Historical demand'!C179-'5. Historical demand'!D179,""),"")</f>
        <v>354.47</v>
      </c>
      <c r="I179" s="22">
        <f t="shared" si="8"/>
        <v>173.69399999999996</v>
      </c>
    </row>
    <row r="180" spans="2:9" x14ac:dyDescent="0.2">
      <c r="B180" s="203">
        <f t="shared" si="6"/>
        <v>45611</v>
      </c>
      <c r="C180" s="92">
        <v>210.52999999999997</v>
      </c>
      <c r="D180" s="92"/>
      <c r="E180" s="92">
        <v>35.540999999999997</v>
      </c>
      <c r="F180" s="92">
        <v>565</v>
      </c>
      <c r="G180" s="22">
        <f t="shared" si="7"/>
        <v>529.45900000000006</v>
      </c>
      <c r="H180" s="22">
        <f>IFERROR(IF(Yearending&gt;B179,'5. Historical demand'!F180-'5. Historical demand'!C180-'5. Historical demand'!D180,""),"")</f>
        <v>354.47</v>
      </c>
      <c r="I180" s="22">
        <f t="shared" si="8"/>
        <v>174.98899999999998</v>
      </c>
    </row>
    <row r="181" spans="2:9" x14ac:dyDescent="0.2">
      <c r="B181" s="203">
        <f t="shared" si="6"/>
        <v>45612</v>
      </c>
      <c r="C181" s="92">
        <v>210.52999999999997</v>
      </c>
      <c r="D181" s="92"/>
      <c r="E181" s="92">
        <v>37.06</v>
      </c>
      <c r="F181" s="92">
        <v>565</v>
      </c>
      <c r="G181" s="22">
        <f t="shared" si="7"/>
        <v>527.94000000000005</v>
      </c>
      <c r="H181" s="22">
        <f>IFERROR(IF(Yearending&gt;B180,'5. Historical demand'!F181-'5. Historical demand'!C181-'5. Historical demand'!D181,""),"")</f>
        <v>354.47</v>
      </c>
      <c r="I181" s="22">
        <f t="shared" si="8"/>
        <v>173.46999999999997</v>
      </c>
    </row>
    <row r="182" spans="2:9" x14ac:dyDescent="0.2">
      <c r="B182" s="203">
        <f t="shared" si="6"/>
        <v>45613</v>
      </c>
      <c r="C182" s="92">
        <v>210.52999999999997</v>
      </c>
      <c r="D182" s="92"/>
      <c r="E182" s="92">
        <v>24.001000000000001</v>
      </c>
      <c r="F182" s="92">
        <v>565</v>
      </c>
      <c r="G182" s="22">
        <f t="shared" si="7"/>
        <v>540.99900000000002</v>
      </c>
      <c r="H182" s="22">
        <f>IFERROR(IF(Yearending&gt;B181,'5. Historical demand'!F182-'5. Historical demand'!C182-'5. Historical demand'!D182,""),"")</f>
        <v>354.47</v>
      </c>
      <c r="I182" s="22">
        <f t="shared" si="8"/>
        <v>186.52899999999997</v>
      </c>
    </row>
    <row r="183" spans="2:9" x14ac:dyDescent="0.2">
      <c r="B183" s="203">
        <f t="shared" si="6"/>
        <v>45614</v>
      </c>
      <c r="C183" s="92">
        <v>210.52999999999997</v>
      </c>
      <c r="D183" s="92"/>
      <c r="E183" s="92">
        <v>26.3</v>
      </c>
      <c r="F183" s="92">
        <v>565</v>
      </c>
      <c r="G183" s="22">
        <f t="shared" si="7"/>
        <v>538.70000000000005</v>
      </c>
      <c r="H183" s="22">
        <f>IFERROR(IF(Yearending&gt;B182,'5. Historical demand'!F183-'5. Historical demand'!C183-'5. Historical demand'!D183,""),"")</f>
        <v>354.47</v>
      </c>
      <c r="I183" s="22">
        <f t="shared" si="8"/>
        <v>184.22999999999996</v>
      </c>
    </row>
    <row r="184" spans="2:9" x14ac:dyDescent="0.2">
      <c r="B184" s="203">
        <f t="shared" si="6"/>
        <v>45615</v>
      </c>
      <c r="C184" s="92">
        <v>210.52999999999997</v>
      </c>
      <c r="D184" s="92"/>
      <c r="E184" s="92">
        <v>19.009</v>
      </c>
      <c r="F184" s="92">
        <v>565</v>
      </c>
      <c r="G184" s="22">
        <f t="shared" si="7"/>
        <v>545.99099999999999</v>
      </c>
      <c r="H184" s="22">
        <f>IFERROR(IF(Yearending&gt;B183,'5. Historical demand'!F184-'5. Historical demand'!C184-'5. Historical demand'!D184,""),"")</f>
        <v>354.47</v>
      </c>
      <c r="I184" s="22">
        <f t="shared" si="8"/>
        <v>191.52099999999996</v>
      </c>
    </row>
    <row r="185" spans="2:9" x14ac:dyDescent="0.2">
      <c r="B185" s="203">
        <f t="shared" si="6"/>
        <v>45616</v>
      </c>
      <c r="C185" s="92">
        <v>210.52999999999997</v>
      </c>
      <c r="D185" s="92"/>
      <c r="E185" s="92">
        <v>37.332000000000001</v>
      </c>
      <c r="F185" s="92">
        <v>565</v>
      </c>
      <c r="G185" s="22">
        <f t="shared" si="7"/>
        <v>527.66800000000001</v>
      </c>
      <c r="H185" s="22">
        <f>IFERROR(IF(Yearending&gt;B184,'5. Historical demand'!F185-'5. Historical demand'!C185-'5. Historical demand'!D185,""),"")</f>
        <v>354.47</v>
      </c>
      <c r="I185" s="22">
        <f t="shared" si="8"/>
        <v>173.19799999999998</v>
      </c>
    </row>
    <row r="186" spans="2:9" x14ac:dyDescent="0.2">
      <c r="B186" s="203">
        <f t="shared" si="6"/>
        <v>45617</v>
      </c>
      <c r="C186" s="92">
        <v>210.52999999999997</v>
      </c>
      <c r="D186" s="92"/>
      <c r="E186" s="92">
        <v>10</v>
      </c>
      <c r="F186" s="92">
        <v>565</v>
      </c>
      <c r="G186" s="22">
        <f t="shared" si="7"/>
        <v>555</v>
      </c>
      <c r="H186" s="22">
        <f>IFERROR(IF(Yearending&gt;B185,'5. Historical demand'!F186-'5. Historical demand'!C186-'5. Historical demand'!D186,""),"")</f>
        <v>354.47</v>
      </c>
      <c r="I186" s="22">
        <f t="shared" si="8"/>
        <v>200.52999999999997</v>
      </c>
    </row>
    <row r="187" spans="2:9" x14ac:dyDescent="0.2">
      <c r="B187" s="203">
        <f t="shared" si="6"/>
        <v>45618</v>
      </c>
      <c r="C187" s="92">
        <v>210.52999999999997</v>
      </c>
      <c r="D187" s="92"/>
      <c r="E187" s="92">
        <v>0.13400000000000001</v>
      </c>
      <c r="F187" s="92">
        <v>565</v>
      </c>
      <c r="G187" s="22">
        <f t="shared" si="7"/>
        <v>564.86599999999999</v>
      </c>
      <c r="H187" s="22">
        <f>IFERROR(IF(Yearending&gt;B186,'5. Historical demand'!F187-'5. Historical demand'!C187-'5. Historical demand'!D187,""),"")</f>
        <v>354.47</v>
      </c>
      <c r="I187" s="22">
        <f t="shared" si="8"/>
        <v>210.39599999999999</v>
      </c>
    </row>
    <row r="188" spans="2:9" x14ac:dyDescent="0.2">
      <c r="B188" s="203">
        <f t="shared" si="6"/>
        <v>45619</v>
      </c>
      <c r="C188" s="92">
        <v>210.52999999999997</v>
      </c>
      <c r="D188" s="92"/>
      <c r="E188" s="92">
        <v>48.189</v>
      </c>
      <c r="F188" s="92">
        <v>565</v>
      </c>
      <c r="G188" s="22">
        <f t="shared" si="7"/>
        <v>516.81100000000004</v>
      </c>
      <c r="H188" s="22">
        <f>IFERROR(IF(Yearending&gt;B187,'5. Historical demand'!F188-'5. Historical demand'!C188-'5. Historical demand'!D188,""),"")</f>
        <v>354.47</v>
      </c>
      <c r="I188" s="22">
        <f t="shared" si="8"/>
        <v>162.34099999999998</v>
      </c>
    </row>
    <row r="189" spans="2:9" x14ac:dyDescent="0.2">
      <c r="B189" s="203">
        <f t="shared" si="6"/>
        <v>45620</v>
      </c>
      <c r="C189" s="92">
        <v>210.52999999999997</v>
      </c>
      <c r="D189" s="92"/>
      <c r="E189" s="92">
        <v>62.118000000000002</v>
      </c>
      <c r="F189" s="92">
        <v>565</v>
      </c>
      <c r="G189" s="22">
        <f t="shared" si="7"/>
        <v>502.88200000000001</v>
      </c>
      <c r="H189" s="22">
        <f>IFERROR(IF(Yearending&gt;B188,'5. Historical demand'!F189-'5. Historical demand'!C189-'5. Historical demand'!D189,""),"")</f>
        <v>354.47</v>
      </c>
      <c r="I189" s="22">
        <f t="shared" si="8"/>
        <v>148.41199999999998</v>
      </c>
    </row>
    <row r="190" spans="2:9" x14ac:dyDescent="0.2">
      <c r="B190" s="203">
        <f t="shared" si="6"/>
        <v>45621</v>
      </c>
      <c r="C190" s="92">
        <v>210.52999999999997</v>
      </c>
      <c r="D190" s="92"/>
      <c r="E190" s="92">
        <v>59.6</v>
      </c>
      <c r="F190" s="92">
        <v>565</v>
      </c>
      <c r="G190" s="22">
        <f t="shared" si="7"/>
        <v>505.4</v>
      </c>
      <c r="H190" s="22">
        <f>IFERROR(IF(Yearending&gt;B189,'5. Historical demand'!F190-'5. Historical demand'!C190-'5. Historical demand'!D190,""),"")</f>
        <v>354.47</v>
      </c>
      <c r="I190" s="22">
        <f t="shared" si="8"/>
        <v>150.92999999999998</v>
      </c>
    </row>
    <row r="191" spans="2:9" x14ac:dyDescent="0.2">
      <c r="B191" s="203">
        <f t="shared" si="6"/>
        <v>45622</v>
      </c>
      <c r="C191" s="92">
        <v>210.52999999999997</v>
      </c>
      <c r="D191" s="92"/>
      <c r="E191" s="92">
        <v>45.914000000000001</v>
      </c>
      <c r="F191" s="92">
        <v>565</v>
      </c>
      <c r="G191" s="22">
        <f t="shared" si="7"/>
        <v>519.08600000000001</v>
      </c>
      <c r="H191" s="22">
        <f>IFERROR(IF(Yearending&gt;B190,'5. Historical demand'!F191-'5. Historical demand'!C191-'5. Historical demand'!D191,""),"")</f>
        <v>354.47</v>
      </c>
      <c r="I191" s="22">
        <f t="shared" si="8"/>
        <v>164.61599999999999</v>
      </c>
    </row>
    <row r="192" spans="2:9" x14ac:dyDescent="0.2">
      <c r="B192" s="203">
        <f t="shared" si="6"/>
        <v>45623</v>
      </c>
      <c r="C192" s="92">
        <v>210.52999999999997</v>
      </c>
      <c r="D192" s="92"/>
      <c r="E192" s="92">
        <v>31.507000000000001</v>
      </c>
      <c r="F192" s="92">
        <v>565</v>
      </c>
      <c r="G192" s="22">
        <f t="shared" si="7"/>
        <v>533.49300000000005</v>
      </c>
      <c r="H192" s="22">
        <f>IFERROR(IF(Yearending&gt;B191,'5. Historical demand'!F192-'5. Historical demand'!C192-'5. Historical demand'!D192,""),"")</f>
        <v>354.47</v>
      </c>
      <c r="I192" s="22">
        <f t="shared" si="8"/>
        <v>179.02299999999997</v>
      </c>
    </row>
    <row r="193" spans="2:9" x14ac:dyDescent="0.2">
      <c r="B193" s="203">
        <f t="shared" si="6"/>
        <v>45624</v>
      </c>
      <c r="C193" s="92">
        <v>210.52999999999997</v>
      </c>
      <c r="D193" s="92"/>
      <c r="E193" s="92">
        <v>10</v>
      </c>
      <c r="F193" s="92">
        <v>565</v>
      </c>
      <c r="G193" s="22">
        <f t="shared" si="7"/>
        <v>555</v>
      </c>
      <c r="H193" s="22">
        <f>IFERROR(IF(Yearending&gt;B192,'5. Historical demand'!F193-'5. Historical demand'!C193-'5. Historical demand'!D193,""),"")</f>
        <v>354.47</v>
      </c>
      <c r="I193" s="22">
        <f t="shared" si="8"/>
        <v>200.52999999999997</v>
      </c>
    </row>
    <row r="194" spans="2:9" x14ac:dyDescent="0.2">
      <c r="B194" s="203">
        <f t="shared" si="6"/>
        <v>45625</v>
      </c>
      <c r="C194" s="92">
        <v>210.52999999999997</v>
      </c>
      <c r="D194" s="92"/>
      <c r="E194" s="92">
        <v>0.59499999999999997</v>
      </c>
      <c r="F194" s="92">
        <v>565</v>
      </c>
      <c r="G194" s="22">
        <f t="shared" si="7"/>
        <v>564.40499999999997</v>
      </c>
      <c r="H194" s="22">
        <f>IFERROR(IF(Yearending&gt;B193,'5. Historical demand'!F194-'5. Historical demand'!C194-'5. Historical demand'!D194,""),"")</f>
        <v>354.47</v>
      </c>
      <c r="I194" s="22">
        <f t="shared" si="8"/>
        <v>209.93499999999997</v>
      </c>
    </row>
    <row r="195" spans="2:9" x14ac:dyDescent="0.2">
      <c r="B195" s="203">
        <f t="shared" si="6"/>
        <v>45626</v>
      </c>
      <c r="C195" s="92">
        <v>210.52999999999997</v>
      </c>
      <c r="D195" s="92"/>
      <c r="E195" s="92">
        <v>3.37</v>
      </c>
      <c r="F195" s="92">
        <v>565</v>
      </c>
      <c r="G195" s="22">
        <f t="shared" si="7"/>
        <v>561.63</v>
      </c>
      <c r="H195" s="22">
        <f>IFERROR(IF(Yearending&gt;B194,'5. Historical demand'!F195-'5. Historical demand'!C195-'5. Historical demand'!D195,""),"")</f>
        <v>354.47</v>
      </c>
      <c r="I195" s="22">
        <f t="shared" si="8"/>
        <v>207.15999999999997</v>
      </c>
    </row>
    <row r="196" spans="2:9" x14ac:dyDescent="0.2">
      <c r="B196" s="203">
        <f t="shared" si="6"/>
        <v>45627</v>
      </c>
      <c r="C196" s="92">
        <v>210.52999999999997</v>
      </c>
      <c r="D196" s="92"/>
      <c r="E196" s="92">
        <v>0.39700000000000002</v>
      </c>
      <c r="F196" s="92">
        <v>565</v>
      </c>
      <c r="G196" s="22">
        <f t="shared" si="7"/>
        <v>564.60299999999995</v>
      </c>
      <c r="H196" s="22">
        <f>IFERROR(IF(Yearending&gt;B195,'5. Historical demand'!F196-'5. Historical demand'!C196-'5. Historical demand'!D196,""),"")</f>
        <v>354.47</v>
      </c>
      <c r="I196" s="22">
        <f t="shared" si="8"/>
        <v>210.13299999999998</v>
      </c>
    </row>
    <row r="197" spans="2:9" x14ac:dyDescent="0.2">
      <c r="B197" s="203">
        <f t="shared" si="6"/>
        <v>45628</v>
      </c>
      <c r="C197" s="92">
        <v>210.52999999999997</v>
      </c>
      <c r="D197" s="92"/>
      <c r="E197" s="92">
        <v>27.754000000000001</v>
      </c>
      <c r="F197" s="92">
        <v>565</v>
      </c>
      <c r="G197" s="22">
        <f t="shared" si="7"/>
        <v>537.24599999999998</v>
      </c>
      <c r="H197" s="22">
        <f>IFERROR(IF(Yearending&gt;B196,'5. Historical demand'!F197-'5. Historical demand'!C197-'5. Historical demand'!D197,""),"")</f>
        <v>354.47</v>
      </c>
      <c r="I197" s="22">
        <f t="shared" si="8"/>
        <v>182.77599999999998</v>
      </c>
    </row>
    <row r="198" spans="2:9" x14ac:dyDescent="0.2">
      <c r="B198" s="203">
        <f t="shared" si="6"/>
        <v>45629</v>
      </c>
      <c r="C198" s="92">
        <v>210.52999999999997</v>
      </c>
      <c r="D198" s="92"/>
      <c r="E198" s="92">
        <v>0.08</v>
      </c>
      <c r="F198" s="92">
        <v>565</v>
      </c>
      <c r="G198" s="22">
        <f t="shared" si="7"/>
        <v>564.91999999999996</v>
      </c>
      <c r="H198" s="22">
        <f>IFERROR(IF(Yearending&gt;B197,'5. Historical demand'!F198-'5. Historical demand'!C198-'5. Historical demand'!D198,""),"")</f>
        <v>354.47</v>
      </c>
      <c r="I198" s="22">
        <f t="shared" si="8"/>
        <v>210.44999999999996</v>
      </c>
    </row>
    <row r="199" spans="2:9" x14ac:dyDescent="0.2">
      <c r="B199" s="203">
        <f t="shared" si="6"/>
        <v>45630</v>
      </c>
      <c r="C199" s="92">
        <v>210.52999999999997</v>
      </c>
      <c r="D199" s="92"/>
      <c r="E199" s="92">
        <v>1.2E-2</v>
      </c>
      <c r="F199" s="92">
        <v>565</v>
      </c>
      <c r="G199" s="22">
        <f t="shared" si="7"/>
        <v>564.98800000000006</v>
      </c>
      <c r="H199" s="22">
        <f>IFERROR(IF(Yearending&gt;B198,'5. Historical demand'!F199-'5. Historical demand'!C199-'5. Historical demand'!D199,""),"")</f>
        <v>354.47</v>
      </c>
      <c r="I199" s="22">
        <f t="shared" si="8"/>
        <v>210.51799999999997</v>
      </c>
    </row>
    <row r="200" spans="2:9" x14ac:dyDescent="0.2">
      <c r="B200" s="203">
        <f t="shared" si="6"/>
        <v>45631</v>
      </c>
      <c r="C200" s="92">
        <v>210.52999999999997</v>
      </c>
      <c r="D200" s="92"/>
      <c r="E200" s="92">
        <v>1.0999999999999999E-2</v>
      </c>
      <c r="F200" s="92">
        <v>565</v>
      </c>
      <c r="G200" s="22">
        <f t="shared" si="7"/>
        <v>564.98900000000003</v>
      </c>
      <c r="H200" s="22">
        <f>IFERROR(IF(Yearending&gt;B199,'5. Historical demand'!F200-'5. Historical demand'!C200-'5. Historical demand'!D200,""),"")</f>
        <v>354.47</v>
      </c>
      <c r="I200" s="22">
        <f t="shared" si="8"/>
        <v>210.51899999999998</v>
      </c>
    </row>
    <row r="201" spans="2:9" x14ac:dyDescent="0.2">
      <c r="B201" s="203">
        <f t="shared" si="6"/>
        <v>45632</v>
      </c>
      <c r="C201" s="92">
        <v>210.52999999999997</v>
      </c>
      <c r="D201" s="92"/>
      <c r="E201" s="92">
        <v>3.254</v>
      </c>
      <c r="F201" s="92">
        <v>565</v>
      </c>
      <c r="G201" s="22">
        <f t="shared" si="7"/>
        <v>561.74599999999998</v>
      </c>
      <c r="H201" s="22">
        <f>IFERROR(IF(Yearending&gt;B200,'5. Historical demand'!F201-'5. Historical demand'!C201-'5. Historical demand'!D201,""),"")</f>
        <v>354.47</v>
      </c>
      <c r="I201" s="22">
        <f t="shared" si="8"/>
        <v>207.27599999999998</v>
      </c>
    </row>
    <row r="202" spans="2:9" x14ac:dyDescent="0.2">
      <c r="B202" s="203">
        <f t="shared" si="6"/>
        <v>45633</v>
      </c>
      <c r="C202" s="92">
        <v>210.52999999999997</v>
      </c>
      <c r="D202" s="92"/>
      <c r="E202" s="92">
        <v>0.105</v>
      </c>
      <c r="F202" s="92">
        <v>565</v>
      </c>
      <c r="G202" s="22">
        <f t="shared" si="7"/>
        <v>564.89499999999998</v>
      </c>
      <c r="H202" s="22">
        <f>IFERROR(IF(Yearending&gt;B201,'5. Historical demand'!F202-'5. Historical demand'!C202-'5. Historical demand'!D202,""),"")</f>
        <v>354.47</v>
      </c>
      <c r="I202" s="22">
        <f t="shared" si="8"/>
        <v>210.42499999999998</v>
      </c>
    </row>
    <row r="203" spans="2:9" x14ac:dyDescent="0.2">
      <c r="B203" s="203">
        <f t="shared" si="6"/>
        <v>45634</v>
      </c>
      <c r="C203" s="92">
        <v>210.52999999999997</v>
      </c>
      <c r="D203" s="92"/>
      <c r="E203" s="92">
        <v>2.9000000000000001E-2</v>
      </c>
      <c r="F203" s="92">
        <v>565</v>
      </c>
      <c r="G203" s="22">
        <f t="shared" si="7"/>
        <v>564.971</v>
      </c>
      <c r="H203" s="22">
        <f>IFERROR(IF(Yearending&gt;B202,'5. Historical demand'!F203-'5. Historical demand'!C203-'5. Historical demand'!D203,""),"")</f>
        <v>354.47</v>
      </c>
      <c r="I203" s="22">
        <f t="shared" si="8"/>
        <v>210.50099999999998</v>
      </c>
    </row>
    <row r="204" spans="2:9" x14ac:dyDescent="0.2">
      <c r="B204" s="203">
        <f t="shared" si="6"/>
        <v>45635</v>
      </c>
      <c r="C204" s="92">
        <v>210.52999999999997</v>
      </c>
      <c r="D204" s="92"/>
      <c r="E204" s="92">
        <v>0</v>
      </c>
      <c r="F204" s="92">
        <v>565</v>
      </c>
      <c r="G204" s="22">
        <f t="shared" si="7"/>
        <v>565</v>
      </c>
      <c r="H204" s="22">
        <f>IFERROR(IF(Yearending&gt;B203,'5. Historical demand'!F204-'5. Historical demand'!C204-'5. Historical demand'!D204,""),"")</f>
        <v>354.47</v>
      </c>
      <c r="I204" s="22">
        <f t="shared" si="8"/>
        <v>210.52999999999997</v>
      </c>
    </row>
    <row r="205" spans="2:9" x14ac:dyDescent="0.2">
      <c r="B205" s="203">
        <f t="shared" si="6"/>
        <v>45636</v>
      </c>
      <c r="C205" s="92">
        <v>210.52999999999997</v>
      </c>
      <c r="D205" s="92"/>
      <c r="E205" s="92">
        <v>7.6999999999999999E-2</v>
      </c>
      <c r="F205" s="92">
        <v>565</v>
      </c>
      <c r="G205" s="22">
        <f t="shared" si="7"/>
        <v>564.923</v>
      </c>
      <c r="H205" s="22">
        <f>IFERROR(IF(Yearending&gt;B204,'5. Historical demand'!F205-'5. Historical demand'!C205-'5. Historical demand'!D205,""),"")</f>
        <v>354.47</v>
      </c>
      <c r="I205" s="22">
        <f t="shared" si="8"/>
        <v>210.45299999999997</v>
      </c>
    </row>
    <row r="206" spans="2:9" x14ac:dyDescent="0.2">
      <c r="B206" s="203">
        <f t="shared" si="6"/>
        <v>45637</v>
      </c>
      <c r="C206" s="92">
        <v>210.52999999999997</v>
      </c>
      <c r="D206" s="92"/>
      <c r="E206" s="92">
        <v>43.511000000000003</v>
      </c>
      <c r="F206" s="92">
        <v>565</v>
      </c>
      <c r="G206" s="22">
        <f t="shared" si="7"/>
        <v>521.48900000000003</v>
      </c>
      <c r="H206" s="22">
        <f>IFERROR(IF(Yearending&gt;B205,'5. Historical demand'!F206-'5. Historical demand'!C206-'5. Historical demand'!D206,""),"")</f>
        <v>354.47</v>
      </c>
      <c r="I206" s="22">
        <f t="shared" si="8"/>
        <v>167.01899999999998</v>
      </c>
    </row>
    <row r="207" spans="2:9" x14ac:dyDescent="0.2">
      <c r="B207" s="203">
        <f t="shared" si="6"/>
        <v>45638</v>
      </c>
      <c r="C207" s="92">
        <v>210.52999999999997</v>
      </c>
      <c r="D207" s="92"/>
      <c r="E207" s="92">
        <v>61.643999999999998</v>
      </c>
      <c r="F207" s="92">
        <v>565</v>
      </c>
      <c r="G207" s="22">
        <f t="shared" si="7"/>
        <v>503.35599999999999</v>
      </c>
      <c r="H207" s="22">
        <f>IFERROR(IF(Yearending&gt;B206,'5. Historical demand'!F207-'5. Historical demand'!C207-'5. Historical demand'!D207,""),"")</f>
        <v>354.47</v>
      </c>
      <c r="I207" s="22">
        <f t="shared" si="8"/>
        <v>148.88599999999997</v>
      </c>
    </row>
    <row r="208" spans="2:9" x14ac:dyDescent="0.2">
      <c r="B208" s="203">
        <f t="shared" si="6"/>
        <v>45639</v>
      </c>
      <c r="C208" s="92">
        <v>210.52999999999997</v>
      </c>
      <c r="D208" s="92"/>
      <c r="E208" s="92">
        <v>43.65</v>
      </c>
      <c r="F208" s="92">
        <v>565</v>
      </c>
      <c r="G208" s="22">
        <f t="shared" si="7"/>
        <v>521.35</v>
      </c>
      <c r="H208" s="22">
        <f>IFERROR(IF(Yearending&gt;B207,'5. Historical demand'!F208-'5. Historical demand'!C208-'5. Historical demand'!D208,""),"")</f>
        <v>354.47</v>
      </c>
      <c r="I208" s="22">
        <f t="shared" si="8"/>
        <v>166.87999999999997</v>
      </c>
    </row>
    <row r="209" spans="2:9" x14ac:dyDescent="0.2">
      <c r="B209" s="203">
        <f t="shared" si="6"/>
        <v>45640</v>
      </c>
      <c r="C209" s="92">
        <v>210.52999999999997</v>
      </c>
      <c r="D209" s="92"/>
      <c r="E209" s="92">
        <v>41.018999999999998</v>
      </c>
      <c r="F209" s="92">
        <v>565</v>
      </c>
      <c r="G209" s="22">
        <f t="shared" si="7"/>
        <v>523.98099999999999</v>
      </c>
      <c r="H209" s="22">
        <f>IFERROR(IF(Yearending&gt;B208,'5. Historical demand'!F209-'5. Historical demand'!C209-'5. Historical demand'!D209,""),"")</f>
        <v>354.47</v>
      </c>
      <c r="I209" s="22">
        <f t="shared" si="8"/>
        <v>169.51099999999997</v>
      </c>
    </row>
    <row r="210" spans="2:9" x14ac:dyDescent="0.2">
      <c r="B210" s="203">
        <f t="shared" si="6"/>
        <v>45641</v>
      </c>
      <c r="C210" s="92">
        <v>210.52999999999997</v>
      </c>
      <c r="D210" s="92"/>
      <c r="E210" s="92">
        <v>27.875</v>
      </c>
      <c r="F210" s="92">
        <v>565</v>
      </c>
      <c r="G210" s="22">
        <f t="shared" si="7"/>
        <v>537.125</v>
      </c>
      <c r="H210" s="22">
        <f>IFERROR(IF(Yearending&gt;B209,'5. Historical demand'!F210-'5. Historical demand'!C210-'5. Historical demand'!D210,""),"")</f>
        <v>354.47</v>
      </c>
      <c r="I210" s="22">
        <f t="shared" si="8"/>
        <v>182.65499999999997</v>
      </c>
    </row>
    <row r="211" spans="2:9" x14ac:dyDescent="0.2">
      <c r="B211" s="203">
        <f t="shared" si="6"/>
        <v>45642</v>
      </c>
      <c r="C211" s="92">
        <v>210.52999999999997</v>
      </c>
      <c r="D211" s="92"/>
      <c r="E211" s="92">
        <v>9.2899999999999991</v>
      </c>
      <c r="F211" s="92">
        <v>565</v>
      </c>
      <c r="G211" s="22">
        <f t="shared" si="7"/>
        <v>555.71</v>
      </c>
      <c r="H211" s="22">
        <f>IFERROR(IF(Yearending&gt;B210,'5. Historical demand'!F211-'5. Historical demand'!C211-'5. Historical demand'!D211,""),"")</f>
        <v>354.47</v>
      </c>
      <c r="I211" s="22">
        <f t="shared" si="8"/>
        <v>201.23999999999998</v>
      </c>
    </row>
    <row r="212" spans="2:9" x14ac:dyDescent="0.2">
      <c r="B212" s="203">
        <f t="shared" si="6"/>
        <v>45643</v>
      </c>
      <c r="C212" s="92">
        <v>210.52999999999997</v>
      </c>
      <c r="D212" s="92"/>
      <c r="E212" s="92">
        <v>20.524999999999999</v>
      </c>
      <c r="F212" s="92">
        <v>565</v>
      </c>
      <c r="G212" s="22">
        <f t="shared" si="7"/>
        <v>544.47500000000002</v>
      </c>
      <c r="H212" s="22">
        <f>IFERROR(IF(Yearending&gt;B211,'5. Historical demand'!F212-'5. Historical demand'!C212-'5. Historical demand'!D212,""),"")</f>
        <v>354.47</v>
      </c>
      <c r="I212" s="22">
        <f t="shared" si="8"/>
        <v>190.00499999999997</v>
      </c>
    </row>
    <row r="213" spans="2:9" x14ac:dyDescent="0.2">
      <c r="B213" s="203">
        <f t="shared" si="6"/>
        <v>45644</v>
      </c>
      <c r="C213" s="92">
        <v>210.52999999999997</v>
      </c>
      <c r="D213" s="92"/>
      <c r="E213" s="92">
        <v>31.308</v>
      </c>
      <c r="F213" s="92">
        <v>565</v>
      </c>
      <c r="G213" s="22">
        <f t="shared" si="7"/>
        <v>533.69200000000001</v>
      </c>
      <c r="H213" s="22">
        <f>IFERROR(IF(Yearending&gt;B212,'5. Historical demand'!F213-'5. Historical demand'!C213-'5. Historical demand'!D213,""),"")</f>
        <v>354.47</v>
      </c>
      <c r="I213" s="22">
        <f t="shared" si="8"/>
        <v>179.22199999999998</v>
      </c>
    </row>
    <row r="214" spans="2:9" x14ac:dyDescent="0.2">
      <c r="B214" s="203">
        <f t="shared" si="6"/>
        <v>45645</v>
      </c>
      <c r="C214" s="92">
        <v>210.52999999999997</v>
      </c>
      <c r="D214" s="92"/>
      <c r="E214" s="92">
        <v>30</v>
      </c>
      <c r="F214" s="92">
        <v>565</v>
      </c>
      <c r="G214" s="22">
        <f t="shared" si="7"/>
        <v>535</v>
      </c>
      <c r="H214" s="22">
        <f>IFERROR(IF(Yearending&gt;B213,'5. Historical demand'!F214-'5. Historical demand'!C214-'5. Historical demand'!D214,""),"")</f>
        <v>354.47</v>
      </c>
      <c r="I214" s="22">
        <f t="shared" si="8"/>
        <v>180.52999999999997</v>
      </c>
    </row>
    <row r="215" spans="2:9" x14ac:dyDescent="0.2">
      <c r="B215" s="203">
        <f t="shared" si="6"/>
        <v>45646</v>
      </c>
      <c r="C215" s="92">
        <v>210.52999999999997</v>
      </c>
      <c r="D215" s="92"/>
      <c r="E215" s="92">
        <v>21.452000000000002</v>
      </c>
      <c r="F215" s="92">
        <v>565</v>
      </c>
      <c r="G215" s="22">
        <f t="shared" si="7"/>
        <v>543.548</v>
      </c>
      <c r="H215" s="22">
        <f>IFERROR(IF(Yearending&gt;B214,'5. Historical demand'!F215-'5. Historical demand'!C215-'5. Historical demand'!D215,""),"")</f>
        <v>354.47</v>
      </c>
      <c r="I215" s="22">
        <f t="shared" si="8"/>
        <v>189.07799999999997</v>
      </c>
    </row>
    <row r="216" spans="2:9" x14ac:dyDescent="0.2">
      <c r="B216" s="203">
        <f t="shared" si="6"/>
        <v>45647</v>
      </c>
      <c r="C216" s="92">
        <v>210.52999999999997</v>
      </c>
      <c r="D216" s="92"/>
      <c r="E216" s="92">
        <v>30</v>
      </c>
      <c r="F216" s="92">
        <v>565</v>
      </c>
      <c r="G216" s="22">
        <f t="shared" si="7"/>
        <v>535</v>
      </c>
      <c r="H216" s="22">
        <f>IFERROR(IF(Yearending&gt;B215,'5. Historical demand'!F216-'5. Historical demand'!C216-'5. Historical demand'!D216,""),"")</f>
        <v>354.47</v>
      </c>
      <c r="I216" s="22">
        <f t="shared" si="8"/>
        <v>180.52999999999997</v>
      </c>
    </row>
    <row r="217" spans="2:9" x14ac:dyDescent="0.2">
      <c r="B217" s="203">
        <f t="shared" si="6"/>
        <v>45648</v>
      </c>
      <c r="C217" s="92">
        <v>210.52999999999997</v>
      </c>
      <c r="D217" s="92"/>
      <c r="E217" s="92">
        <v>10.346</v>
      </c>
      <c r="F217" s="92">
        <v>565</v>
      </c>
      <c r="G217" s="22">
        <f t="shared" si="7"/>
        <v>554.654</v>
      </c>
      <c r="H217" s="22">
        <f>IFERROR(IF(Yearending&gt;B216,'5. Historical demand'!F217-'5. Historical demand'!C217-'5. Historical demand'!D217,""),"")</f>
        <v>354.47</v>
      </c>
      <c r="I217" s="22">
        <f t="shared" si="8"/>
        <v>200.18399999999997</v>
      </c>
    </row>
    <row r="218" spans="2:9" x14ac:dyDescent="0.2">
      <c r="B218" s="203">
        <f t="shared" si="6"/>
        <v>45649</v>
      </c>
      <c r="C218" s="92">
        <v>210.52999999999997</v>
      </c>
      <c r="D218" s="92"/>
      <c r="E218" s="92">
        <v>8.1940000000000008</v>
      </c>
      <c r="F218" s="92">
        <v>565</v>
      </c>
      <c r="G218" s="22">
        <f t="shared" si="7"/>
        <v>556.80600000000004</v>
      </c>
      <c r="H218" s="22">
        <f>IFERROR(IF(Yearending&gt;B217,'5. Historical demand'!F218-'5. Historical demand'!C218-'5. Historical demand'!D218,""),"")</f>
        <v>354.47</v>
      </c>
      <c r="I218" s="22">
        <f t="shared" si="8"/>
        <v>202.33599999999998</v>
      </c>
    </row>
    <row r="219" spans="2:9" x14ac:dyDescent="0.2">
      <c r="B219" s="203">
        <f t="shared" si="6"/>
        <v>45650</v>
      </c>
      <c r="C219" s="92">
        <v>210.52999999999997</v>
      </c>
      <c r="D219" s="92"/>
      <c r="E219" s="92">
        <v>8</v>
      </c>
      <c r="F219" s="92">
        <v>565</v>
      </c>
      <c r="G219" s="22">
        <f t="shared" si="7"/>
        <v>557</v>
      </c>
      <c r="H219" s="22">
        <f>IFERROR(IF(Yearending&gt;B218,'5. Historical demand'!F219-'5. Historical demand'!C219-'5. Historical demand'!D219,""),"")</f>
        <v>354.47</v>
      </c>
      <c r="I219" s="22">
        <f t="shared" si="8"/>
        <v>202.52999999999997</v>
      </c>
    </row>
    <row r="220" spans="2:9" x14ac:dyDescent="0.2">
      <c r="B220" s="203">
        <f t="shared" si="6"/>
        <v>45651</v>
      </c>
      <c r="C220" s="92">
        <v>210.52999999999997</v>
      </c>
      <c r="D220" s="92"/>
      <c r="E220" s="92">
        <v>12.092000000000001</v>
      </c>
      <c r="F220" s="92">
        <v>565</v>
      </c>
      <c r="G220" s="22">
        <f t="shared" si="7"/>
        <v>552.90800000000002</v>
      </c>
      <c r="H220" s="22">
        <f>IFERROR(IF(Yearending&gt;B219,'5. Historical demand'!F220-'5. Historical demand'!C220-'5. Historical demand'!D220,""),"")</f>
        <v>354.47</v>
      </c>
      <c r="I220" s="22">
        <f t="shared" si="8"/>
        <v>198.43799999999996</v>
      </c>
    </row>
    <row r="221" spans="2:9" x14ac:dyDescent="0.2">
      <c r="B221" s="203">
        <f t="shared" si="6"/>
        <v>45652</v>
      </c>
      <c r="C221" s="92">
        <v>210.52999999999997</v>
      </c>
      <c r="D221" s="92"/>
      <c r="E221" s="92">
        <v>20.337</v>
      </c>
      <c r="F221" s="92">
        <v>565</v>
      </c>
      <c r="G221" s="22">
        <f t="shared" si="7"/>
        <v>544.66300000000001</v>
      </c>
      <c r="H221" s="22">
        <f>IFERROR(IF(Yearending&gt;B220,'5. Historical demand'!F221-'5. Historical demand'!C221-'5. Historical demand'!D221,""),"")</f>
        <v>354.47</v>
      </c>
      <c r="I221" s="22">
        <f t="shared" si="8"/>
        <v>190.19299999999998</v>
      </c>
    </row>
    <row r="222" spans="2:9" x14ac:dyDescent="0.2">
      <c r="B222" s="203">
        <f t="shared" si="6"/>
        <v>45653</v>
      </c>
      <c r="C222" s="92">
        <v>210.52999999999997</v>
      </c>
      <c r="D222" s="92"/>
      <c r="E222" s="92">
        <v>20.04</v>
      </c>
      <c r="F222" s="92">
        <v>565</v>
      </c>
      <c r="G222" s="22">
        <f t="shared" si="7"/>
        <v>544.96</v>
      </c>
      <c r="H222" s="22">
        <f>IFERROR(IF(Yearending&gt;B221,'5. Historical demand'!F222-'5. Historical demand'!C222-'5. Historical demand'!D222,""),"")</f>
        <v>354.47</v>
      </c>
      <c r="I222" s="22">
        <f t="shared" si="8"/>
        <v>190.48999999999998</v>
      </c>
    </row>
    <row r="223" spans="2:9" x14ac:dyDescent="0.2">
      <c r="B223" s="203">
        <f t="shared" si="6"/>
        <v>45654</v>
      </c>
      <c r="C223" s="92">
        <v>210.52999999999997</v>
      </c>
      <c r="D223" s="92"/>
      <c r="E223" s="92">
        <v>10</v>
      </c>
      <c r="F223" s="92">
        <v>565</v>
      </c>
      <c r="G223" s="22">
        <f t="shared" si="7"/>
        <v>555</v>
      </c>
      <c r="H223" s="22">
        <f>IFERROR(IF(Yearending&gt;B222,'5. Historical demand'!F223-'5. Historical demand'!C223-'5. Historical demand'!D223,""),"")</f>
        <v>354.47</v>
      </c>
      <c r="I223" s="22">
        <f t="shared" si="8"/>
        <v>200.52999999999997</v>
      </c>
    </row>
    <row r="224" spans="2:9" x14ac:dyDescent="0.2">
      <c r="B224" s="203">
        <f t="shared" si="6"/>
        <v>45655</v>
      </c>
      <c r="C224" s="92">
        <v>210.52999999999997</v>
      </c>
      <c r="D224" s="92"/>
      <c r="E224" s="92">
        <v>10.053000000000001</v>
      </c>
      <c r="F224" s="92">
        <v>565</v>
      </c>
      <c r="G224" s="22">
        <f t="shared" si="7"/>
        <v>554.947</v>
      </c>
      <c r="H224" s="22">
        <f>IFERROR(IF(Yearending&gt;B223,'5. Historical demand'!F224-'5. Historical demand'!C224-'5. Historical demand'!D224,""),"")</f>
        <v>354.47</v>
      </c>
      <c r="I224" s="22">
        <f t="shared" si="8"/>
        <v>200.47699999999998</v>
      </c>
    </row>
    <row r="225" spans="2:9" x14ac:dyDescent="0.2">
      <c r="B225" s="203">
        <f t="shared" si="6"/>
        <v>45656</v>
      </c>
      <c r="C225" s="92">
        <v>210.52999999999997</v>
      </c>
      <c r="D225" s="92"/>
      <c r="E225" s="92">
        <v>68.105999999999995</v>
      </c>
      <c r="F225" s="92">
        <v>565</v>
      </c>
      <c r="G225" s="22">
        <f t="shared" si="7"/>
        <v>496.89400000000001</v>
      </c>
      <c r="H225" s="22">
        <f>IFERROR(IF(Yearending&gt;B224,'5. Historical demand'!F225-'5. Historical demand'!C225-'5. Historical demand'!D225,""),"")</f>
        <v>354.47</v>
      </c>
      <c r="I225" s="22">
        <f t="shared" si="8"/>
        <v>142.42399999999998</v>
      </c>
    </row>
    <row r="226" spans="2:9" x14ac:dyDescent="0.2">
      <c r="B226" s="203">
        <f t="shared" si="6"/>
        <v>45657</v>
      </c>
      <c r="C226" s="92">
        <v>210.52999999999997</v>
      </c>
      <c r="D226" s="92"/>
      <c r="E226" s="92">
        <v>80.391000000000005</v>
      </c>
      <c r="F226" s="92">
        <v>565</v>
      </c>
      <c r="G226" s="22">
        <f t="shared" si="7"/>
        <v>484.60899999999998</v>
      </c>
      <c r="H226" s="22">
        <f>IFERROR(IF(Yearending&gt;B225,'5. Historical demand'!F226-'5. Historical demand'!C226-'5. Historical demand'!D226,""),"")</f>
        <v>354.47</v>
      </c>
      <c r="I226" s="22">
        <f t="shared" si="8"/>
        <v>130.13899999999995</v>
      </c>
    </row>
    <row r="227" spans="2:9" x14ac:dyDescent="0.2">
      <c r="B227" s="203">
        <f t="shared" si="6"/>
        <v>45658</v>
      </c>
      <c r="C227" s="92">
        <v>206.32999999999998</v>
      </c>
      <c r="D227" s="92"/>
      <c r="E227" s="92">
        <v>0.05</v>
      </c>
      <c r="F227" s="92">
        <v>565</v>
      </c>
      <c r="G227" s="22">
        <f t="shared" si="7"/>
        <v>564.95000000000005</v>
      </c>
      <c r="H227" s="22">
        <f>IFERROR(IF(Yearending&gt;B226,'5. Historical demand'!F227-'5. Historical demand'!C227-'5. Historical demand'!D227,""),"")</f>
        <v>358.67</v>
      </c>
      <c r="I227" s="22">
        <f t="shared" si="8"/>
        <v>206.27999999999997</v>
      </c>
    </row>
    <row r="228" spans="2:9" x14ac:dyDescent="0.2">
      <c r="B228" s="203">
        <f t="shared" si="6"/>
        <v>45659</v>
      </c>
      <c r="C228" s="92">
        <v>206.32999999999998</v>
      </c>
      <c r="D228" s="92"/>
      <c r="E228" s="92">
        <v>83.125</v>
      </c>
      <c r="F228" s="92">
        <v>565</v>
      </c>
      <c r="G228" s="22">
        <f t="shared" si="7"/>
        <v>481.875</v>
      </c>
      <c r="H228" s="22">
        <f>IFERROR(IF(Yearending&gt;B227,'5. Historical demand'!F228-'5. Historical demand'!C228-'5. Historical demand'!D228,""),"")</f>
        <v>358.67</v>
      </c>
      <c r="I228" s="22">
        <f t="shared" si="8"/>
        <v>123.20499999999998</v>
      </c>
    </row>
    <row r="229" spans="2:9" x14ac:dyDescent="0.2">
      <c r="B229" s="203">
        <f t="shared" si="6"/>
        <v>45660</v>
      </c>
      <c r="C229" s="92">
        <v>206.32999999999998</v>
      </c>
      <c r="D229" s="92"/>
      <c r="E229" s="92">
        <v>82.935000000000002</v>
      </c>
      <c r="F229" s="92">
        <v>565</v>
      </c>
      <c r="G229" s="22">
        <f t="shared" si="7"/>
        <v>482.065</v>
      </c>
      <c r="H229" s="22">
        <f>IFERROR(IF(Yearending&gt;B228,'5. Historical demand'!F229-'5. Historical demand'!C229-'5. Historical demand'!D229,""),"")</f>
        <v>358.67</v>
      </c>
      <c r="I229" s="22">
        <f t="shared" si="8"/>
        <v>123.39499999999998</v>
      </c>
    </row>
    <row r="230" spans="2:9" x14ac:dyDescent="0.2">
      <c r="B230" s="203">
        <f t="shared" si="6"/>
        <v>45661</v>
      </c>
      <c r="C230" s="92">
        <v>206.32999999999998</v>
      </c>
      <c r="D230" s="92"/>
      <c r="E230" s="92">
        <v>0.35299999999999998</v>
      </c>
      <c r="F230" s="92">
        <v>565</v>
      </c>
      <c r="G230" s="22">
        <f t="shared" si="7"/>
        <v>564.64700000000005</v>
      </c>
      <c r="H230" s="22">
        <f>IFERROR(IF(Yearending&gt;B229,'5. Historical demand'!F230-'5. Historical demand'!C230-'5. Historical demand'!D230,""),"")</f>
        <v>358.67</v>
      </c>
      <c r="I230" s="22">
        <f t="shared" si="8"/>
        <v>205.97699999999998</v>
      </c>
    </row>
    <row r="231" spans="2:9" x14ac:dyDescent="0.2">
      <c r="B231" s="203">
        <f t="shared" si="6"/>
        <v>45662</v>
      </c>
      <c r="C231" s="92">
        <v>206.32999999999998</v>
      </c>
      <c r="D231" s="92"/>
      <c r="E231" s="92">
        <v>28.216000000000001</v>
      </c>
      <c r="F231" s="92">
        <v>565</v>
      </c>
      <c r="G231" s="22">
        <f t="shared" si="7"/>
        <v>536.78399999999999</v>
      </c>
      <c r="H231" s="22">
        <f>IFERROR(IF(Yearending&gt;B230,'5. Historical demand'!F231-'5. Historical demand'!C231-'5. Historical demand'!D231,""),"")</f>
        <v>358.67</v>
      </c>
      <c r="I231" s="22">
        <f t="shared" si="8"/>
        <v>178.11399999999998</v>
      </c>
    </row>
    <row r="232" spans="2:9" x14ac:dyDescent="0.2">
      <c r="B232" s="203">
        <f t="shared" si="6"/>
        <v>45663</v>
      </c>
      <c r="C232" s="92">
        <v>206.32999999999998</v>
      </c>
      <c r="D232" s="92"/>
      <c r="E232" s="92">
        <v>13.143000000000001</v>
      </c>
      <c r="F232" s="92">
        <v>565</v>
      </c>
      <c r="G232" s="22">
        <f t="shared" si="7"/>
        <v>551.85699999999997</v>
      </c>
      <c r="H232" s="22">
        <f>IFERROR(IF(Yearending&gt;B231,'5. Historical demand'!F232-'5. Historical demand'!C232-'5. Historical demand'!D232,""),"")</f>
        <v>358.67</v>
      </c>
      <c r="I232" s="22">
        <f t="shared" si="8"/>
        <v>193.18699999999998</v>
      </c>
    </row>
    <row r="233" spans="2:9" x14ac:dyDescent="0.2">
      <c r="B233" s="203">
        <f t="shared" si="6"/>
        <v>45664</v>
      </c>
      <c r="C233" s="92">
        <v>206.32999999999998</v>
      </c>
      <c r="D233" s="92"/>
      <c r="E233" s="92">
        <v>0.252</v>
      </c>
      <c r="F233" s="92">
        <v>565</v>
      </c>
      <c r="G233" s="22">
        <f t="shared" si="7"/>
        <v>564.74800000000005</v>
      </c>
      <c r="H233" s="22">
        <f>IFERROR(IF(Yearending&gt;B232,'5. Historical demand'!F233-'5. Historical demand'!C233-'5. Historical demand'!D233,""),"")</f>
        <v>358.67</v>
      </c>
      <c r="I233" s="22">
        <f t="shared" si="8"/>
        <v>206.07799999999997</v>
      </c>
    </row>
    <row r="234" spans="2:9" x14ac:dyDescent="0.2">
      <c r="B234" s="203">
        <f t="shared" si="6"/>
        <v>45665</v>
      </c>
      <c r="C234" s="92">
        <v>206.32999999999998</v>
      </c>
      <c r="D234" s="92"/>
      <c r="E234" s="92">
        <v>20</v>
      </c>
      <c r="F234" s="92">
        <v>565</v>
      </c>
      <c r="G234" s="22">
        <f t="shared" si="7"/>
        <v>545</v>
      </c>
      <c r="H234" s="22">
        <f>IFERROR(IF(Yearending&gt;B233,'5. Historical demand'!F234-'5. Historical demand'!C234-'5. Historical demand'!D234,""),"")</f>
        <v>358.67</v>
      </c>
      <c r="I234" s="22">
        <f t="shared" si="8"/>
        <v>186.32999999999998</v>
      </c>
    </row>
    <row r="235" spans="2:9" x14ac:dyDescent="0.2">
      <c r="B235" s="203">
        <f t="shared" si="6"/>
        <v>45666</v>
      </c>
      <c r="C235" s="92">
        <v>206.32999999999998</v>
      </c>
      <c r="D235" s="92"/>
      <c r="E235" s="92">
        <v>30</v>
      </c>
      <c r="F235" s="92">
        <v>565</v>
      </c>
      <c r="G235" s="22">
        <f t="shared" si="7"/>
        <v>535</v>
      </c>
      <c r="H235" s="22">
        <f>IFERROR(IF(Yearending&gt;B234,'5. Historical demand'!F235-'5. Historical demand'!C235-'5. Historical demand'!D235,""),"")</f>
        <v>358.67</v>
      </c>
      <c r="I235" s="22">
        <f t="shared" si="8"/>
        <v>176.32999999999998</v>
      </c>
    </row>
    <row r="236" spans="2:9" x14ac:dyDescent="0.2">
      <c r="B236" s="203">
        <f t="shared" ref="B236:B299" si="9">IFERROR(IF(Yearending&gt;B235, B235+1, ""),"")</f>
        <v>45667</v>
      </c>
      <c r="C236" s="92">
        <v>206.32999999999998</v>
      </c>
      <c r="D236" s="92"/>
      <c r="E236" s="92">
        <v>15</v>
      </c>
      <c r="F236" s="92">
        <v>565</v>
      </c>
      <c r="G236" s="22">
        <f t="shared" ref="G236:G299" si="10">IFERROR(IF(Yearending&gt;B235,F236-E236,""),"")</f>
        <v>550</v>
      </c>
      <c r="H236" s="22">
        <f>IFERROR(IF(Yearending&gt;B235,'5. Historical demand'!F236-'5. Historical demand'!C236-'5. Historical demand'!D236,""),"")</f>
        <v>358.67</v>
      </c>
      <c r="I236" s="22">
        <f t="shared" ref="I236:I299" si="11">IFERROR(IF(Yearending&gt;B235,C236+D236-E236,""),"")</f>
        <v>191.32999999999998</v>
      </c>
    </row>
    <row r="237" spans="2:9" x14ac:dyDescent="0.2">
      <c r="B237" s="203">
        <f t="shared" si="9"/>
        <v>45668</v>
      </c>
      <c r="C237" s="92">
        <v>206.32999999999998</v>
      </c>
      <c r="D237" s="92"/>
      <c r="E237" s="92">
        <v>2.2730000000000001</v>
      </c>
      <c r="F237" s="92">
        <v>565</v>
      </c>
      <c r="G237" s="22">
        <f t="shared" si="10"/>
        <v>562.72699999999998</v>
      </c>
      <c r="H237" s="22">
        <f>IFERROR(IF(Yearending&gt;B236,'5. Historical demand'!F237-'5. Historical demand'!C237-'5. Historical demand'!D237,""),"")</f>
        <v>358.67</v>
      </c>
      <c r="I237" s="22">
        <f t="shared" si="11"/>
        <v>204.05699999999999</v>
      </c>
    </row>
    <row r="238" spans="2:9" x14ac:dyDescent="0.2">
      <c r="B238" s="203">
        <f t="shared" si="9"/>
        <v>45669</v>
      </c>
      <c r="C238" s="92">
        <v>206.32999999999998</v>
      </c>
      <c r="D238" s="92"/>
      <c r="E238" s="92">
        <v>1.175</v>
      </c>
      <c r="F238" s="92">
        <v>565</v>
      </c>
      <c r="G238" s="22">
        <f t="shared" si="10"/>
        <v>563.82500000000005</v>
      </c>
      <c r="H238" s="22">
        <f>IFERROR(IF(Yearending&gt;B237,'5. Historical demand'!F238-'5. Historical demand'!C238-'5. Historical demand'!D238,""),"")</f>
        <v>358.67</v>
      </c>
      <c r="I238" s="22">
        <f t="shared" si="11"/>
        <v>205.15499999999997</v>
      </c>
    </row>
    <row r="239" spans="2:9" x14ac:dyDescent="0.2">
      <c r="B239" s="203">
        <f t="shared" si="9"/>
        <v>45670</v>
      </c>
      <c r="C239" s="92">
        <v>206.32999999999998</v>
      </c>
      <c r="D239" s="92"/>
      <c r="E239" s="92">
        <v>0.313</v>
      </c>
      <c r="F239" s="92">
        <v>565</v>
      </c>
      <c r="G239" s="22">
        <f t="shared" si="10"/>
        <v>564.68700000000001</v>
      </c>
      <c r="H239" s="22">
        <f>IFERROR(IF(Yearending&gt;B238,'5. Historical demand'!F239-'5. Historical demand'!C239-'5. Historical demand'!D239,""),"")</f>
        <v>358.67</v>
      </c>
      <c r="I239" s="22">
        <f t="shared" si="11"/>
        <v>206.017</v>
      </c>
    </row>
    <row r="240" spans="2:9" x14ac:dyDescent="0.2">
      <c r="B240" s="203">
        <f t="shared" si="9"/>
        <v>45671</v>
      </c>
      <c r="C240" s="92">
        <v>206.32999999999998</v>
      </c>
      <c r="D240" s="92"/>
      <c r="E240" s="92">
        <v>0.93300000000000005</v>
      </c>
      <c r="F240" s="92">
        <v>565</v>
      </c>
      <c r="G240" s="22">
        <f t="shared" si="10"/>
        <v>564.06700000000001</v>
      </c>
      <c r="H240" s="22">
        <f>IFERROR(IF(Yearending&gt;B239,'5. Historical demand'!F240-'5. Historical demand'!C240-'5. Historical demand'!D240,""),"")</f>
        <v>358.67</v>
      </c>
      <c r="I240" s="22">
        <f t="shared" si="11"/>
        <v>205.39699999999999</v>
      </c>
    </row>
    <row r="241" spans="2:9" x14ac:dyDescent="0.2">
      <c r="B241" s="203">
        <f t="shared" si="9"/>
        <v>45672</v>
      </c>
      <c r="C241" s="92">
        <v>206.32999999999998</v>
      </c>
      <c r="D241" s="92"/>
      <c r="E241" s="92">
        <v>4.4969999999999999</v>
      </c>
      <c r="F241" s="92">
        <v>565</v>
      </c>
      <c r="G241" s="22">
        <f t="shared" si="10"/>
        <v>560.50300000000004</v>
      </c>
      <c r="H241" s="22">
        <f>IFERROR(IF(Yearending&gt;B240,'5. Historical demand'!F241-'5. Historical demand'!C241-'5. Historical demand'!D241,""),"")</f>
        <v>358.67</v>
      </c>
      <c r="I241" s="22">
        <f t="shared" si="11"/>
        <v>201.83299999999997</v>
      </c>
    </row>
    <row r="242" spans="2:9" x14ac:dyDescent="0.2">
      <c r="B242" s="203">
        <f t="shared" si="9"/>
        <v>45673</v>
      </c>
      <c r="C242" s="92">
        <v>206.32999999999998</v>
      </c>
      <c r="D242" s="92"/>
      <c r="E242" s="92">
        <v>0.125</v>
      </c>
      <c r="F242" s="92">
        <v>565</v>
      </c>
      <c r="G242" s="22">
        <f t="shared" si="10"/>
        <v>564.875</v>
      </c>
      <c r="H242" s="22">
        <f>IFERROR(IF(Yearending&gt;B241,'5. Historical demand'!F242-'5. Historical demand'!C242-'5. Historical demand'!D242,""),"")</f>
        <v>358.67</v>
      </c>
      <c r="I242" s="22">
        <f t="shared" si="11"/>
        <v>206.20499999999998</v>
      </c>
    </row>
    <row r="243" spans="2:9" x14ac:dyDescent="0.2">
      <c r="B243" s="203">
        <f t="shared" si="9"/>
        <v>45674</v>
      </c>
      <c r="C243" s="92">
        <v>206.32999999999998</v>
      </c>
      <c r="D243" s="92"/>
      <c r="E243" s="92">
        <v>5.6929999999999996</v>
      </c>
      <c r="F243" s="92">
        <v>565</v>
      </c>
      <c r="G243" s="22">
        <f t="shared" si="10"/>
        <v>559.30700000000002</v>
      </c>
      <c r="H243" s="22">
        <f>IFERROR(IF(Yearending&gt;B242,'5. Historical demand'!F243-'5. Historical demand'!C243-'5. Historical demand'!D243,""),"")</f>
        <v>358.67</v>
      </c>
      <c r="I243" s="22">
        <f t="shared" si="11"/>
        <v>200.63699999999997</v>
      </c>
    </row>
    <row r="244" spans="2:9" x14ac:dyDescent="0.2">
      <c r="B244" s="203">
        <f t="shared" si="9"/>
        <v>45675</v>
      </c>
      <c r="C244" s="92">
        <v>206.32999999999998</v>
      </c>
      <c r="D244" s="92"/>
      <c r="E244" s="92">
        <v>1.7999999999999999E-2</v>
      </c>
      <c r="F244" s="92">
        <v>565</v>
      </c>
      <c r="G244" s="22">
        <f t="shared" si="10"/>
        <v>564.98199999999997</v>
      </c>
      <c r="H244" s="22">
        <f>IFERROR(IF(Yearending&gt;B243,'5. Historical demand'!F244-'5. Historical demand'!C244-'5. Historical demand'!D244,""),"")</f>
        <v>358.67</v>
      </c>
      <c r="I244" s="22">
        <f t="shared" si="11"/>
        <v>206.31199999999998</v>
      </c>
    </row>
    <row r="245" spans="2:9" x14ac:dyDescent="0.2">
      <c r="B245" s="203">
        <f t="shared" si="9"/>
        <v>45676</v>
      </c>
      <c r="C245" s="92">
        <v>206.32999999999998</v>
      </c>
      <c r="D245" s="92"/>
      <c r="E245" s="92">
        <v>0</v>
      </c>
      <c r="F245" s="92">
        <v>565</v>
      </c>
      <c r="G245" s="22">
        <f t="shared" si="10"/>
        <v>565</v>
      </c>
      <c r="H245" s="22">
        <f>IFERROR(IF(Yearending&gt;B244,'5. Historical demand'!F245-'5. Historical demand'!C245-'5. Historical demand'!D245,""),"")</f>
        <v>358.67</v>
      </c>
      <c r="I245" s="22">
        <f t="shared" si="11"/>
        <v>206.32999999999998</v>
      </c>
    </row>
    <row r="246" spans="2:9" x14ac:dyDescent="0.2">
      <c r="B246" s="203">
        <f t="shared" si="9"/>
        <v>45677</v>
      </c>
      <c r="C246" s="92">
        <v>206.32999999999998</v>
      </c>
      <c r="D246" s="92"/>
      <c r="E246" s="92">
        <v>3.4000000000000002E-2</v>
      </c>
      <c r="F246" s="92">
        <v>565</v>
      </c>
      <c r="G246" s="22">
        <f t="shared" si="10"/>
        <v>564.96600000000001</v>
      </c>
      <c r="H246" s="22">
        <f>IFERROR(IF(Yearending&gt;B245,'5. Historical demand'!F246-'5. Historical demand'!C246-'5. Historical demand'!D246,""),"")</f>
        <v>358.67</v>
      </c>
      <c r="I246" s="22">
        <f t="shared" si="11"/>
        <v>206.29599999999999</v>
      </c>
    </row>
    <row r="247" spans="2:9" x14ac:dyDescent="0.2">
      <c r="B247" s="203">
        <f t="shared" si="9"/>
        <v>45678</v>
      </c>
      <c r="C247" s="92">
        <v>206.32999999999998</v>
      </c>
      <c r="D247" s="92"/>
      <c r="E247" s="92">
        <v>13.292</v>
      </c>
      <c r="F247" s="92">
        <v>565</v>
      </c>
      <c r="G247" s="22">
        <f t="shared" si="10"/>
        <v>551.70799999999997</v>
      </c>
      <c r="H247" s="22">
        <f>IFERROR(IF(Yearending&gt;B246,'5. Historical demand'!F247-'5. Historical demand'!C247-'5. Historical demand'!D247,""),"")</f>
        <v>358.67</v>
      </c>
      <c r="I247" s="22">
        <f t="shared" si="11"/>
        <v>193.03799999999998</v>
      </c>
    </row>
    <row r="248" spans="2:9" x14ac:dyDescent="0.2">
      <c r="B248" s="203">
        <f t="shared" si="9"/>
        <v>45679</v>
      </c>
      <c r="C248" s="92">
        <v>206.32999999999998</v>
      </c>
      <c r="D248" s="92"/>
      <c r="E248" s="92">
        <v>11.101000000000001</v>
      </c>
      <c r="F248" s="92">
        <v>565</v>
      </c>
      <c r="G248" s="22">
        <f t="shared" si="10"/>
        <v>553.899</v>
      </c>
      <c r="H248" s="22">
        <f>IFERROR(IF(Yearending&gt;B247,'5. Historical demand'!F248-'5. Historical demand'!C248-'5. Historical demand'!D248,""),"")</f>
        <v>358.67</v>
      </c>
      <c r="I248" s="22">
        <f t="shared" si="11"/>
        <v>195.22899999999998</v>
      </c>
    </row>
    <row r="249" spans="2:9" x14ac:dyDescent="0.2">
      <c r="B249" s="203">
        <f t="shared" si="9"/>
        <v>45680</v>
      </c>
      <c r="C249" s="92">
        <v>206.32999999999998</v>
      </c>
      <c r="D249" s="92"/>
      <c r="E249" s="92">
        <v>5.7850000000000001</v>
      </c>
      <c r="F249" s="92">
        <v>565</v>
      </c>
      <c r="G249" s="22">
        <f t="shared" si="10"/>
        <v>559.21500000000003</v>
      </c>
      <c r="H249" s="22">
        <f>IFERROR(IF(Yearending&gt;B248,'5. Historical demand'!F249-'5. Historical demand'!C249-'5. Historical demand'!D249,""),"")</f>
        <v>358.67</v>
      </c>
      <c r="I249" s="22">
        <f t="shared" si="11"/>
        <v>200.54499999999999</v>
      </c>
    </row>
    <row r="250" spans="2:9" x14ac:dyDescent="0.2">
      <c r="B250" s="203">
        <f t="shared" si="9"/>
        <v>45681</v>
      </c>
      <c r="C250" s="92">
        <v>206.32999999999998</v>
      </c>
      <c r="D250" s="92"/>
      <c r="E250" s="92">
        <v>12.92</v>
      </c>
      <c r="F250" s="92">
        <v>565</v>
      </c>
      <c r="G250" s="22">
        <f t="shared" si="10"/>
        <v>552.08000000000004</v>
      </c>
      <c r="H250" s="22">
        <f>IFERROR(IF(Yearending&gt;B249,'5. Historical demand'!F250-'5. Historical demand'!C250-'5. Historical demand'!D250,""),"")</f>
        <v>358.67</v>
      </c>
      <c r="I250" s="22">
        <f t="shared" si="11"/>
        <v>193.41</v>
      </c>
    </row>
    <row r="251" spans="2:9" x14ac:dyDescent="0.2">
      <c r="B251" s="203">
        <f t="shared" si="9"/>
        <v>45682</v>
      </c>
      <c r="C251" s="92">
        <v>206.32999999999998</v>
      </c>
      <c r="D251" s="92"/>
      <c r="E251" s="92">
        <v>23.381</v>
      </c>
      <c r="F251" s="92">
        <v>565</v>
      </c>
      <c r="G251" s="22">
        <f t="shared" si="10"/>
        <v>541.61900000000003</v>
      </c>
      <c r="H251" s="22">
        <f>IFERROR(IF(Yearending&gt;B250,'5. Historical demand'!F251-'5. Historical demand'!C251-'5. Historical demand'!D251,""),"")</f>
        <v>358.67</v>
      </c>
      <c r="I251" s="22">
        <f t="shared" si="11"/>
        <v>182.94899999999998</v>
      </c>
    </row>
    <row r="252" spans="2:9" x14ac:dyDescent="0.2">
      <c r="B252" s="203">
        <f t="shared" si="9"/>
        <v>45683</v>
      </c>
      <c r="C252" s="92">
        <v>206.32999999999998</v>
      </c>
      <c r="D252" s="92"/>
      <c r="E252" s="92">
        <v>10.425000000000001</v>
      </c>
      <c r="F252" s="92">
        <v>565</v>
      </c>
      <c r="G252" s="22">
        <f t="shared" si="10"/>
        <v>554.57500000000005</v>
      </c>
      <c r="H252" s="22">
        <f>IFERROR(IF(Yearending&gt;B251,'5. Historical demand'!F252-'5. Historical demand'!C252-'5. Historical demand'!D252,""),"")</f>
        <v>358.67</v>
      </c>
      <c r="I252" s="22">
        <f t="shared" si="11"/>
        <v>195.90499999999997</v>
      </c>
    </row>
    <row r="253" spans="2:9" x14ac:dyDescent="0.2">
      <c r="B253" s="203">
        <f t="shared" si="9"/>
        <v>45684</v>
      </c>
      <c r="C253" s="92">
        <v>206.32999999999998</v>
      </c>
      <c r="D253" s="92"/>
      <c r="E253" s="92">
        <v>44.396999999999998</v>
      </c>
      <c r="F253" s="92">
        <v>565</v>
      </c>
      <c r="G253" s="22">
        <f t="shared" si="10"/>
        <v>520.60299999999995</v>
      </c>
      <c r="H253" s="22">
        <f>IFERROR(IF(Yearending&gt;B252,'5. Historical demand'!F253-'5. Historical demand'!C253-'5. Historical demand'!D253,""),"")</f>
        <v>358.67</v>
      </c>
      <c r="I253" s="22">
        <f t="shared" si="11"/>
        <v>161.93299999999999</v>
      </c>
    </row>
    <row r="254" spans="2:9" x14ac:dyDescent="0.2">
      <c r="B254" s="203">
        <f t="shared" si="9"/>
        <v>45685</v>
      </c>
      <c r="C254" s="92">
        <v>206.32999999999998</v>
      </c>
      <c r="D254" s="92"/>
      <c r="E254" s="92">
        <v>22.850999999999999</v>
      </c>
      <c r="F254" s="92">
        <v>565</v>
      </c>
      <c r="G254" s="22">
        <f t="shared" si="10"/>
        <v>542.149</v>
      </c>
      <c r="H254" s="22">
        <f>IFERROR(IF(Yearending&gt;B253,'5. Historical demand'!F254-'5. Historical demand'!C254-'5. Historical demand'!D254,""),"")</f>
        <v>358.67</v>
      </c>
      <c r="I254" s="22">
        <f t="shared" si="11"/>
        <v>183.47899999999998</v>
      </c>
    </row>
    <row r="255" spans="2:9" x14ac:dyDescent="0.2">
      <c r="B255" s="203">
        <f t="shared" si="9"/>
        <v>45686</v>
      </c>
      <c r="C255" s="92">
        <v>206.32999999999998</v>
      </c>
      <c r="D255" s="92"/>
      <c r="E255" s="92">
        <v>15.956</v>
      </c>
      <c r="F255" s="92">
        <v>565</v>
      </c>
      <c r="G255" s="22">
        <f t="shared" si="10"/>
        <v>549.04399999999998</v>
      </c>
      <c r="H255" s="22">
        <f>IFERROR(IF(Yearending&gt;B254,'5. Historical demand'!F255-'5. Historical demand'!C255-'5. Historical demand'!D255,""),"")</f>
        <v>358.67</v>
      </c>
      <c r="I255" s="22">
        <f t="shared" si="11"/>
        <v>190.374</v>
      </c>
    </row>
    <row r="256" spans="2:9" x14ac:dyDescent="0.2">
      <c r="B256" s="203">
        <f t="shared" si="9"/>
        <v>45687</v>
      </c>
      <c r="C256" s="92">
        <v>206.32999999999998</v>
      </c>
      <c r="D256" s="92"/>
      <c r="E256" s="92">
        <v>0.19700000000000001</v>
      </c>
      <c r="F256" s="92">
        <v>565</v>
      </c>
      <c r="G256" s="22">
        <f t="shared" si="10"/>
        <v>564.803</v>
      </c>
      <c r="H256" s="22">
        <f>IFERROR(IF(Yearending&gt;B255,'5. Historical demand'!F256-'5. Historical demand'!C256-'5. Historical demand'!D256,""),"")</f>
        <v>358.67</v>
      </c>
      <c r="I256" s="22">
        <f t="shared" si="11"/>
        <v>206.13299999999998</v>
      </c>
    </row>
    <row r="257" spans="2:9" x14ac:dyDescent="0.2">
      <c r="B257" s="203">
        <f t="shared" si="9"/>
        <v>45688</v>
      </c>
      <c r="C257" s="92">
        <v>206.32999999999998</v>
      </c>
      <c r="D257" s="92"/>
      <c r="E257" s="92">
        <v>9.2370000000000001</v>
      </c>
      <c r="F257" s="92">
        <v>565</v>
      </c>
      <c r="G257" s="22">
        <f t="shared" si="10"/>
        <v>555.76300000000003</v>
      </c>
      <c r="H257" s="22">
        <f>IFERROR(IF(Yearending&gt;B256,'5. Historical demand'!F257-'5. Historical demand'!C257-'5. Historical demand'!D257,""),"")</f>
        <v>358.67</v>
      </c>
      <c r="I257" s="22">
        <f t="shared" si="11"/>
        <v>197.09299999999999</v>
      </c>
    </row>
    <row r="258" spans="2:9" x14ac:dyDescent="0.2">
      <c r="B258" s="203">
        <f t="shared" si="9"/>
        <v>45689</v>
      </c>
      <c r="C258" s="92">
        <v>206.95</v>
      </c>
      <c r="D258" s="92"/>
      <c r="E258" s="92">
        <v>27.193000000000001</v>
      </c>
      <c r="F258" s="92">
        <v>565</v>
      </c>
      <c r="G258" s="22">
        <f t="shared" si="10"/>
        <v>537.80700000000002</v>
      </c>
      <c r="H258" s="22">
        <f>IFERROR(IF(Yearending&gt;B257,'5. Historical demand'!F258-'5. Historical demand'!C258-'5. Historical demand'!D258,""),"")</f>
        <v>358.05</v>
      </c>
      <c r="I258" s="22">
        <f t="shared" si="11"/>
        <v>179.75699999999998</v>
      </c>
    </row>
    <row r="259" spans="2:9" x14ac:dyDescent="0.2">
      <c r="B259" s="203">
        <f t="shared" si="9"/>
        <v>45690</v>
      </c>
      <c r="C259" s="92">
        <v>206.95</v>
      </c>
      <c r="D259" s="92"/>
      <c r="E259" s="92">
        <v>44.606000000000002</v>
      </c>
      <c r="F259" s="92">
        <v>565</v>
      </c>
      <c r="G259" s="22">
        <f t="shared" si="10"/>
        <v>520.39400000000001</v>
      </c>
      <c r="H259" s="22">
        <f>IFERROR(IF(Yearending&gt;B258,'5. Historical demand'!F259-'5. Historical demand'!C259-'5. Historical demand'!D259,""),"")</f>
        <v>358.05</v>
      </c>
      <c r="I259" s="22">
        <f t="shared" si="11"/>
        <v>162.34399999999999</v>
      </c>
    </row>
    <row r="260" spans="2:9" x14ac:dyDescent="0.2">
      <c r="B260" s="203">
        <f t="shared" si="9"/>
        <v>45691</v>
      </c>
      <c r="C260" s="92">
        <v>206.95</v>
      </c>
      <c r="D260" s="92"/>
      <c r="E260" s="92">
        <v>34.213000000000001</v>
      </c>
      <c r="F260" s="92">
        <v>565</v>
      </c>
      <c r="G260" s="22">
        <f t="shared" si="10"/>
        <v>530.78700000000003</v>
      </c>
      <c r="H260" s="22">
        <f>IFERROR(IF(Yearending&gt;B259,'5. Historical demand'!F260-'5. Historical demand'!C260-'5. Historical demand'!D260,""),"")</f>
        <v>358.05</v>
      </c>
      <c r="I260" s="22">
        <f t="shared" si="11"/>
        <v>172.73699999999999</v>
      </c>
    </row>
    <row r="261" spans="2:9" x14ac:dyDescent="0.2">
      <c r="B261" s="203">
        <f t="shared" si="9"/>
        <v>45692</v>
      </c>
      <c r="C261" s="92">
        <v>206.95</v>
      </c>
      <c r="D261" s="92"/>
      <c r="E261" s="92">
        <v>32.487000000000002</v>
      </c>
      <c r="F261" s="92">
        <v>565</v>
      </c>
      <c r="G261" s="22">
        <f t="shared" si="10"/>
        <v>532.51300000000003</v>
      </c>
      <c r="H261" s="22">
        <f>IFERROR(IF(Yearending&gt;B260,'5. Historical demand'!F261-'5. Historical demand'!C261-'5. Historical demand'!D261,""),"")</f>
        <v>358.05</v>
      </c>
      <c r="I261" s="22">
        <f t="shared" si="11"/>
        <v>174.46299999999999</v>
      </c>
    </row>
    <row r="262" spans="2:9" x14ac:dyDescent="0.2">
      <c r="B262" s="203">
        <f t="shared" si="9"/>
        <v>45693</v>
      </c>
      <c r="C262" s="92">
        <v>206.95</v>
      </c>
      <c r="D262" s="92"/>
      <c r="E262" s="92">
        <v>29.004999999999999</v>
      </c>
      <c r="F262" s="92">
        <v>565</v>
      </c>
      <c r="G262" s="22">
        <f t="shared" si="10"/>
        <v>535.995</v>
      </c>
      <c r="H262" s="22">
        <f>IFERROR(IF(Yearending&gt;B261,'5. Historical demand'!F262-'5. Historical demand'!C262-'5. Historical demand'!D262,""),"")</f>
        <v>358.05</v>
      </c>
      <c r="I262" s="22">
        <f t="shared" si="11"/>
        <v>177.94499999999999</v>
      </c>
    </row>
    <row r="263" spans="2:9" x14ac:dyDescent="0.2">
      <c r="B263" s="203">
        <f t="shared" si="9"/>
        <v>45694</v>
      </c>
      <c r="C263" s="92">
        <v>206.95</v>
      </c>
      <c r="D263" s="92"/>
      <c r="E263" s="92">
        <v>18.786999999999999</v>
      </c>
      <c r="F263" s="92">
        <v>565</v>
      </c>
      <c r="G263" s="22">
        <f t="shared" si="10"/>
        <v>546.21299999999997</v>
      </c>
      <c r="H263" s="22">
        <f>IFERROR(IF(Yearending&gt;B262,'5. Historical demand'!F263-'5. Historical demand'!C263-'5. Historical demand'!D263,""),"")</f>
        <v>358.05</v>
      </c>
      <c r="I263" s="22">
        <f t="shared" si="11"/>
        <v>188.16299999999998</v>
      </c>
    </row>
    <row r="264" spans="2:9" x14ac:dyDescent="0.2">
      <c r="B264" s="203">
        <f t="shared" si="9"/>
        <v>45695</v>
      </c>
      <c r="C264" s="92">
        <v>206.95</v>
      </c>
      <c r="D264" s="92"/>
      <c r="E264" s="92">
        <v>0.52900000000000003</v>
      </c>
      <c r="F264" s="92">
        <v>565</v>
      </c>
      <c r="G264" s="22">
        <f t="shared" si="10"/>
        <v>564.471</v>
      </c>
      <c r="H264" s="22">
        <f>IFERROR(IF(Yearending&gt;B263,'5. Historical demand'!F264-'5. Historical demand'!C264-'5. Historical demand'!D264,""),"")</f>
        <v>358.05</v>
      </c>
      <c r="I264" s="22">
        <f t="shared" si="11"/>
        <v>206.42099999999999</v>
      </c>
    </row>
    <row r="265" spans="2:9" x14ac:dyDescent="0.2">
      <c r="B265" s="203">
        <f t="shared" si="9"/>
        <v>45696</v>
      </c>
      <c r="C265" s="92">
        <v>206.95</v>
      </c>
      <c r="D265" s="92"/>
      <c r="E265" s="92">
        <v>0.45600000000000002</v>
      </c>
      <c r="F265" s="92">
        <v>565</v>
      </c>
      <c r="G265" s="22">
        <f t="shared" si="10"/>
        <v>564.54399999999998</v>
      </c>
      <c r="H265" s="22">
        <f>IFERROR(IF(Yearending&gt;B264,'5. Historical demand'!F265-'5. Historical demand'!C265-'5. Historical demand'!D265,""),"")</f>
        <v>358.05</v>
      </c>
      <c r="I265" s="22">
        <f t="shared" si="11"/>
        <v>206.494</v>
      </c>
    </row>
    <row r="266" spans="2:9" x14ac:dyDescent="0.2">
      <c r="B266" s="203">
        <f t="shared" si="9"/>
        <v>45697</v>
      </c>
      <c r="C266" s="92">
        <v>206.95</v>
      </c>
      <c r="D266" s="92"/>
      <c r="E266" s="92">
        <v>0.29599999999999999</v>
      </c>
      <c r="F266" s="92">
        <v>565</v>
      </c>
      <c r="G266" s="22">
        <f t="shared" si="10"/>
        <v>564.70399999999995</v>
      </c>
      <c r="H266" s="22">
        <f>IFERROR(IF(Yearending&gt;B265,'5. Historical demand'!F266-'5. Historical demand'!C266-'5. Historical demand'!D266,""),"")</f>
        <v>358.05</v>
      </c>
      <c r="I266" s="22">
        <f t="shared" si="11"/>
        <v>206.654</v>
      </c>
    </row>
    <row r="267" spans="2:9" x14ac:dyDescent="0.2">
      <c r="B267" s="203">
        <f t="shared" si="9"/>
        <v>45698</v>
      </c>
      <c r="C267" s="92">
        <v>206.95</v>
      </c>
      <c r="D267" s="92"/>
      <c r="E267" s="92">
        <v>0.54500000000000004</v>
      </c>
      <c r="F267" s="92">
        <v>565</v>
      </c>
      <c r="G267" s="22">
        <f t="shared" si="10"/>
        <v>564.45500000000004</v>
      </c>
      <c r="H267" s="22">
        <f>IFERROR(IF(Yearending&gt;B266,'5. Historical demand'!F267-'5. Historical demand'!C267-'5. Historical demand'!D267,""),"")</f>
        <v>358.05</v>
      </c>
      <c r="I267" s="22">
        <f t="shared" si="11"/>
        <v>206.405</v>
      </c>
    </row>
    <row r="268" spans="2:9" x14ac:dyDescent="0.2">
      <c r="B268" s="203">
        <f t="shared" si="9"/>
        <v>45699</v>
      </c>
      <c r="C268" s="92">
        <v>206.95</v>
      </c>
      <c r="D268" s="92"/>
      <c r="E268" s="92">
        <v>45.171999999999997</v>
      </c>
      <c r="F268" s="92">
        <v>565</v>
      </c>
      <c r="G268" s="22">
        <f t="shared" si="10"/>
        <v>519.82799999999997</v>
      </c>
      <c r="H268" s="22">
        <f>IFERROR(IF(Yearending&gt;B267,'5. Historical demand'!F268-'5. Historical demand'!C268-'5. Historical demand'!D268,""),"")</f>
        <v>358.05</v>
      </c>
      <c r="I268" s="22">
        <f t="shared" si="11"/>
        <v>161.77799999999999</v>
      </c>
    </row>
    <row r="269" spans="2:9" x14ac:dyDescent="0.2">
      <c r="B269" s="203">
        <f t="shared" si="9"/>
        <v>45700</v>
      </c>
      <c r="C269" s="92">
        <v>206.95</v>
      </c>
      <c r="D269" s="92"/>
      <c r="E269" s="92">
        <v>36.665999999999997</v>
      </c>
      <c r="F269" s="92">
        <v>565</v>
      </c>
      <c r="G269" s="22">
        <f t="shared" si="10"/>
        <v>528.33400000000006</v>
      </c>
      <c r="H269" s="22">
        <f>IFERROR(IF(Yearending&gt;B268,'5. Historical demand'!F269-'5. Historical demand'!C269-'5. Historical demand'!D269,""),"")</f>
        <v>358.05</v>
      </c>
      <c r="I269" s="22">
        <f t="shared" si="11"/>
        <v>170.28399999999999</v>
      </c>
    </row>
    <row r="270" spans="2:9" x14ac:dyDescent="0.2">
      <c r="B270" s="203">
        <f t="shared" si="9"/>
        <v>45701</v>
      </c>
      <c r="C270" s="92">
        <v>206.95</v>
      </c>
      <c r="D270" s="92"/>
      <c r="E270" s="92">
        <v>1.39</v>
      </c>
      <c r="F270" s="92">
        <v>565</v>
      </c>
      <c r="G270" s="22">
        <f t="shared" si="10"/>
        <v>563.61</v>
      </c>
      <c r="H270" s="22">
        <f>IFERROR(IF(Yearending&gt;B269,'5. Historical demand'!F270-'5. Historical demand'!C270-'5. Historical demand'!D270,""),"")</f>
        <v>358.05</v>
      </c>
      <c r="I270" s="22">
        <f t="shared" si="11"/>
        <v>205.56</v>
      </c>
    </row>
    <row r="271" spans="2:9" x14ac:dyDescent="0.2">
      <c r="B271" s="203">
        <f t="shared" si="9"/>
        <v>45702</v>
      </c>
      <c r="C271" s="92">
        <v>206.95</v>
      </c>
      <c r="D271" s="92"/>
      <c r="E271" s="92">
        <v>1.204</v>
      </c>
      <c r="F271" s="92">
        <v>565</v>
      </c>
      <c r="G271" s="22">
        <f t="shared" si="10"/>
        <v>563.79600000000005</v>
      </c>
      <c r="H271" s="22">
        <f>IFERROR(IF(Yearending&gt;B270,'5. Historical demand'!F271-'5. Historical demand'!C271-'5. Historical demand'!D271,""),"")</f>
        <v>358.05</v>
      </c>
      <c r="I271" s="22">
        <f t="shared" si="11"/>
        <v>205.74599999999998</v>
      </c>
    </row>
    <row r="272" spans="2:9" x14ac:dyDescent="0.2">
      <c r="B272" s="203">
        <f t="shared" si="9"/>
        <v>45703</v>
      </c>
      <c r="C272" s="92">
        <v>206.95</v>
      </c>
      <c r="D272" s="92"/>
      <c r="E272" s="92">
        <v>0.26400000000000001</v>
      </c>
      <c r="F272" s="92">
        <v>565</v>
      </c>
      <c r="G272" s="22">
        <f t="shared" si="10"/>
        <v>564.73599999999999</v>
      </c>
      <c r="H272" s="22">
        <f>IFERROR(IF(Yearending&gt;B271,'5. Historical demand'!F272-'5. Historical demand'!C272-'5. Historical demand'!D272,""),"")</f>
        <v>358.05</v>
      </c>
      <c r="I272" s="22">
        <f t="shared" si="11"/>
        <v>206.68599999999998</v>
      </c>
    </row>
    <row r="273" spans="2:9" x14ac:dyDescent="0.2">
      <c r="B273" s="203">
        <f t="shared" si="9"/>
        <v>45704</v>
      </c>
      <c r="C273" s="92">
        <v>206.95</v>
      </c>
      <c r="D273" s="92"/>
      <c r="E273" s="92">
        <v>0.39600000000000002</v>
      </c>
      <c r="F273" s="92">
        <v>565</v>
      </c>
      <c r="G273" s="22">
        <f t="shared" si="10"/>
        <v>564.60400000000004</v>
      </c>
      <c r="H273" s="22">
        <f>IFERROR(IF(Yearending&gt;B272,'5. Historical demand'!F273-'5. Historical demand'!C273-'5. Historical demand'!D273,""),"")</f>
        <v>358.05</v>
      </c>
      <c r="I273" s="22">
        <f t="shared" si="11"/>
        <v>206.554</v>
      </c>
    </row>
    <row r="274" spans="2:9" x14ac:dyDescent="0.2">
      <c r="B274" s="203">
        <f t="shared" si="9"/>
        <v>45705</v>
      </c>
      <c r="C274" s="92">
        <v>206.95</v>
      </c>
      <c r="D274" s="92"/>
      <c r="E274" s="92">
        <v>12.58</v>
      </c>
      <c r="F274" s="92">
        <v>565</v>
      </c>
      <c r="G274" s="22">
        <f t="shared" si="10"/>
        <v>552.41999999999996</v>
      </c>
      <c r="H274" s="22">
        <f>IFERROR(IF(Yearending&gt;B273,'5. Historical demand'!F274-'5. Historical demand'!C274-'5. Historical demand'!D274,""),"")</f>
        <v>358.05</v>
      </c>
      <c r="I274" s="22">
        <f t="shared" si="11"/>
        <v>194.36999999999998</v>
      </c>
    </row>
    <row r="275" spans="2:9" x14ac:dyDescent="0.2">
      <c r="B275" s="203">
        <f t="shared" si="9"/>
        <v>45706</v>
      </c>
      <c r="C275" s="92">
        <v>206.95</v>
      </c>
      <c r="D275" s="92"/>
      <c r="E275" s="92">
        <v>0.56299999999999994</v>
      </c>
      <c r="F275" s="92">
        <v>565</v>
      </c>
      <c r="G275" s="22">
        <f t="shared" si="10"/>
        <v>564.43700000000001</v>
      </c>
      <c r="H275" s="22">
        <f>IFERROR(IF(Yearending&gt;B274,'5. Historical demand'!F275-'5. Historical demand'!C275-'5. Historical demand'!D275,""),"")</f>
        <v>358.05</v>
      </c>
      <c r="I275" s="22">
        <f t="shared" si="11"/>
        <v>206.387</v>
      </c>
    </row>
    <row r="276" spans="2:9" x14ac:dyDescent="0.2">
      <c r="B276" s="203">
        <f t="shared" si="9"/>
        <v>45707</v>
      </c>
      <c r="C276" s="92">
        <v>206.95</v>
      </c>
      <c r="D276" s="92"/>
      <c r="E276" s="92">
        <v>0.41099999999999998</v>
      </c>
      <c r="F276" s="92">
        <v>565</v>
      </c>
      <c r="G276" s="22">
        <f t="shared" si="10"/>
        <v>564.58900000000006</v>
      </c>
      <c r="H276" s="22">
        <f>IFERROR(IF(Yearending&gt;B275,'5. Historical demand'!F276-'5. Historical demand'!C276-'5. Historical demand'!D276,""),"")</f>
        <v>358.05</v>
      </c>
      <c r="I276" s="22">
        <f t="shared" si="11"/>
        <v>206.53899999999999</v>
      </c>
    </row>
    <row r="277" spans="2:9" x14ac:dyDescent="0.2">
      <c r="B277" s="203">
        <f t="shared" si="9"/>
        <v>45708</v>
      </c>
      <c r="C277" s="92">
        <v>206.95</v>
      </c>
      <c r="D277" s="92"/>
      <c r="E277" s="92">
        <v>19.029</v>
      </c>
      <c r="F277" s="92">
        <v>565</v>
      </c>
      <c r="G277" s="22">
        <f t="shared" si="10"/>
        <v>545.971</v>
      </c>
      <c r="H277" s="22">
        <f>IFERROR(IF(Yearending&gt;B276,'5. Historical demand'!F277-'5. Historical demand'!C277-'5. Historical demand'!D277,""),"")</f>
        <v>358.05</v>
      </c>
      <c r="I277" s="22">
        <f t="shared" si="11"/>
        <v>187.92099999999999</v>
      </c>
    </row>
    <row r="278" spans="2:9" x14ac:dyDescent="0.2">
      <c r="B278" s="203">
        <f t="shared" si="9"/>
        <v>45709</v>
      </c>
      <c r="C278" s="92">
        <v>206.95</v>
      </c>
      <c r="D278" s="92"/>
      <c r="E278" s="92">
        <v>25.553999999999998</v>
      </c>
      <c r="F278" s="92">
        <v>565</v>
      </c>
      <c r="G278" s="22">
        <f t="shared" si="10"/>
        <v>539.44600000000003</v>
      </c>
      <c r="H278" s="22">
        <f>IFERROR(IF(Yearending&gt;B277,'5. Historical demand'!F278-'5. Historical demand'!C278-'5. Historical demand'!D278,""),"")</f>
        <v>358.05</v>
      </c>
      <c r="I278" s="22">
        <f t="shared" si="11"/>
        <v>181.39599999999999</v>
      </c>
    </row>
    <row r="279" spans="2:9" x14ac:dyDescent="0.2">
      <c r="B279" s="203">
        <f t="shared" si="9"/>
        <v>45710</v>
      </c>
      <c r="C279" s="92">
        <v>206.95</v>
      </c>
      <c r="D279" s="92"/>
      <c r="E279" s="92">
        <v>18.77</v>
      </c>
      <c r="F279" s="92">
        <v>565</v>
      </c>
      <c r="G279" s="22">
        <f t="shared" si="10"/>
        <v>546.23</v>
      </c>
      <c r="H279" s="22">
        <f>IFERROR(IF(Yearending&gt;B278,'5. Historical demand'!F279-'5. Historical demand'!C279-'5. Historical demand'!D279,""),"")</f>
        <v>358.05</v>
      </c>
      <c r="I279" s="22">
        <f t="shared" si="11"/>
        <v>188.17999999999998</v>
      </c>
    </row>
    <row r="280" spans="2:9" x14ac:dyDescent="0.2">
      <c r="B280" s="203">
        <f t="shared" si="9"/>
        <v>45711</v>
      </c>
      <c r="C280" s="92">
        <v>206.95</v>
      </c>
      <c r="D280" s="92"/>
      <c r="E280" s="92">
        <v>13.989000000000001</v>
      </c>
      <c r="F280" s="92">
        <v>565</v>
      </c>
      <c r="G280" s="22">
        <f t="shared" si="10"/>
        <v>551.01099999999997</v>
      </c>
      <c r="H280" s="22">
        <f>IFERROR(IF(Yearending&gt;B279,'5. Historical demand'!F280-'5. Historical demand'!C280-'5. Historical demand'!D280,""),"")</f>
        <v>358.05</v>
      </c>
      <c r="I280" s="22">
        <f t="shared" si="11"/>
        <v>192.96099999999998</v>
      </c>
    </row>
    <row r="281" spans="2:9" x14ac:dyDescent="0.2">
      <c r="B281" s="203">
        <f t="shared" si="9"/>
        <v>45712</v>
      </c>
      <c r="C281" s="92">
        <v>206.95</v>
      </c>
      <c r="D281" s="92"/>
      <c r="E281" s="92">
        <v>12</v>
      </c>
      <c r="F281" s="92">
        <v>565</v>
      </c>
      <c r="G281" s="22">
        <f t="shared" si="10"/>
        <v>553</v>
      </c>
      <c r="H281" s="22">
        <f>IFERROR(IF(Yearending&gt;B280,'5. Historical demand'!F281-'5. Historical demand'!C281-'5. Historical demand'!D281,""),"")</f>
        <v>358.05</v>
      </c>
      <c r="I281" s="22">
        <f t="shared" si="11"/>
        <v>194.95</v>
      </c>
    </row>
    <row r="282" spans="2:9" x14ac:dyDescent="0.2">
      <c r="B282" s="203">
        <f t="shared" si="9"/>
        <v>45713</v>
      </c>
      <c r="C282" s="92">
        <v>206.95</v>
      </c>
      <c r="D282" s="92"/>
      <c r="E282" s="92">
        <v>57.198999999999998</v>
      </c>
      <c r="F282" s="92">
        <v>565</v>
      </c>
      <c r="G282" s="22">
        <f t="shared" si="10"/>
        <v>507.80099999999999</v>
      </c>
      <c r="H282" s="22">
        <f>IFERROR(IF(Yearending&gt;B281,'5. Historical demand'!F282-'5. Historical demand'!C282-'5. Historical demand'!D282,""),"")</f>
        <v>358.05</v>
      </c>
      <c r="I282" s="22">
        <f t="shared" si="11"/>
        <v>149.75099999999998</v>
      </c>
    </row>
    <row r="283" spans="2:9" x14ac:dyDescent="0.2">
      <c r="B283" s="203">
        <f t="shared" si="9"/>
        <v>45714</v>
      </c>
      <c r="C283" s="92">
        <v>206.95</v>
      </c>
      <c r="D283" s="92"/>
      <c r="E283" s="92">
        <v>167.15100000000001</v>
      </c>
      <c r="F283" s="92">
        <v>565</v>
      </c>
      <c r="G283" s="22">
        <f t="shared" si="10"/>
        <v>397.84899999999999</v>
      </c>
      <c r="H283" s="22">
        <f>IFERROR(IF(Yearending&gt;B282,'5. Historical demand'!F283-'5. Historical demand'!C283-'5. Historical demand'!D283,""),"")</f>
        <v>358.05</v>
      </c>
      <c r="I283" s="22">
        <f t="shared" si="11"/>
        <v>39.798999999999978</v>
      </c>
    </row>
    <row r="284" spans="2:9" x14ac:dyDescent="0.2">
      <c r="B284" s="203">
        <f t="shared" si="9"/>
        <v>45715</v>
      </c>
      <c r="C284" s="92">
        <v>206.95</v>
      </c>
      <c r="D284" s="92"/>
      <c r="E284" s="92">
        <v>12.82</v>
      </c>
      <c r="F284" s="92">
        <v>565</v>
      </c>
      <c r="G284" s="22">
        <f t="shared" si="10"/>
        <v>552.17999999999995</v>
      </c>
      <c r="H284" s="22">
        <f>IFERROR(IF(Yearending&gt;B283,'5. Historical demand'!F284-'5. Historical demand'!C284-'5. Historical demand'!D284,""),"")</f>
        <v>358.05</v>
      </c>
      <c r="I284" s="22">
        <f t="shared" si="11"/>
        <v>194.13</v>
      </c>
    </row>
    <row r="285" spans="2:9" x14ac:dyDescent="0.2">
      <c r="B285" s="203">
        <f t="shared" si="9"/>
        <v>45716</v>
      </c>
      <c r="C285" s="92">
        <v>206.95</v>
      </c>
      <c r="D285" s="92"/>
      <c r="E285" s="92">
        <v>106.355</v>
      </c>
      <c r="F285" s="92">
        <v>565</v>
      </c>
      <c r="G285" s="22">
        <f t="shared" si="10"/>
        <v>458.64499999999998</v>
      </c>
      <c r="H285" s="22">
        <f>IFERROR(IF(Yearending&gt;B284,'5. Historical demand'!F285-'5. Historical demand'!C285-'5. Historical demand'!D285,""),"")</f>
        <v>358.05</v>
      </c>
      <c r="I285" s="22">
        <f t="shared" si="11"/>
        <v>100.59499999999998</v>
      </c>
    </row>
    <row r="286" spans="2:9" x14ac:dyDescent="0.2">
      <c r="B286" s="203">
        <f t="shared" si="9"/>
        <v>45717</v>
      </c>
      <c r="C286" s="92">
        <v>200.95</v>
      </c>
      <c r="D286" s="92"/>
      <c r="E286" s="92">
        <v>36.667999999999999</v>
      </c>
      <c r="F286" s="92">
        <v>565</v>
      </c>
      <c r="G286" s="22">
        <f t="shared" si="10"/>
        <v>528.33199999999999</v>
      </c>
      <c r="H286" s="22">
        <f>IFERROR(IF(Yearending&gt;B285,'5. Historical demand'!F286-'5. Historical demand'!C286-'5. Historical demand'!D286,""),"")</f>
        <v>364.05</v>
      </c>
      <c r="I286" s="22">
        <f t="shared" si="11"/>
        <v>164.28199999999998</v>
      </c>
    </row>
    <row r="287" spans="2:9" x14ac:dyDescent="0.2">
      <c r="B287" s="203">
        <f t="shared" si="9"/>
        <v>45718</v>
      </c>
      <c r="C287" s="92">
        <v>200.95</v>
      </c>
      <c r="D287" s="92"/>
      <c r="E287" s="92">
        <v>46.267000000000003</v>
      </c>
      <c r="F287" s="92">
        <v>565</v>
      </c>
      <c r="G287" s="22">
        <f t="shared" si="10"/>
        <v>518.73299999999995</v>
      </c>
      <c r="H287" s="22">
        <f>IFERROR(IF(Yearending&gt;B286,'5. Historical demand'!F287-'5. Historical demand'!C287-'5. Historical demand'!D287,""),"")</f>
        <v>364.05</v>
      </c>
      <c r="I287" s="22">
        <f t="shared" si="11"/>
        <v>154.68299999999999</v>
      </c>
    </row>
    <row r="288" spans="2:9" x14ac:dyDescent="0.2">
      <c r="B288" s="203">
        <f t="shared" si="9"/>
        <v>45719</v>
      </c>
      <c r="C288" s="92">
        <v>200.95</v>
      </c>
      <c r="D288" s="92"/>
      <c r="E288" s="92">
        <v>10.756</v>
      </c>
      <c r="F288" s="92">
        <v>565</v>
      </c>
      <c r="G288" s="22">
        <f t="shared" si="10"/>
        <v>554.24400000000003</v>
      </c>
      <c r="H288" s="22">
        <f>IFERROR(IF(Yearending&gt;B287,'5. Historical demand'!F288-'5. Historical demand'!C288-'5. Historical demand'!D288,""),"")</f>
        <v>364.05</v>
      </c>
      <c r="I288" s="22">
        <f t="shared" si="11"/>
        <v>190.19399999999999</v>
      </c>
    </row>
    <row r="289" spans="2:9" x14ac:dyDescent="0.2">
      <c r="B289" s="203">
        <f t="shared" si="9"/>
        <v>45720</v>
      </c>
      <c r="C289" s="92">
        <v>200.95</v>
      </c>
      <c r="D289" s="92"/>
      <c r="E289" s="92">
        <v>3.2469999999999999</v>
      </c>
      <c r="F289" s="92">
        <v>565</v>
      </c>
      <c r="G289" s="22">
        <f t="shared" si="10"/>
        <v>561.75300000000004</v>
      </c>
      <c r="H289" s="22">
        <f>IFERROR(IF(Yearending&gt;B288,'5. Historical demand'!F289-'5. Historical demand'!C289-'5. Historical demand'!D289,""),"")</f>
        <v>364.05</v>
      </c>
      <c r="I289" s="22">
        <f t="shared" si="11"/>
        <v>197.70299999999997</v>
      </c>
    </row>
    <row r="290" spans="2:9" x14ac:dyDescent="0.2">
      <c r="B290" s="203">
        <f t="shared" si="9"/>
        <v>45721</v>
      </c>
      <c r="C290" s="92">
        <v>200.95</v>
      </c>
      <c r="D290" s="92"/>
      <c r="E290" s="92">
        <v>3.09</v>
      </c>
      <c r="F290" s="92">
        <v>565</v>
      </c>
      <c r="G290" s="22">
        <f t="shared" si="10"/>
        <v>561.91</v>
      </c>
      <c r="H290" s="22">
        <f>IFERROR(IF(Yearending&gt;B289,'5. Historical demand'!F290-'5. Historical demand'!C290-'5. Historical demand'!D290,""),"")</f>
        <v>364.05</v>
      </c>
      <c r="I290" s="22">
        <f t="shared" si="11"/>
        <v>197.85999999999999</v>
      </c>
    </row>
    <row r="291" spans="2:9" x14ac:dyDescent="0.2">
      <c r="B291" s="203">
        <f t="shared" si="9"/>
        <v>45722</v>
      </c>
      <c r="C291" s="92">
        <v>200.95</v>
      </c>
      <c r="D291" s="92"/>
      <c r="E291" s="92">
        <v>7.2999999999999995E-2</v>
      </c>
      <c r="F291" s="92">
        <v>565</v>
      </c>
      <c r="G291" s="22">
        <f t="shared" si="10"/>
        <v>564.92700000000002</v>
      </c>
      <c r="H291" s="22">
        <f>IFERROR(IF(Yearending&gt;B290,'5. Historical demand'!F291-'5. Historical demand'!C291-'5. Historical demand'!D291,""),"")</f>
        <v>364.05</v>
      </c>
      <c r="I291" s="22">
        <f t="shared" si="11"/>
        <v>200.87699999999998</v>
      </c>
    </row>
    <row r="292" spans="2:9" x14ac:dyDescent="0.2">
      <c r="B292" s="203">
        <f t="shared" si="9"/>
        <v>45723</v>
      </c>
      <c r="C292" s="92">
        <v>200.95</v>
      </c>
      <c r="D292" s="92"/>
      <c r="E292" s="92">
        <v>3.7999999999999999E-2</v>
      </c>
      <c r="F292" s="92">
        <v>565</v>
      </c>
      <c r="G292" s="22">
        <f t="shared" si="10"/>
        <v>564.96199999999999</v>
      </c>
      <c r="H292" s="22">
        <f>IFERROR(IF(Yearending&gt;B291,'5. Historical demand'!F292-'5. Historical demand'!C292-'5. Historical demand'!D292,""),"")</f>
        <v>364.05</v>
      </c>
      <c r="I292" s="22">
        <f t="shared" si="11"/>
        <v>200.91199999999998</v>
      </c>
    </row>
    <row r="293" spans="2:9" x14ac:dyDescent="0.2">
      <c r="B293" s="203">
        <f t="shared" si="9"/>
        <v>45724</v>
      </c>
      <c r="C293" s="92">
        <v>200.95</v>
      </c>
      <c r="D293" s="92"/>
      <c r="E293" s="92">
        <v>78.736999999999995</v>
      </c>
      <c r="F293" s="92">
        <v>565</v>
      </c>
      <c r="G293" s="22">
        <f t="shared" si="10"/>
        <v>486.26300000000003</v>
      </c>
      <c r="H293" s="22">
        <f>IFERROR(IF(Yearending&gt;B292,'5. Historical demand'!F293-'5. Historical demand'!C293-'5. Historical demand'!D293,""),"")</f>
        <v>364.05</v>
      </c>
      <c r="I293" s="22">
        <f t="shared" si="11"/>
        <v>122.21299999999999</v>
      </c>
    </row>
    <row r="294" spans="2:9" x14ac:dyDescent="0.2">
      <c r="B294" s="203">
        <f t="shared" si="9"/>
        <v>45725</v>
      </c>
      <c r="C294" s="92">
        <v>200.95</v>
      </c>
      <c r="D294" s="92"/>
      <c r="E294" s="92">
        <v>4.4409999999999998</v>
      </c>
      <c r="F294" s="92">
        <v>565</v>
      </c>
      <c r="G294" s="22">
        <f t="shared" si="10"/>
        <v>560.55899999999997</v>
      </c>
      <c r="H294" s="22">
        <f>IFERROR(IF(Yearending&gt;B293,'5. Historical demand'!F294-'5. Historical demand'!C294-'5. Historical demand'!D294,""),"")</f>
        <v>364.05</v>
      </c>
      <c r="I294" s="22">
        <f t="shared" si="11"/>
        <v>196.50899999999999</v>
      </c>
    </row>
    <row r="295" spans="2:9" x14ac:dyDescent="0.2">
      <c r="B295" s="203">
        <f t="shared" si="9"/>
        <v>45726</v>
      </c>
      <c r="C295" s="92">
        <v>200.95</v>
      </c>
      <c r="D295" s="92"/>
      <c r="E295" s="92">
        <v>0.19500000000000001</v>
      </c>
      <c r="F295" s="92">
        <v>565</v>
      </c>
      <c r="G295" s="22">
        <f t="shared" si="10"/>
        <v>564.80499999999995</v>
      </c>
      <c r="H295" s="22">
        <f>IFERROR(IF(Yearending&gt;B294,'5. Historical demand'!F295-'5. Historical demand'!C295-'5. Historical demand'!D295,""),"")</f>
        <v>364.05</v>
      </c>
      <c r="I295" s="22">
        <f t="shared" si="11"/>
        <v>200.755</v>
      </c>
    </row>
    <row r="296" spans="2:9" x14ac:dyDescent="0.2">
      <c r="B296" s="203">
        <f t="shared" si="9"/>
        <v>45727</v>
      </c>
      <c r="C296" s="92">
        <v>200.95</v>
      </c>
      <c r="D296" s="92"/>
      <c r="E296" s="92">
        <v>0</v>
      </c>
      <c r="F296" s="92">
        <v>565</v>
      </c>
      <c r="G296" s="22">
        <f t="shared" si="10"/>
        <v>565</v>
      </c>
      <c r="H296" s="22">
        <f>IFERROR(IF(Yearending&gt;B295,'5. Historical demand'!F296-'5. Historical demand'!C296-'5. Historical demand'!D296,""),"")</f>
        <v>364.05</v>
      </c>
      <c r="I296" s="22">
        <f t="shared" si="11"/>
        <v>200.95</v>
      </c>
    </row>
    <row r="297" spans="2:9" x14ac:dyDescent="0.2">
      <c r="B297" s="203">
        <f t="shared" si="9"/>
        <v>45728</v>
      </c>
      <c r="C297" s="92">
        <v>200.95</v>
      </c>
      <c r="D297" s="92"/>
      <c r="E297" s="92">
        <v>29.696999999999999</v>
      </c>
      <c r="F297" s="92">
        <v>565</v>
      </c>
      <c r="G297" s="22">
        <f t="shared" si="10"/>
        <v>535.303</v>
      </c>
      <c r="H297" s="22">
        <f>IFERROR(IF(Yearending&gt;B296,'5. Historical demand'!F297-'5. Historical demand'!C297-'5. Historical demand'!D297,""),"")</f>
        <v>364.05</v>
      </c>
      <c r="I297" s="22">
        <f t="shared" si="11"/>
        <v>171.25299999999999</v>
      </c>
    </row>
    <row r="298" spans="2:9" x14ac:dyDescent="0.2">
      <c r="B298" s="203">
        <f t="shared" si="9"/>
        <v>45729</v>
      </c>
      <c r="C298" s="92">
        <v>200.95</v>
      </c>
      <c r="D298" s="92"/>
      <c r="E298" s="92">
        <v>27.878</v>
      </c>
      <c r="F298" s="92">
        <v>565</v>
      </c>
      <c r="G298" s="22">
        <f t="shared" si="10"/>
        <v>537.12199999999996</v>
      </c>
      <c r="H298" s="22">
        <f>IFERROR(IF(Yearending&gt;B297,'5. Historical demand'!F298-'5. Historical demand'!C298-'5. Historical demand'!D298,""),"")</f>
        <v>364.05</v>
      </c>
      <c r="I298" s="22">
        <f t="shared" si="11"/>
        <v>173.072</v>
      </c>
    </row>
    <row r="299" spans="2:9" x14ac:dyDescent="0.2">
      <c r="B299" s="203">
        <f t="shared" si="9"/>
        <v>45730</v>
      </c>
      <c r="C299" s="92">
        <v>200.95</v>
      </c>
      <c r="D299" s="92"/>
      <c r="E299" s="92">
        <v>22.242000000000001</v>
      </c>
      <c r="F299" s="92">
        <v>565</v>
      </c>
      <c r="G299" s="22">
        <f t="shared" si="10"/>
        <v>542.75800000000004</v>
      </c>
      <c r="H299" s="22">
        <f>IFERROR(IF(Yearending&gt;B298,'5. Historical demand'!F299-'5. Historical demand'!C299-'5. Historical demand'!D299,""),"")</f>
        <v>364.05</v>
      </c>
      <c r="I299" s="22">
        <f t="shared" si="11"/>
        <v>178.708</v>
      </c>
    </row>
    <row r="300" spans="2:9" x14ac:dyDescent="0.2">
      <c r="B300" s="203">
        <f t="shared" ref="B300:B363" si="12">IFERROR(IF(Yearending&gt;B299, B299+1, ""),"")</f>
        <v>45731</v>
      </c>
      <c r="C300" s="92">
        <v>200.95</v>
      </c>
      <c r="D300" s="92"/>
      <c r="E300" s="92">
        <v>0.43</v>
      </c>
      <c r="F300" s="92">
        <v>565</v>
      </c>
      <c r="G300" s="22">
        <f t="shared" ref="G300:G363" si="13">IFERROR(IF(Yearending&gt;B299,F300-E300,""),"")</f>
        <v>564.57000000000005</v>
      </c>
      <c r="H300" s="22">
        <f>IFERROR(IF(Yearending&gt;B299,'5. Historical demand'!F300-'5. Historical demand'!C300-'5. Historical demand'!D300,""),"")</f>
        <v>364.05</v>
      </c>
      <c r="I300" s="22">
        <f t="shared" ref="I300:I363" si="14">IFERROR(IF(Yearending&gt;B299,C300+D300-E300,""),"")</f>
        <v>200.51999999999998</v>
      </c>
    </row>
    <row r="301" spans="2:9" x14ac:dyDescent="0.2">
      <c r="B301" s="203">
        <f t="shared" si="12"/>
        <v>45732</v>
      </c>
      <c r="C301" s="92">
        <v>200.95</v>
      </c>
      <c r="D301" s="92"/>
      <c r="E301" s="92">
        <v>0.26300000000000001</v>
      </c>
      <c r="F301" s="92">
        <v>565</v>
      </c>
      <c r="G301" s="22">
        <f t="shared" si="13"/>
        <v>564.73699999999997</v>
      </c>
      <c r="H301" s="22">
        <f>IFERROR(IF(Yearending&gt;B300,'5. Historical demand'!F301-'5. Historical demand'!C301-'5. Historical demand'!D301,""),"")</f>
        <v>364.05</v>
      </c>
      <c r="I301" s="22">
        <f t="shared" si="14"/>
        <v>200.68699999999998</v>
      </c>
    </row>
    <row r="302" spans="2:9" x14ac:dyDescent="0.2">
      <c r="B302" s="203">
        <f t="shared" si="12"/>
        <v>45733</v>
      </c>
      <c r="C302" s="92">
        <v>200.95</v>
      </c>
      <c r="D302" s="92"/>
      <c r="E302" s="92">
        <v>0.70399999999999996</v>
      </c>
      <c r="F302" s="92">
        <v>565</v>
      </c>
      <c r="G302" s="22">
        <f t="shared" si="13"/>
        <v>564.29600000000005</v>
      </c>
      <c r="H302" s="22">
        <f>IFERROR(IF(Yearending&gt;B301,'5. Historical demand'!F302-'5. Historical demand'!C302-'5. Historical demand'!D302,""),"")</f>
        <v>364.05</v>
      </c>
      <c r="I302" s="22">
        <f t="shared" si="14"/>
        <v>200.24599999999998</v>
      </c>
    </row>
    <row r="303" spans="2:9" x14ac:dyDescent="0.2">
      <c r="B303" s="203">
        <f t="shared" si="12"/>
        <v>45734</v>
      </c>
      <c r="C303" s="92">
        <v>200.95</v>
      </c>
      <c r="D303" s="92"/>
      <c r="E303" s="92">
        <v>119.583</v>
      </c>
      <c r="F303" s="92">
        <v>565</v>
      </c>
      <c r="G303" s="22">
        <f t="shared" si="13"/>
        <v>445.41700000000003</v>
      </c>
      <c r="H303" s="22">
        <f>IFERROR(IF(Yearending&gt;B302,'5. Historical demand'!F303-'5. Historical demand'!C303-'5. Historical demand'!D303,""),"")</f>
        <v>364.05</v>
      </c>
      <c r="I303" s="22">
        <f t="shared" si="14"/>
        <v>81.36699999999999</v>
      </c>
    </row>
    <row r="304" spans="2:9" x14ac:dyDescent="0.2">
      <c r="B304" s="203">
        <f t="shared" si="12"/>
        <v>45735</v>
      </c>
      <c r="C304" s="92">
        <v>200.95</v>
      </c>
      <c r="D304" s="92"/>
      <c r="E304" s="92">
        <v>25.373000000000001</v>
      </c>
      <c r="F304" s="92">
        <v>565</v>
      </c>
      <c r="G304" s="22">
        <f t="shared" si="13"/>
        <v>539.62699999999995</v>
      </c>
      <c r="H304" s="22">
        <f>IFERROR(IF(Yearending&gt;B303,'5. Historical demand'!F304-'5. Historical demand'!C304-'5. Historical demand'!D304,""),"")</f>
        <v>364.05</v>
      </c>
      <c r="I304" s="22">
        <f t="shared" si="14"/>
        <v>175.577</v>
      </c>
    </row>
    <row r="305" spans="2:9" x14ac:dyDescent="0.2">
      <c r="B305" s="203">
        <f t="shared" si="12"/>
        <v>45736</v>
      </c>
      <c r="C305" s="92">
        <v>200.95</v>
      </c>
      <c r="D305" s="92"/>
      <c r="E305" s="92">
        <v>7.1550000000000002</v>
      </c>
      <c r="F305" s="92">
        <v>565</v>
      </c>
      <c r="G305" s="22">
        <f t="shared" si="13"/>
        <v>557.84500000000003</v>
      </c>
      <c r="H305" s="22">
        <f>IFERROR(IF(Yearending&gt;B304,'5. Historical demand'!F305-'5. Historical demand'!C305-'5. Historical demand'!D305,""),"")</f>
        <v>364.05</v>
      </c>
      <c r="I305" s="22">
        <f t="shared" si="14"/>
        <v>193.79499999999999</v>
      </c>
    </row>
    <row r="306" spans="2:9" x14ac:dyDescent="0.2">
      <c r="B306" s="203">
        <f t="shared" si="12"/>
        <v>45737</v>
      </c>
      <c r="C306" s="92">
        <v>200.95</v>
      </c>
      <c r="D306" s="92"/>
      <c r="E306" s="92">
        <v>0.33200000000000002</v>
      </c>
      <c r="F306" s="92">
        <v>565</v>
      </c>
      <c r="G306" s="22">
        <f t="shared" si="13"/>
        <v>564.66800000000001</v>
      </c>
      <c r="H306" s="22">
        <f>IFERROR(IF(Yearending&gt;B305,'5. Historical demand'!F306-'5. Historical demand'!C306-'5. Historical demand'!D306,""),"")</f>
        <v>364.05</v>
      </c>
      <c r="I306" s="22">
        <f t="shared" si="14"/>
        <v>200.61799999999999</v>
      </c>
    </row>
    <row r="307" spans="2:9" x14ac:dyDescent="0.2">
      <c r="B307" s="203">
        <f t="shared" si="12"/>
        <v>45738</v>
      </c>
      <c r="C307" s="92">
        <v>200.95</v>
      </c>
      <c r="D307" s="92"/>
      <c r="E307" s="92">
        <v>6.0010000000000003</v>
      </c>
      <c r="F307" s="92">
        <v>565</v>
      </c>
      <c r="G307" s="22">
        <f t="shared" si="13"/>
        <v>558.99900000000002</v>
      </c>
      <c r="H307" s="22">
        <f>IFERROR(IF(Yearending&gt;B306,'5. Historical demand'!F307-'5. Historical demand'!C307-'5. Historical demand'!D307,""),"")</f>
        <v>364.05</v>
      </c>
      <c r="I307" s="22">
        <f t="shared" si="14"/>
        <v>194.94899999999998</v>
      </c>
    </row>
    <row r="308" spans="2:9" x14ac:dyDescent="0.2">
      <c r="B308" s="203">
        <f t="shared" si="12"/>
        <v>45739</v>
      </c>
      <c r="C308" s="92">
        <v>200.95</v>
      </c>
      <c r="D308" s="92"/>
      <c r="E308" s="92">
        <v>1.7130000000000001</v>
      </c>
      <c r="F308" s="92">
        <v>565</v>
      </c>
      <c r="G308" s="22">
        <f t="shared" si="13"/>
        <v>563.28700000000003</v>
      </c>
      <c r="H308" s="22">
        <f>IFERROR(IF(Yearending&gt;B307,'5. Historical demand'!F308-'5. Historical demand'!C308-'5. Historical demand'!D308,""),"")</f>
        <v>364.05</v>
      </c>
      <c r="I308" s="22">
        <f t="shared" si="14"/>
        <v>199.23699999999999</v>
      </c>
    </row>
    <row r="309" spans="2:9" x14ac:dyDescent="0.2">
      <c r="B309" s="203">
        <f t="shared" si="12"/>
        <v>45740</v>
      </c>
      <c r="C309" s="92">
        <v>200.95</v>
      </c>
      <c r="D309" s="92"/>
      <c r="E309" s="92">
        <v>0</v>
      </c>
      <c r="F309" s="92">
        <v>565</v>
      </c>
      <c r="G309" s="22">
        <f t="shared" si="13"/>
        <v>565</v>
      </c>
      <c r="H309" s="22">
        <f>IFERROR(IF(Yearending&gt;B308,'5. Historical demand'!F309-'5. Historical demand'!C309-'5. Historical demand'!D309,""),"")</f>
        <v>364.05</v>
      </c>
      <c r="I309" s="22">
        <f t="shared" si="14"/>
        <v>200.95</v>
      </c>
    </row>
    <row r="310" spans="2:9" x14ac:dyDescent="0.2">
      <c r="B310" s="203">
        <f t="shared" si="12"/>
        <v>45741</v>
      </c>
      <c r="C310" s="92">
        <v>200.95</v>
      </c>
      <c r="D310" s="92"/>
      <c r="E310" s="92">
        <v>0</v>
      </c>
      <c r="F310" s="92">
        <v>565</v>
      </c>
      <c r="G310" s="22">
        <f t="shared" si="13"/>
        <v>565</v>
      </c>
      <c r="H310" s="22">
        <f>IFERROR(IF(Yearending&gt;B309,'5. Historical demand'!F310-'5. Historical demand'!C310-'5. Historical demand'!D310,""),"")</f>
        <v>364.05</v>
      </c>
      <c r="I310" s="22">
        <f t="shared" si="14"/>
        <v>200.95</v>
      </c>
    </row>
    <row r="311" spans="2:9" x14ac:dyDescent="0.2">
      <c r="B311" s="203">
        <f t="shared" si="12"/>
        <v>45742</v>
      </c>
      <c r="C311" s="92">
        <v>200.95</v>
      </c>
      <c r="D311" s="92"/>
      <c r="E311" s="92">
        <v>4.3650000000000002</v>
      </c>
      <c r="F311" s="92">
        <v>565</v>
      </c>
      <c r="G311" s="22">
        <f t="shared" si="13"/>
        <v>560.63499999999999</v>
      </c>
      <c r="H311" s="22">
        <f>IFERROR(IF(Yearending&gt;B310,'5. Historical demand'!F311-'5. Historical demand'!C311-'5. Historical demand'!D311,""),"")</f>
        <v>364.05</v>
      </c>
      <c r="I311" s="22">
        <f t="shared" si="14"/>
        <v>196.58499999999998</v>
      </c>
    </row>
    <row r="312" spans="2:9" x14ac:dyDescent="0.2">
      <c r="B312" s="203">
        <f t="shared" si="12"/>
        <v>45743</v>
      </c>
      <c r="C312" s="92">
        <v>200.95</v>
      </c>
      <c r="D312" s="92"/>
      <c r="E312" s="92">
        <v>0</v>
      </c>
      <c r="F312" s="92">
        <v>565</v>
      </c>
      <c r="G312" s="22">
        <f t="shared" si="13"/>
        <v>565</v>
      </c>
      <c r="H312" s="22">
        <f>IFERROR(IF(Yearending&gt;B311,'5. Historical demand'!F312-'5. Historical demand'!C312-'5. Historical demand'!D312,""),"")</f>
        <v>364.05</v>
      </c>
      <c r="I312" s="22">
        <f t="shared" si="14"/>
        <v>200.95</v>
      </c>
    </row>
    <row r="313" spans="2:9" x14ac:dyDescent="0.2">
      <c r="B313" s="203">
        <f t="shared" si="12"/>
        <v>45744</v>
      </c>
      <c r="C313" s="92">
        <v>200.95</v>
      </c>
      <c r="D313" s="92"/>
      <c r="E313" s="92">
        <v>0.36899999999999999</v>
      </c>
      <c r="F313" s="92">
        <v>565</v>
      </c>
      <c r="G313" s="22">
        <f t="shared" si="13"/>
        <v>564.63099999999997</v>
      </c>
      <c r="H313" s="22">
        <f>IFERROR(IF(Yearending&gt;B312,'5. Historical demand'!F313-'5. Historical demand'!C313-'5. Historical demand'!D313,""),"")</f>
        <v>364.05</v>
      </c>
      <c r="I313" s="22">
        <f t="shared" si="14"/>
        <v>200.58099999999999</v>
      </c>
    </row>
    <row r="314" spans="2:9" x14ac:dyDescent="0.2">
      <c r="B314" s="203">
        <f t="shared" si="12"/>
        <v>45745</v>
      </c>
      <c r="C314" s="92">
        <v>200.95</v>
      </c>
      <c r="D314" s="92"/>
      <c r="E314" s="92">
        <v>10.130000000000001</v>
      </c>
      <c r="F314" s="92">
        <v>565</v>
      </c>
      <c r="G314" s="22">
        <f t="shared" si="13"/>
        <v>554.87</v>
      </c>
      <c r="H314" s="22">
        <f>IFERROR(IF(Yearending&gt;B313,'5. Historical demand'!F314-'5. Historical demand'!C314-'5. Historical demand'!D314,""),"")</f>
        <v>364.05</v>
      </c>
      <c r="I314" s="22">
        <f t="shared" si="14"/>
        <v>190.82</v>
      </c>
    </row>
    <row r="315" spans="2:9" x14ac:dyDescent="0.2">
      <c r="B315" s="203">
        <f t="shared" si="12"/>
        <v>45746</v>
      </c>
      <c r="C315" s="92">
        <v>200.95</v>
      </c>
      <c r="D315" s="92"/>
      <c r="E315" s="92">
        <v>1E-3</v>
      </c>
      <c r="F315" s="92">
        <v>565</v>
      </c>
      <c r="G315" s="22">
        <f t="shared" si="13"/>
        <v>564.99900000000002</v>
      </c>
      <c r="H315" s="22">
        <f>IFERROR(IF(Yearending&gt;B314,'5. Historical demand'!F315-'5. Historical demand'!C315-'5. Historical demand'!D315,""),"")</f>
        <v>364.05</v>
      </c>
      <c r="I315" s="22">
        <f t="shared" si="14"/>
        <v>200.94899999999998</v>
      </c>
    </row>
    <row r="316" spans="2:9" x14ac:dyDescent="0.2">
      <c r="B316" s="203">
        <f t="shared" si="12"/>
        <v>45747</v>
      </c>
      <c r="C316" s="92">
        <v>200.95</v>
      </c>
      <c r="D316" s="92"/>
      <c r="E316" s="92">
        <v>0.29399999999999998</v>
      </c>
      <c r="F316" s="92">
        <v>565</v>
      </c>
      <c r="G316" s="22">
        <f t="shared" si="13"/>
        <v>564.70600000000002</v>
      </c>
      <c r="H316" s="22">
        <f>IFERROR(IF(Yearending&gt;B315,'5. Historical demand'!F316-'5. Historical demand'!C316-'5. Historical demand'!D316,""),"")</f>
        <v>364.05</v>
      </c>
      <c r="I316" s="22">
        <f t="shared" si="14"/>
        <v>200.65599999999998</v>
      </c>
    </row>
    <row r="317" spans="2:9" x14ac:dyDescent="0.2">
      <c r="B317" s="203">
        <f t="shared" si="12"/>
        <v>45748</v>
      </c>
      <c r="C317" s="92">
        <v>270.95999999999998</v>
      </c>
      <c r="D317" s="92"/>
      <c r="E317" s="92">
        <v>0.13400000000000001</v>
      </c>
      <c r="F317" s="92">
        <v>565</v>
      </c>
      <c r="G317" s="22">
        <f t="shared" si="13"/>
        <v>564.86599999999999</v>
      </c>
      <c r="H317" s="22">
        <f>IFERROR(IF(Yearending&gt;B316,'5. Historical demand'!F317-'5. Historical demand'!C317-'5. Historical demand'!D317,""),"")</f>
        <v>294.04000000000002</v>
      </c>
      <c r="I317" s="22">
        <f t="shared" si="14"/>
        <v>270.82599999999996</v>
      </c>
    </row>
    <row r="318" spans="2:9" x14ac:dyDescent="0.2">
      <c r="B318" s="203">
        <f t="shared" si="12"/>
        <v>45749</v>
      </c>
      <c r="C318" s="92">
        <v>270.95999999999998</v>
      </c>
      <c r="D318" s="92"/>
      <c r="E318" s="92">
        <v>6.9610000000000003</v>
      </c>
      <c r="F318" s="92">
        <v>565</v>
      </c>
      <c r="G318" s="22">
        <f t="shared" si="13"/>
        <v>558.03899999999999</v>
      </c>
      <c r="H318" s="22">
        <f>IFERROR(IF(Yearending&gt;B317,'5. Historical demand'!F318-'5. Historical demand'!C318-'5. Historical demand'!D318,""),"")</f>
        <v>294.04000000000002</v>
      </c>
      <c r="I318" s="22">
        <f t="shared" si="14"/>
        <v>263.99899999999997</v>
      </c>
    </row>
    <row r="319" spans="2:9" x14ac:dyDescent="0.2">
      <c r="B319" s="203">
        <f t="shared" si="12"/>
        <v>45750</v>
      </c>
      <c r="C319" s="92">
        <v>270.95999999999998</v>
      </c>
      <c r="D319" s="92"/>
      <c r="E319" s="92">
        <v>21</v>
      </c>
      <c r="F319" s="92">
        <v>565</v>
      </c>
      <c r="G319" s="22">
        <f t="shared" si="13"/>
        <v>544</v>
      </c>
      <c r="H319" s="22">
        <f>IFERROR(IF(Yearending&gt;B318,'5. Historical demand'!F319-'5. Historical demand'!C319-'5. Historical demand'!D319,""),"")</f>
        <v>294.04000000000002</v>
      </c>
      <c r="I319" s="22">
        <f t="shared" si="14"/>
        <v>249.95999999999998</v>
      </c>
    </row>
    <row r="320" spans="2:9" x14ac:dyDescent="0.2">
      <c r="B320" s="203">
        <f t="shared" si="12"/>
        <v>45751</v>
      </c>
      <c r="C320" s="92">
        <v>270.95999999999998</v>
      </c>
      <c r="D320" s="92"/>
      <c r="E320" s="92">
        <v>91.305000000000007</v>
      </c>
      <c r="F320" s="92">
        <v>565</v>
      </c>
      <c r="G320" s="22">
        <f t="shared" si="13"/>
        <v>473.69499999999999</v>
      </c>
      <c r="H320" s="22">
        <f>IFERROR(IF(Yearending&gt;B319,'5. Historical demand'!F320-'5. Historical demand'!C320-'5. Historical demand'!D320,""),"")</f>
        <v>294.04000000000002</v>
      </c>
      <c r="I320" s="22">
        <f t="shared" si="14"/>
        <v>179.65499999999997</v>
      </c>
    </row>
    <row r="321" spans="2:9" x14ac:dyDescent="0.2">
      <c r="B321" s="203">
        <f t="shared" si="12"/>
        <v>45752</v>
      </c>
      <c r="C321" s="92">
        <v>270.95999999999998</v>
      </c>
      <c r="D321" s="92"/>
      <c r="E321" s="92">
        <v>29.216999999999999</v>
      </c>
      <c r="F321" s="92">
        <v>565</v>
      </c>
      <c r="G321" s="22">
        <f t="shared" si="13"/>
        <v>535.78300000000002</v>
      </c>
      <c r="H321" s="22">
        <f>IFERROR(IF(Yearending&gt;B320,'5. Historical demand'!F321-'5. Historical demand'!C321-'5. Historical demand'!D321,""),"")</f>
        <v>294.04000000000002</v>
      </c>
      <c r="I321" s="22">
        <f t="shared" si="14"/>
        <v>241.74299999999999</v>
      </c>
    </row>
    <row r="322" spans="2:9" x14ac:dyDescent="0.2">
      <c r="B322" s="203">
        <f t="shared" si="12"/>
        <v>45753</v>
      </c>
      <c r="C322" s="92">
        <v>270.95999999999998</v>
      </c>
      <c r="D322" s="92"/>
      <c r="E322" s="92">
        <v>1.696</v>
      </c>
      <c r="F322" s="92">
        <v>565</v>
      </c>
      <c r="G322" s="22">
        <f t="shared" si="13"/>
        <v>563.30399999999997</v>
      </c>
      <c r="H322" s="22">
        <f>IFERROR(IF(Yearending&gt;B321,'5. Historical demand'!F322-'5. Historical demand'!C322-'5. Historical demand'!D322,""),"")</f>
        <v>294.04000000000002</v>
      </c>
      <c r="I322" s="22">
        <f t="shared" si="14"/>
        <v>269.26399999999995</v>
      </c>
    </row>
    <row r="323" spans="2:9" x14ac:dyDescent="0.2">
      <c r="B323" s="203">
        <f t="shared" si="12"/>
        <v>45754</v>
      </c>
      <c r="C323" s="92">
        <v>270.95999999999998</v>
      </c>
      <c r="D323" s="92"/>
      <c r="E323" s="92">
        <v>118.24</v>
      </c>
      <c r="F323" s="92">
        <v>565</v>
      </c>
      <c r="G323" s="22">
        <f t="shared" si="13"/>
        <v>446.76</v>
      </c>
      <c r="H323" s="22">
        <f>IFERROR(IF(Yearending&gt;B322,'5. Historical demand'!F323-'5. Historical demand'!C323-'5. Historical demand'!D323,""),"")</f>
        <v>294.04000000000002</v>
      </c>
      <c r="I323" s="22">
        <f t="shared" si="14"/>
        <v>152.71999999999997</v>
      </c>
    </row>
    <row r="324" spans="2:9" x14ac:dyDescent="0.2">
      <c r="B324" s="203">
        <f t="shared" si="12"/>
        <v>45755</v>
      </c>
      <c r="C324" s="92">
        <v>270.95999999999998</v>
      </c>
      <c r="D324" s="92"/>
      <c r="E324" s="92">
        <v>37.814</v>
      </c>
      <c r="F324" s="92">
        <v>565</v>
      </c>
      <c r="G324" s="22">
        <f t="shared" si="13"/>
        <v>527.18600000000004</v>
      </c>
      <c r="H324" s="22">
        <f>IFERROR(IF(Yearending&gt;B323,'5. Historical demand'!F324-'5. Historical demand'!C324-'5. Historical demand'!D324,""),"")</f>
        <v>294.04000000000002</v>
      </c>
      <c r="I324" s="22">
        <f t="shared" si="14"/>
        <v>233.14599999999999</v>
      </c>
    </row>
    <row r="325" spans="2:9" x14ac:dyDescent="0.2">
      <c r="B325" s="203">
        <f t="shared" si="12"/>
        <v>45756</v>
      </c>
      <c r="C325" s="92">
        <v>270.95999999999998</v>
      </c>
      <c r="D325" s="92"/>
      <c r="E325" s="92">
        <v>17.670000000000002</v>
      </c>
      <c r="F325" s="92">
        <v>565</v>
      </c>
      <c r="G325" s="22">
        <f t="shared" si="13"/>
        <v>547.33000000000004</v>
      </c>
      <c r="H325" s="22">
        <f>IFERROR(IF(Yearending&gt;B324,'5. Historical demand'!F325-'5. Historical demand'!C325-'5. Historical demand'!D325,""),"")</f>
        <v>294.04000000000002</v>
      </c>
      <c r="I325" s="22">
        <f t="shared" si="14"/>
        <v>253.28999999999996</v>
      </c>
    </row>
    <row r="326" spans="2:9" x14ac:dyDescent="0.2">
      <c r="B326" s="203">
        <f t="shared" si="12"/>
        <v>45757</v>
      </c>
      <c r="C326" s="92">
        <v>270.95999999999998</v>
      </c>
      <c r="D326" s="92"/>
      <c r="E326" s="92">
        <v>11</v>
      </c>
      <c r="F326" s="92">
        <v>565</v>
      </c>
      <c r="G326" s="22">
        <f t="shared" si="13"/>
        <v>554</v>
      </c>
      <c r="H326" s="22">
        <f>IFERROR(IF(Yearending&gt;B325,'5. Historical demand'!F326-'5. Historical demand'!C326-'5. Historical demand'!D326,""),"")</f>
        <v>294.04000000000002</v>
      </c>
      <c r="I326" s="22">
        <f t="shared" si="14"/>
        <v>259.95999999999998</v>
      </c>
    </row>
    <row r="327" spans="2:9" x14ac:dyDescent="0.2">
      <c r="B327" s="203">
        <f t="shared" si="12"/>
        <v>45758</v>
      </c>
      <c r="C327" s="92">
        <v>270.95999999999998</v>
      </c>
      <c r="D327" s="92"/>
      <c r="E327" s="92">
        <v>11.5</v>
      </c>
      <c r="F327" s="92">
        <v>565</v>
      </c>
      <c r="G327" s="22">
        <f t="shared" si="13"/>
        <v>553.5</v>
      </c>
      <c r="H327" s="22">
        <f>IFERROR(IF(Yearending&gt;B326,'5. Historical demand'!F327-'5. Historical demand'!C327-'5. Historical demand'!D327,""),"")</f>
        <v>294.04000000000002</v>
      </c>
      <c r="I327" s="22">
        <f t="shared" si="14"/>
        <v>259.45999999999998</v>
      </c>
    </row>
    <row r="328" spans="2:9" x14ac:dyDescent="0.2">
      <c r="B328" s="203">
        <f t="shared" si="12"/>
        <v>45759</v>
      </c>
      <c r="C328" s="92">
        <v>270.95999999999998</v>
      </c>
      <c r="D328" s="92"/>
      <c r="E328" s="92">
        <v>81.328000000000003</v>
      </c>
      <c r="F328" s="92">
        <v>565</v>
      </c>
      <c r="G328" s="22">
        <f t="shared" si="13"/>
        <v>483.67200000000003</v>
      </c>
      <c r="H328" s="22">
        <f>IFERROR(IF(Yearending&gt;B327,'5. Historical demand'!F328-'5. Historical demand'!C328-'5. Historical demand'!D328,""),"")</f>
        <v>294.04000000000002</v>
      </c>
      <c r="I328" s="22">
        <f t="shared" si="14"/>
        <v>189.63199999999998</v>
      </c>
    </row>
    <row r="329" spans="2:9" x14ac:dyDescent="0.2">
      <c r="B329" s="203">
        <f t="shared" si="12"/>
        <v>45760</v>
      </c>
      <c r="C329" s="92">
        <v>270.95999999999998</v>
      </c>
      <c r="D329" s="92"/>
      <c r="E329" s="92">
        <v>12.327</v>
      </c>
      <c r="F329" s="92">
        <v>565</v>
      </c>
      <c r="G329" s="22">
        <f t="shared" si="13"/>
        <v>552.673</v>
      </c>
      <c r="H329" s="22">
        <f>IFERROR(IF(Yearending&gt;B328,'5. Historical demand'!F329-'5. Historical demand'!C329-'5. Historical demand'!D329,""),"")</f>
        <v>294.04000000000002</v>
      </c>
      <c r="I329" s="22">
        <f t="shared" si="14"/>
        <v>258.63299999999998</v>
      </c>
    </row>
    <row r="330" spans="2:9" x14ac:dyDescent="0.2">
      <c r="B330" s="203">
        <f t="shared" si="12"/>
        <v>45761</v>
      </c>
      <c r="C330" s="92">
        <v>270.95999999999998</v>
      </c>
      <c r="D330" s="92"/>
      <c r="E330" s="92">
        <v>18.802</v>
      </c>
      <c r="F330" s="92">
        <v>565</v>
      </c>
      <c r="G330" s="22">
        <f t="shared" si="13"/>
        <v>546.19799999999998</v>
      </c>
      <c r="H330" s="22">
        <f>IFERROR(IF(Yearending&gt;B329,'5. Historical demand'!F330-'5. Historical demand'!C330-'5. Historical demand'!D330,""),"")</f>
        <v>294.04000000000002</v>
      </c>
      <c r="I330" s="22">
        <f t="shared" si="14"/>
        <v>252.15799999999999</v>
      </c>
    </row>
    <row r="331" spans="2:9" x14ac:dyDescent="0.2">
      <c r="B331" s="203">
        <f t="shared" si="12"/>
        <v>45762</v>
      </c>
      <c r="C331" s="92">
        <v>270.95999999999998</v>
      </c>
      <c r="D331" s="92"/>
      <c r="E331" s="92">
        <v>27.417000000000002</v>
      </c>
      <c r="F331" s="92">
        <v>565</v>
      </c>
      <c r="G331" s="22">
        <f t="shared" si="13"/>
        <v>537.58299999999997</v>
      </c>
      <c r="H331" s="22">
        <f>IFERROR(IF(Yearending&gt;B330,'5. Historical demand'!F331-'5. Historical demand'!C331-'5. Historical demand'!D331,""),"")</f>
        <v>294.04000000000002</v>
      </c>
      <c r="I331" s="22">
        <f t="shared" si="14"/>
        <v>243.54299999999998</v>
      </c>
    </row>
    <row r="332" spans="2:9" x14ac:dyDescent="0.2">
      <c r="B332" s="203">
        <f t="shared" si="12"/>
        <v>45763</v>
      </c>
      <c r="C332" s="92">
        <v>270.95999999999998</v>
      </c>
      <c r="D332" s="92"/>
      <c r="E332" s="92">
        <v>34.621000000000002</v>
      </c>
      <c r="F332" s="92">
        <v>565</v>
      </c>
      <c r="G332" s="22">
        <f t="shared" si="13"/>
        <v>530.37900000000002</v>
      </c>
      <c r="H332" s="22">
        <f>IFERROR(IF(Yearending&gt;B331,'5. Historical demand'!F332-'5. Historical demand'!C332-'5. Historical demand'!D332,""),"")</f>
        <v>294.04000000000002</v>
      </c>
      <c r="I332" s="22">
        <f t="shared" si="14"/>
        <v>236.33899999999997</v>
      </c>
    </row>
    <row r="333" spans="2:9" x14ac:dyDescent="0.2">
      <c r="B333" s="203">
        <f t="shared" si="12"/>
        <v>45764</v>
      </c>
      <c r="C333" s="92">
        <v>270.95999999999998</v>
      </c>
      <c r="D333" s="92"/>
      <c r="E333" s="92">
        <v>34.353000000000002</v>
      </c>
      <c r="F333" s="92">
        <v>565</v>
      </c>
      <c r="G333" s="22">
        <f t="shared" si="13"/>
        <v>530.64700000000005</v>
      </c>
      <c r="H333" s="22">
        <f>IFERROR(IF(Yearending&gt;B332,'5. Historical demand'!F333-'5. Historical demand'!C333-'5. Historical demand'!D333,""),"")</f>
        <v>294.04000000000002</v>
      </c>
      <c r="I333" s="22">
        <f t="shared" si="14"/>
        <v>236.60699999999997</v>
      </c>
    </row>
    <row r="334" spans="2:9" x14ac:dyDescent="0.2">
      <c r="B334" s="203">
        <f t="shared" si="12"/>
        <v>45765</v>
      </c>
      <c r="C334" s="92">
        <v>270.95999999999998</v>
      </c>
      <c r="D334" s="92"/>
      <c r="E334" s="92">
        <v>9.1999999999999998E-2</v>
      </c>
      <c r="F334" s="92">
        <v>565</v>
      </c>
      <c r="G334" s="22">
        <f t="shared" si="13"/>
        <v>564.90800000000002</v>
      </c>
      <c r="H334" s="22">
        <f>IFERROR(IF(Yearending&gt;B333,'5. Historical demand'!F334-'5. Historical demand'!C334-'5. Historical demand'!D334,""),"")</f>
        <v>294.04000000000002</v>
      </c>
      <c r="I334" s="22">
        <f t="shared" si="14"/>
        <v>270.86799999999999</v>
      </c>
    </row>
    <row r="335" spans="2:9" x14ac:dyDescent="0.2">
      <c r="B335" s="203">
        <f t="shared" si="12"/>
        <v>45766</v>
      </c>
      <c r="C335" s="92">
        <v>270.95999999999998</v>
      </c>
      <c r="D335" s="92"/>
      <c r="E335" s="92">
        <v>1.095</v>
      </c>
      <c r="F335" s="92">
        <v>565</v>
      </c>
      <c r="G335" s="22">
        <f t="shared" si="13"/>
        <v>563.90499999999997</v>
      </c>
      <c r="H335" s="22">
        <f>IFERROR(IF(Yearending&gt;B334,'5. Historical demand'!F335-'5. Historical demand'!C335-'5. Historical demand'!D335,""),"")</f>
        <v>294.04000000000002</v>
      </c>
      <c r="I335" s="22">
        <f t="shared" si="14"/>
        <v>269.86499999999995</v>
      </c>
    </row>
    <row r="336" spans="2:9" x14ac:dyDescent="0.2">
      <c r="B336" s="203">
        <f t="shared" si="12"/>
        <v>45767</v>
      </c>
      <c r="C336" s="92">
        <v>270.95999999999998</v>
      </c>
      <c r="D336" s="92"/>
      <c r="E336" s="92">
        <v>0.29099999999999998</v>
      </c>
      <c r="F336" s="92">
        <v>565</v>
      </c>
      <c r="G336" s="22">
        <f t="shared" si="13"/>
        <v>564.70899999999995</v>
      </c>
      <c r="H336" s="22">
        <f>IFERROR(IF(Yearending&gt;B335,'5. Historical demand'!F336-'5. Historical demand'!C336-'5. Historical demand'!D336,""),"")</f>
        <v>294.04000000000002</v>
      </c>
      <c r="I336" s="22">
        <f t="shared" si="14"/>
        <v>270.66899999999998</v>
      </c>
    </row>
    <row r="337" spans="2:9" x14ac:dyDescent="0.2">
      <c r="B337" s="203">
        <f t="shared" si="12"/>
        <v>45768</v>
      </c>
      <c r="C337" s="92">
        <v>270.95999999999998</v>
      </c>
      <c r="D337" s="92"/>
      <c r="E337" s="92">
        <v>5.5</v>
      </c>
      <c r="F337" s="92">
        <v>565</v>
      </c>
      <c r="G337" s="22">
        <f t="shared" si="13"/>
        <v>559.5</v>
      </c>
      <c r="H337" s="22">
        <f>IFERROR(IF(Yearending&gt;B336,'5. Historical demand'!F337-'5. Historical demand'!C337-'5. Historical demand'!D337,""),"")</f>
        <v>294.04000000000002</v>
      </c>
      <c r="I337" s="22">
        <f t="shared" si="14"/>
        <v>265.45999999999998</v>
      </c>
    </row>
    <row r="338" spans="2:9" x14ac:dyDescent="0.2">
      <c r="B338" s="203">
        <f t="shared" si="12"/>
        <v>45769</v>
      </c>
      <c r="C338" s="92">
        <v>270.95999999999998</v>
      </c>
      <c r="D338" s="92"/>
      <c r="E338" s="92">
        <v>23.010999999999999</v>
      </c>
      <c r="F338" s="92">
        <v>565</v>
      </c>
      <c r="G338" s="22">
        <f t="shared" si="13"/>
        <v>541.98900000000003</v>
      </c>
      <c r="H338" s="22">
        <f>IFERROR(IF(Yearending&gt;B337,'5. Historical demand'!F338-'5. Historical demand'!C338-'5. Historical demand'!D338,""),"")</f>
        <v>294.04000000000002</v>
      </c>
      <c r="I338" s="22">
        <f t="shared" si="14"/>
        <v>247.94899999999998</v>
      </c>
    </row>
    <row r="339" spans="2:9" x14ac:dyDescent="0.2">
      <c r="B339" s="203">
        <f t="shared" si="12"/>
        <v>45770</v>
      </c>
      <c r="C339" s="92">
        <v>270.95999999999998</v>
      </c>
      <c r="D339" s="92"/>
      <c r="E339" s="92">
        <v>26.385000000000002</v>
      </c>
      <c r="F339" s="92">
        <v>565</v>
      </c>
      <c r="G339" s="22">
        <f t="shared" si="13"/>
        <v>538.61500000000001</v>
      </c>
      <c r="H339" s="22">
        <f>IFERROR(IF(Yearending&gt;B338,'5. Historical demand'!F339-'5. Historical demand'!C339-'5. Historical demand'!D339,""),"")</f>
        <v>294.04000000000002</v>
      </c>
      <c r="I339" s="22">
        <f t="shared" si="14"/>
        <v>244.57499999999999</v>
      </c>
    </row>
    <row r="340" spans="2:9" x14ac:dyDescent="0.2">
      <c r="B340" s="203">
        <f t="shared" si="12"/>
        <v>45771</v>
      </c>
      <c r="C340" s="92">
        <v>270.95999999999998</v>
      </c>
      <c r="D340" s="92"/>
      <c r="E340" s="92">
        <v>95.805999999999997</v>
      </c>
      <c r="F340" s="92">
        <v>565</v>
      </c>
      <c r="G340" s="22">
        <f t="shared" si="13"/>
        <v>469.19400000000002</v>
      </c>
      <c r="H340" s="22">
        <f>IFERROR(IF(Yearending&gt;B339,'5. Historical demand'!F340-'5. Historical demand'!C340-'5. Historical demand'!D340,""),"")</f>
        <v>294.04000000000002</v>
      </c>
      <c r="I340" s="22">
        <f t="shared" si="14"/>
        <v>175.154</v>
      </c>
    </row>
    <row r="341" spans="2:9" x14ac:dyDescent="0.2">
      <c r="B341" s="203">
        <f t="shared" si="12"/>
        <v>45772</v>
      </c>
      <c r="C341" s="92">
        <v>270.95999999999998</v>
      </c>
      <c r="D341" s="92"/>
      <c r="E341" s="92">
        <v>22.545999999999999</v>
      </c>
      <c r="F341" s="92">
        <v>565</v>
      </c>
      <c r="G341" s="22">
        <f t="shared" si="13"/>
        <v>542.45399999999995</v>
      </c>
      <c r="H341" s="22">
        <f>IFERROR(IF(Yearending&gt;B340,'5. Historical demand'!F341-'5. Historical demand'!C341-'5. Historical demand'!D341,""),"")</f>
        <v>294.04000000000002</v>
      </c>
      <c r="I341" s="22">
        <f t="shared" si="14"/>
        <v>248.41399999999999</v>
      </c>
    </row>
    <row r="342" spans="2:9" x14ac:dyDescent="0.2">
      <c r="B342" s="203">
        <f t="shared" si="12"/>
        <v>45773</v>
      </c>
      <c r="C342" s="92">
        <v>270.95999999999998</v>
      </c>
      <c r="D342" s="92"/>
      <c r="E342" s="92">
        <v>24.6</v>
      </c>
      <c r="F342" s="92">
        <v>565</v>
      </c>
      <c r="G342" s="22">
        <f t="shared" si="13"/>
        <v>540.4</v>
      </c>
      <c r="H342" s="22">
        <f>IFERROR(IF(Yearending&gt;B341,'5. Historical demand'!F342-'5. Historical demand'!C342-'5. Historical demand'!D342,""),"")</f>
        <v>294.04000000000002</v>
      </c>
      <c r="I342" s="22">
        <f t="shared" si="14"/>
        <v>246.35999999999999</v>
      </c>
    </row>
    <row r="343" spans="2:9" x14ac:dyDescent="0.2">
      <c r="B343" s="203">
        <f t="shared" si="12"/>
        <v>45774</v>
      </c>
      <c r="C343" s="92">
        <v>270.95999999999998</v>
      </c>
      <c r="D343" s="92"/>
      <c r="E343" s="92">
        <v>31.344999999999999</v>
      </c>
      <c r="F343" s="92">
        <v>565</v>
      </c>
      <c r="G343" s="22">
        <f t="shared" si="13"/>
        <v>533.65499999999997</v>
      </c>
      <c r="H343" s="22">
        <f>IFERROR(IF(Yearending&gt;B342,'5. Historical demand'!F343-'5. Historical demand'!C343-'5. Historical demand'!D343,""),"")</f>
        <v>294.04000000000002</v>
      </c>
      <c r="I343" s="22">
        <f t="shared" si="14"/>
        <v>239.61499999999998</v>
      </c>
    </row>
    <row r="344" spans="2:9" x14ac:dyDescent="0.2">
      <c r="B344" s="203">
        <f t="shared" si="12"/>
        <v>45775</v>
      </c>
      <c r="C344" s="92">
        <v>270.95999999999998</v>
      </c>
      <c r="D344" s="92"/>
      <c r="E344" s="92">
        <v>45.686</v>
      </c>
      <c r="F344" s="92">
        <v>565</v>
      </c>
      <c r="G344" s="22">
        <f t="shared" si="13"/>
        <v>519.31399999999996</v>
      </c>
      <c r="H344" s="22">
        <f>IFERROR(IF(Yearending&gt;B343,'5. Historical demand'!F344-'5. Historical demand'!C344-'5. Historical demand'!D344,""),"")</f>
        <v>294.04000000000002</v>
      </c>
      <c r="I344" s="22">
        <f t="shared" si="14"/>
        <v>225.27399999999997</v>
      </c>
    </row>
    <row r="345" spans="2:9" x14ac:dyDescent="0.2">
      <c r="B345" s="203">
        <f t="shared" si="12"/>
        <v>45776</v>
      </c>
      <c r="C345" s="92">
        <v>270.95999999999998</v>
      </c>
      <c r="D345" s="92"/>
      <c r="E345" s="92">
        <v>25.568000000000001</v>
      </c>
      <c r="F345" s="92">
        <v>565</v>
      </c>
      <c r="G345" s="22">
        <f t="shared" si="13"/>
        <v>539.43200000000002</v>
      </c>
      <c r="H345" s="22">
        <f>IFERROR(IF(Yearending&gt;B344,'5. Historical demand'!F345-'5. Historical demand'!C345-'5. Historical demand'!D345,""),"")</f>
        <v>294.04000000000002</v>
      </c>
      <c r="I345" s="22">
        <f t="shared" si="14"/>
        <v>245.39199999999997</v>
      </c>
    </row>
    <row r="346" spans="2:9" x14ac:dyDescent="0.2">
      <c r="B346" s="203">
        <f t="shared" si="12"/>
        <v>45777</v>
      </c>
      <c r="C346" s="92">
        <v>270.95999999999998</v>
      </c>
      <c r="D346" s="92"/>
      <c r="E346" s="92">
        <v>131.809</v>
      </c>
      <c r="F346" s="92">
        <v>565</v>
      </c>
      <c r="G346" s="22">
        <f t="shared" si="13"/>
        <v>433.19100000000003</v>
      </c>
      <c r="H346" s="22">
        <f>IFERROR(IF(Yearending&gt;B345,'5. Historical demand'!F346-'5. Historical demand'!C346-'5. Historical demand'!D346,""),"")</f>
        <v>294.04000000000002</v>
      </c>
      <c r="I346" s="22">
        <f t="shared" si="14"/>
        <v>139.15099999999998</v>
      </c>
    </row>
    <row r="347" spans="2:9" x14ac:dyDescent="0.2">
      <c r="B347" s="203">
        <f t="shared" si="12"/>
        <v>45778</v>
      </c>
      <c r="C347" s="92">
        <v>480.96</v>
      </c>
      <c r="D347" s="92"/>
      <c r="E347" s="92">
        <v>186.995</v>
      </c>
      <c r="F347" s="92">
        <v>565</v>
      </c>
      <c r="G347" s="22">
        <f t="shared" si="13"/>
        <v>378.005</v>
      </c>
      <c r="H347" s="22">
        <f>IFERROR(IF(Yearending&gt;B346,'5. Historical demand'!F347-'5. Historical demand'!C347-'5. Historical demand'!D347,""),"")</f>
        <v>84.04000000000002</v>
      </c>
      <c r="I347" s="22">
        <f t="shared" si="14"/>
        <v>293.96499999999997</v>
      </c>
    </row>
    <row r="348" spans="2:9" x14ac:dyDescent="0.2">
      <c r="B348" s="203">
        <f t="shared" si="12"/>
        <v>45779</v>
      </c>
      <c r="C348" s="92">
        <v>480.96</v>
      </c>
      <c r="D348" s="92"/>
      <c r="E348" s="92">
        <v>185.00700000000001</v>
      </c>
      <c r="F348" s="92">
        <v>565</v>
      </c>
      <c r="G348" s="22">
        <f t="shared" si="13"/>
        <v>379.99299999999999</v>
      </c>
      <c r="H348" s="22">
        <f>IFERROR(IF(Yearending&gt;B347,'5. Historical demand'!F348-'5. Historical demand'!C348-'5. Historical demand'!D348,""),"")</f>
        <v>84.04000000000002</v>
      </c>
      <c r="I348" s="22">
        <f t="shared" si="14"/>
        <v>295.95299999999997</v>
      </c>
    </row>
    <row r="349" spans="2:9" x14ac:dyDescent="0.2">
      <c r="B349" s="203">
        <f t="shared" si="12"/>
        <v>45780</v>
      </c>
      <c r="C349" s="92">
        <v>480.96</v>
      </c>
      <c r="D349" s="92"/>
      <c r="E349" s="92">
        <v>185.01300000000001</v>
      </c>
      <c r="F349" s="92">
        <v>565</v>
      </c>
      <c r="G349" s="22">
        <f t="shared" si="13"/>
        <v>379.98699999999997</v>
      </c>
      <c r="H349" s="22">
        <f>IFERROR(IF(Yearending&gt;B348,'5. Historical demand'!F349-'5. Historical demand'!C349-'5. Historical demand'!D349,""),"")</f>
        <v>84.04000000000002</v>
      </c>
      <c r="I349" s="22">
        <f t="shared" si="14"/>
        <v>295.947</v>
      </c>
    </row>
    <row r="350" spans="2:9" x14ac:dyDescent="0.2">
      <c r="B350" s="203">
        <f t="shared" si="12"/>
        <v>45781</v>
      </c>
      <c r="C350" s="92">
        <v>480.96</v>
      </c>
      <c r="D350" s="92"/>
      <c r="E350" s="92">
        <v>165.208</v>
      </c>
      <c r="F350" s="92">
        <v>565</v>
      </c>
      <c r="G350" s="22">
        <f t="shared" si="13"/>
        <v>399.79200000000003</v>
      </c>
      <c r="H350" s="22">
        <f>IFERROR(IF(Yearending&gt;B349,'5. Historical demand'!F350-'5. Historical demand'!C350-'5. Historical demand'!D350,""),"")</f>
        <v>84.04000000000002</v>
      </c>
      <c r="I350" s="22">
        <f t="shared" si="14"/>
        <v>315.75199999999995</v>
      </c>
    </row>
    <row r="351" spans="2:9" x14ac:dyDescent="0.2">
      <c r="B351" s="203">
        <f t="shared" si="12"/>
        <v>45782</v>
      </c>
      <c r="C351" s="92">
        <v>480.96</v>
      </c>
      <c r="D351" s="92"/>
      <c r="E351" s="92">
        <v>139.38399999999999</v>
      </c>
      <c r="F351" s="92">
        <v>565</v>
      </c>
      <c r="G351" s="22">
        <f t="shared" si="13"/>
        <v>425.61599999999999</v>
      </c>
      <c r="H351" s="22">
        <f>IFERROR(IF(Yearending&gt;B350,'5. Historical demand'!F351-'5. Historical demand'!C351-'5. Historical demand'!D351,""),"")</f>
        <v>84.04000000000002</v>
      </c>
      <c r="I351" s="22">
        <f t="shared" si="14"/>
        <v>341.57600000000002</v>
      </c>
    </row>
    <row r="352" spans="2:9" x14ac:dyDescent="0.2">
      <c r="B352" s="203">
        <f t="shared" si="12"/>
        <v>45783</v>
      </c>
      <c r="C352" s="92">
        <v>480.96</v>
      </c>
      <c r="D352" s="92"/>
      <c r="E352" s="92">
        <v>126.883</v>
      </c>
      <c r="F352" s="92">
        <v>565</v>
      </c>
      <c r="G352" s="22">
        <f t="shared" si="13"/>
        <v>438.11700000000002</v>
      </c>
      <c r="H352" s="22">
        <f>IFERROR(IF(Yearending&gt;B351,'5. Historical demand'!F352-'5. Historical demand'!C352-'5. Historical demand'!D352,""),"")</f>
        <v>84.04000000000002</v>
      </c>
      <c r="I352" s="22">
        <f t="shared" si="14"/>
        <v>354.077</v>
      </c>
    </row>
    <row r="353" spans="2:9" x14ac:dyDescent="0.2">
      <c r="B353" s="203">
        <f t="shared" si="12"/>
        <v>45784</v>
      </c>
      <c r="C353" s="92">
        <v>480.96</v>
      </c>
      <c r="D353" s="92"/>
      <c r="E353" s="92">
        <v>132.69900000000001</v>
      </c>
      <c r="F353" s="92">
        <v>565</v>
      </c>
      <c r="G353" s="22">
        <f t="shared" si="13"/>
        <v>432.30099999999999</v>
      </c>
      <c r="H353" s="22">
        <f>IFERROR(IF(Yearending&gt;B352,'5. Historical demand'!F353-'5. Historical demand'!C353-'5. Historical demand'!D353,""),"")</f>
        <v>84.04000000000002</v>
      </c>
      <c r="I353" s="22">
        <f t="shared" si="14"/>
        <v>348.26099999999997</v>
      </c>
    </row>
    <row r="354" spans="2:9" x14ac:dyDescent="0.2">
      <c r="B354" s="203">
        <f t="shared" si="12"/>
        <v>45785</v>
      </c>
      <c r="C354" s="92">
        <v>480.96</v>
      </c>
      <c r="D354" s="92"/>
      <c r="E354" s="92">
        <v>200</v>
      </c>
      <c r="F354" s="92">
        <v>565</v>
      </c>
      <c r="G354" s="22">
        <f t="shared" si="13"/>
        <v>365</v>
      </c>
      <c r="H354" s="22">
        <f>IFERROR(IF(Yearending&gt;B353,'5. Historical demand'!F354-'5. Historical demand'!C354-'5. Historical demand'!D354,""),"")</f>
        <v>84.04000000000002</v>
      </c>
      <c r="I354" s="22">
        <f t="shared" si="14"/>
        <v>280.95999999999998</v>
      </c>
    </row>
    <row r="355" spans="2:9" x14ac:dyDescent="0.2">
      <c r="B355" s="203">
        <f t="shared" si="12"/>
        <v>45786</v>
      </c>
      <c r="C355" s="92">
        <v>480.96</v>
      </c>
      <c r="D355" s="92"/>
      <c r="E355" s="92">
        <v>160.30000000000001</v>
      </c>
      <c r="F355" s="92">
        <v>565</v>
      </c>
      <c r="G355" s="22">
        <f t="shared" si="13"/>
        <v>404.7</v>
      </c>
      <c r="H355" s="22">
        <f>IFERROR(IF(Yearending&gt;B354,'5. Historical demand'!F355-'5. Historical demand'!C355-'5. Historical demand'!D355,""),"")</f>
        <v>84.04000000000002</v>
      </c>
      <c r="I355" s="22">
        <f t="shared" si="14"/>
        <v>320.65999999999997</v>
      </c>
    </row>
    <row r="356" spans="2:9" x14ac:dyDescent="0.2">
      <c r="B356" s="203">
        <f t="shared" si="12"/>
        <v>45787</v>
      </c>
      <c r="C356" s="92">
        <v>480.96</v>
      </c>
      <c r="D356" s="92"/>
      <c r="E356" s="92">
        <v>94.436999999999998</v>
      </c>
      <c r="F356" s="92">
        <v>565</v>
      </c>
      <c r="G356" s="22">
        <f t="shared" si="13"/>
        <v>470.56299999999999</v>
      </c>
      <c r="H356" s="22">
        <f>IFERROR(IF(Yearending&gt;B355,'5. Historical demand'!F356-'5. Historical demand'!C356-'5. Historical demand'!D356,""),"")</f>
        <v>84.04000000000002</v>
      </c>
      <c r="I356" s="22">
        <f t="shared" si="14"/>
        <v>386.52299999999997</v>
      </c>
    </row>
    <row r="357" spans="2:9" x14ac:dyDescent="0.2">
      <c r="B357" s="203">
        <f t="shared" si="12"/>
        <v>45788</v>
      </c>
      <c r="C357" s="92">
        <v>480.96</v>
      </c>
      <c r="D357" s="92"/>
      <c r="E357" s="92">
        <v>90</v>
      </c>
      <c r="F357" s="92">
        <v>565</v>
      </c>
      <c r="G357" s="22">
        <f t="shared" si="13"/>
        <v>475</v>
      </c>
      <c r="H357" s="22">
        <f>IFERROR(IF(Yearending&gt;B356,'5. Historical demand'!F357-'5. Historical demand'!C357-'5. Historical demand'!D357,""),"")</f>
        <v>84.04000000000002</v>
      </c>
      <c r="I357" s="22">
        <f t="shared" si="14"/>
        <v>390.96</v>
      </c>
    </row>
    <row r="358" spans="2:9" x14ac:dyDescent="0.2">
      <c r="B358" s="203">
        <f t="shared" si="12"/>
        <v>45789</v>
      </c>
      <c r="C358" s="92">
        <v>480.96</v>
      </c>
      <c r="D358" s="92"/>
      <c r="E358" s="92">
        <v>77.647999999999996</v>
      </c>
      <c r="F358" s="92">
        <v>565</v>
      </c>
      <c r="G358" s="22">
        <f t="shared" si="13"/>
        <v>487.35199999999998</v>
      </c>
      <c r="H358" s="22">
        <f>IFERROR(IF(Yearending&gt;B357,'5. Historical demand'!F358-'5. Historical demand'!C358-'5. Historical demand'!D358,""),"")</f>
        <v>84.04000000000002</v>
      </c>
      <c r="I358" s="22">
        <f t="shared" si="14"/>
        <v>403.31200000000001</v>
      </c>
    </row>
    <row r="359" spans="2:9" x14ac:dyDescent="0.2">
      <c r="B359" s="203">
        <f t="shared" si="12"/>
        <v>45790</v>
      </c>
      <c r="C359" s="92">
        <v>480.96</v>
      </c>
      <c r="D359" s="92"/>
      <c r="E359" s="92">
        <v>259.99700000000001</v>
      </c>
      <c r="F359" s="92">
        <v>565</v>
      </c>
      <c r="G359" s="22">
        <f t="shared" si="13"/>
        <v>305.00299999999999</v>
      </c>
      <c r="H359" s="22">
        <f>IFERROR(IF(Yearending&gt;B358,'5. Historical demand'!F359-'5. Historical demand'!C359-'5. Historical demand'!D359,""),"")</f>
        <v>84.04000000000002</v>
      </c>
      <c r="I359" s="22">
        <f t="shared" si="14"/>
        <v>220.96299999999997</v>
      </c>
    </row>
    <row r="360" spans="2:9" x14ac:dyDescent="0.2">
      <c r="B360" s="203">
        <f t="shared" si="12"/>
        <v>45791</v>
      </c>
      <c r="C360" s="92">
        <v>480.96</v>
      </c>
      <c r="D360" s="92"/>
      <c r="E360" s="92">
        <v>126.259</v>
      </c>
      <c r="F360" s="92">
        <v>565</v>
      </c>
      <c r="G360" s="22">
        <f t="shared" si="13"/>
        <v>438.74099999999999</v>
      </c>
      <c r="H360" s="22">
        <f>IFERROR(IF(Yearending&gt;B359,'5. Historical demand'!F360-'5. Historical demand'!C360-'5. Historical demand'!D360,""),"")</f>
        <v>84.04000000000002</v>
      </c>
      <c r="I360" s="22">
        <f t="shared" si="14"/>
        <v>354.70099999999996</v>
      </c>
    </row>
    <row r="361" spans="2:9" x14ac:dyDescent="0.2">
      <c r="B361" s="203">
        <f t="shared" si="12"/>
        <v>45792</v>
      </c>
      <c r="C361" s="92">
        <v>480.96</v>
      </c>
      <c r="D361" s="92"/>
      <c r="E361" s="92">
        <v>99.644999999999996</v>
      </c>
      <c r="F361" s="92">
        <v>565</v>
      </c>
      <c r="G361" s="22">
        <f t="shared" si="13"/>
        <v>465.35500000000002</v>
      </c>
      <c r="H361" s="22">
        <f>IFERROR(IF(Yearending&gt;B360,'5. Historical demand'!F361-'5. Historical demand'!C361-'5. Historical demand'!D361,""),"")</f>
        <v>84.04000000000002</v>
      </c>
      <c r="I361" s="22">
        <f t="shared" si="14"/>
        <v>381.315</v>
      </c>
    </row>
    <row r="362" spans="2:9" x14ac:dyDescent="0.2">
      <c r="B362" s="203">
        <f t="shared" si="12"/>
        <v>45793</v>
      </c>
      <c r="C362" s="92">
        <v>480.96</v>
      </c>
      <c r="D362" s="92"/>
      <c r="E362" s="92">
        <v>172.125</v>
      </c>
      <c r="F362" s="92">
        <v>565</v>
      </c>
      <c r="G362" s="22">
        <f t="shared" si="13"/>
        <v>392.875</v>
      </c>
      <c r="H362" s="22">
        <f>IFERROR(IF(Yearending&gt;B361,'5. Historical demand'!F362-'5. Historical demand'!C362-'5. Historical demand'!D362,""),"")</f>
        <v>84.04000000000002</v>
      </c>
      <c r="I362" s="22">
        <f t="shared" si="14"/>
        <v>308.83499999999998</v>
      </c>
    </row>
    <row r="363" spans="2:9" x14ac:dyDescent="0.2">
      <c r="B363" s="203">
        <f t="shared" si="12"/>
        <v>45794</v>
      </c>
      <c r="C363" s="92">
        <v>480.96</v>
      </c>
      <c r="D363" s="92"/>
      <c r="E363" s="92">
        <v>229.78299999999999</v>
      </c>
      <c r="F363" s="92">
        <v>565</v>
      </c>
      <c r="G363" s="22">
        <f t="shared" si="13"/>
        <v>335.21699999999998</v>
      </c>
      <c r="H363" s="22">
        <f>IFERROR(IF(Yearending&gt;B362,'5. Historical demand'!F363-'5. Historical demand'!C363-'5. Historical demand'!D363,""),"")</f>
        <v>84.04000000000002</v>
      </c>
      <c r="I363" s="22">
        <f t="shared" si="14"/>
        <v>251.17699999999999</v>
      </c>
    </row>
    <row r="364" spans="2:9" x14ac:dyDescent="0.2">
      <c r="B364" s="203">
        <f t="shared" ref="B364:B408" si="15">IFERROR(IF(Yearending&gt;B363, B363+1, ""),"")</f>
        <v>45795</v>
      </c>
      <c r="C364" s="92">
        <v>480.96</v>
      </c>
      <c r="D364" s="92"/>
      <c r="E364" s="92">
        <v>319.61399999999998</v>
      </c>
      <c r="F364" s="92">
        <v>565</v>
      </c>
      <c r="G364" s="22">
        <f t="shared" ref="G364:G408" si="16">IFERROR(IF(Yearending&gt;B363,F364-E364,""),"")</f>
        <v>245.38600000000002</v>
      </c>
      <c r="H364" s="22">
        <f>IFERROR(IF(Yearending&gt;B363,'5. Historical demand'!F364-'5. Historical demand'!C364-'5. Historical demand'!D364,""),"")</f>
        <v>84.04000000000002</v>
      </c>
      <c r="I364" s="22">
        <f t="shared" ref="I364:I408" si="17">IFERROR(IF(Yearending&gt;B363,C364+D364-E364,""),"")</f>
        <v>161.346</v>
      </c>
    </row>
    <row r="365" spans="2:9" x14ac:dyDescent="0.2">
      <c r="B365" s="203">
        <f t="shared" si="15"/>
        <v>45796</v>
      </c>
      <c r="C365" s="92">
        <v>480.96</v>
      </c>
      <c r="D365" s="92"/>
      <c r="E365" s="92">
        <v>275.75799999999998</v>
      </c>
      <c r="F365" s="92">
        <v>565</v>
      </c>
      <c r="G365" s="22">
        <f t="shared" si="16"/>
        <v>289.24200000000002</v>
      </c>
      <c r="H365" s="22">
        <f>IFERROR(IF(Yearending&gt;B364,'5. Historical demand'!F365-'5. Historical demand'!C365-'5. Historical demand'!D365,""),"")</f>
        <v>84.04000000000002</v>
      </c>
      <c r="I365" s="22">
        <f t="shared" si="17"/>
        <v>205.202</v>
      </c>
    </row>
    <row r="366" spans="2:9" x14ac:dyDescent="0.2">
      <c r="B366" s="203">
        <f t="shared" si="15"/>
        <v>45797</v>
      </c>
      <c r="C366" s="92">
        <v>480.96</v>
      </c>
      <c r="D366" s="92"/>
      <c r="E366" s="92">
        <v>319.88799999999998</v>
      </c>
      <c r="F366" s="92">
        <v>565</v>
      </c>
      <c r="G366" s="22">
        <f t="shared" si="16"/>
        <v>245.11200000000002</v>
      </c>
      <c r="H366" s="22">
        <f>IFERROR(IF(Yearending&gt;B365,'5. Historical demand'!F366-'5. Historical demand'!C366-'5. Historical demand'!D366,""),"")</f>
        <v>84.04000000000002</v>
      </c>
      <c r="I366" s="22">
        <f t="shared" si="17"/>
        <v>161.072</v>
      </c>
    </row>
    <row r="367" spans="2:9" x14ac:dyDescent="0.2">
      <c r="B367" s="203">
        <f t="shared" si="15"/>
        <v>45798</v>
      </c>
      <c r="C367" s="92">
        <v>480.96</v>
      </c>
      <c r="D367" s="92"/>
      <c r="E367" s="92">
        <v>319.99700000000001</v>
      </c>
      <c r="F367" s="92">
        <v>565</v>
      </c>
      <c r="G367" s="22">
        <f t="shared" si="16"/>
        <v>245.00299999999999</v>
      </c>
      <c r="H367" s="22">
        <f>IFERROR(IF(Yearending&gt;B366,'5. Historical demand'!F367-'5. Historical demand'!C367-'5. Historical demand'!D367,""),"")</f>
        <v>84.04000000000002</v>
      </c>
      <c r="I367" s="22">
        <f t="shared" si="17"/>
        <v>160.96299999999997</v>
      </c>
    </row>
    <row r="368" spans="2:9" x14ac:dyDescent="0.2">
      <c r="B368" s="203">
        <f t="shared" si="15"/>
        <v>45799</v>
      </c>
      <c r="C368" s="92">
        <v>480.96</v>
      </c>
      <c r="D368" s="92"/>
      <c r="E368" s="92">
        <v>210</v>
      </c>
      <c r="F368" s="92">
        <v>565</v>
      </c>
      <c r="G368" s="22">
        <f t="shared" si="16"/>
        <v>355</v>
      </c>
      <c r="H368" s="22">
        <f>IFERROR(IF(Yearending&gt;B367,'5. Historical demand'!F368-'5. Historical demand'!C368-'5. Historical demand'!D368,""),"")</f>
        <v>84.04000000000002</v>
      </c>
      <c r="I368" s="22">
        <f t="shared" si="17"/>
        <v>270.95999999999998</v>
      </c>
    </row>
    <row r="369" spans="2:9" x14ac:dyDescent="0.2">
      <c r="B369" s="203">
        <f t="shared" si="15"/>
        <v>45800</v>
      </c>
      <c r="C369" s="92">
        <v>480.96</v>
      </c>
      <c r="D369" s="92"/>
      <c r="E369" s="92">
        <v>237.98</v>
      </c>
      <c r="F369" s="92">
        <v>565</v>
      </c>
      <c r="G369" s="22">
        <f t="shared" si="16"/>
        <v>327.02</v>
      </c>
      <c r="H369" s="22">
        <f>IFERROR(IF(Yearending&gt;B368,'5. Historical demand'!F369-'5. Historical demand'!C369-'5. Historical demand'!D369,""),"")</f>
        <v>84.04000000000002</v>
      </c>
      <c r="I369" s="22">
        <f t="shared" si="17"/>
        <v>242.98</v>
      </c>
    </row>
    <row r="370" spans="2:9" x14ac:dyDescent="0.2">
      <c r="B370" s="203">
        <f t="shared" si="15"/>
        <v>45801</v>
      </c>
      <c r="C370" s="92">
        <v>480.96</v>
      </c>
      <c r="D370" s="92"/>
      <c r="E370" s="92">
        <v>224</v>
      </c>
      <c r="F370" s="92">
        <v>565</v>
      </c>
      <c r="G370" s="22">
        <f t="shared" si="16"/>
        <v>341</v>
      </c>
      <c r="H370" s="22">
        <f>IFERROR(IF(Yearending&gt;B369,'5. Historical demand'!F370-'5. Historical demand'!C370-'5. Historical demand'!D370,""),"")</f>
        <v>84.04000000000002</v>
      </c>
      <c r="I370" s="22">
        <f t="shared" si="17"/>
        <v>256.95999999999998</v>
      </c>
    </row>
    <row r="371" spans="2:9" x14ac:dyDescent="0.2">
      <c r="B371" s="203">
        <f t="shared" si="15"/>
        <v>45802</v>
      </c>
      <c r="C371" s="92">
        <v>480.96</v>
      </c>
      <c r="D371" s="92"/>
      <c r="E371" s="92">
        <v>224.001</v>
      </c>
      <c r="F371" s="92">
        <v>565</v>
      </c>
      <c r="G371" s="22">
        <f t="shared" si="16"/>
        <v>340.99900000000002</v>
      </c>
      <c r="H371" s="22">
        <f>IFERROR(IF(Yearending&gt;B370,'5. Historical demand'!F371-'5. Historical demand'!C371-'5. Historical demand'!D371,""),"")</f>
        <v>84.04000000000002</v>
      </c>
      <c r="I371" s="22">
        <f t="shared" si="17"/>
        <v>256.95899999999995</v>
      </c>
    </row>
    <row r="372" spans="2:9" x14ac:dyDescent="0.2">
      <c r="B372" s="203">
        <f t="shared" si="15"/>
        <v>45803</v>
      </c>
      <c r="C372" s="92">
        <v>480.96</v>
      </c>
      <c r="D372" s="92"/>
      <c r="E372" s="92">
        <v>200.001</v>
      </c>
      <c r="F372" s="92">
        <v>565</v>
      </c>
      <c r="G372" s="22">
        <f t="shared" si="16"/>
        <v>364.99900000000002</v>
      </c>
      <c r="H372" s="22">
        <f>IFERROR(IF(Yearending&gt;B371,'5. Historical demand'!F372-'5. Historical demand'!C372-'5. Historical demand'!D372,""),"")</f>
        <v>84.04000000000002</v>
      </c>
      <c r="I372" s="22">
        <f t="shared" si="17"/>
        <v>280.95899999999995</v>
      </c>
    </row>
    <row r="373" spans="2:9" x14ac:dyDescent="0.2">
      <c r="B373" s="203">
        <f t="shared" si="15"/>
        <v>45804</v>
      </c>
      <c r="C373" s="92">
        <v>480.96</v>
      </c>
      <c r="D373" s="92"/>
      <c r="E373" s="92">
        <v>282.71699999999998</v>
      </c>
      <c r="F373" s="92">
        <v>565</v>
      </c>
      <c r="G373" s="22">
        <f t="shared" si="16"/>
        <v>282.28300000000002</v>
      </c>
      <c r="H373" s="22">
        <f>IFERROR(IF(Yearending&gt;B372,'5. Historical demand'!F373-'5. Historical demand'!C373-'5. Historical demand'!D373,""),"")</f>
        <v>84.04000000000002</v>
      </c>
      <c r="I373" s="22">
        <f t="shared" si="17"/>
        <v>198.24299999999999</v>
      </c>
    </row>
    <row r="374" spans="2:9" x14ac:dyDescent="0.2">
      <c r="B374" s="203">
        <f t="shared" si="15"/>
        <v>45805</v>
      </c>
      <c r="C374" s="92">
        <v>480.96</v>
      </c>
      <c r="D374" s="92"/>
      <c r="E374" s="92">
        <v>279.99700000000001</v>
      </c>
      <c r="F374" s="92">
        <v>565</v>
      </c>
      <c r="G374" s="22">
        <f t="shared" si="16"/>
        <v>285.00299999999999</v>
      </c>
      <c r="H374" s="22">
        <f>IFERROR(IF(Yearending&gt;B373,'5. Historical demand'!F374-'5. Historical demand'!C374-'5. Historical demand'!D374,""),"")</f>
        <v>84.04000000000002</v>
      </c>
      <c r="I374" s="22">
        <f t="shared" si="17"/>
        <v>200.96299999999997</v>
      </c>
    </row>
    <row r="375" spans="2:9" x14ac:dyDescent="0.2">
      <c r="B375" s="203">
        <f t="shared" si="15"/>
        <v>45806</v>
      </c>
      <c r="C375" s="92">
        <v>480.96</v>
      </c>
      <c r="D375" s="92"/>
      <c r="E375" s="92">
        <v>279.99900000000002</v>
      </c>
      <c r="F375" s="92">
        <v>565</v>
      </c>
      <c r="G375" s="22">
        <f t="shared" si="16"/>
        <v>285.00099999999998</v>
      </c>
      <c r="H375" s="22">
        <f>IFERROR(IF(Yearending&gt;B374,'5. Historical demand'!F375-'5. Historical demand'!C375-'5. Historical demand'!D375,""),"")</f>
        <v>84.04000000000002</v>
      </c>
      <c r="I375" s="22">
        <f t="shared" si="17"/>
        <v>200.96099999999996</v>
      </c>
    </row>
    <row r="376" spans="2:9" x14ac:dyDescent="0.2">
      <c r="B376" s="203">
        <f t="shared" si="15"/>
        <v>45807</v>
      </c>
      <c r="C376" s="92">
        <v>480.96</v>
      </c>
      <c r="D376" s="92"/>
      <c r="E376" s="92">
        <v>324.99799999999999</v>
      </c>
      <c r="F376" s="92">
        <v>565</v>
      </c>
      <c r="G376" s="22">
        <f t="shared" si="16"/>
        <v>240.00200000000001</v>
      </c>
      <c r="H376" s="22">
        <f>IFERROR(IF(Yearending&gt;B375,'5. Historical demand'!F376-'5. Historical demand'!C376-'5. Historical demand'!D376,""),"")</f>
        <v>84.04000000000002</v>
      </c>
      <c r="I376" s="22">
        <f t="shared" si="17"/>
        <v>155.96199999999999</v>
      </c>
    </row>
    <row r="377" spans="2:9" x14ac:dyDescent="0.2">
      <c r="B377" s="203">
        <f t="shared" si="15"/>
        <v>45808</v>
      </c>
      <c r="C377" s="92">
        <v>480.96</v>
      </c>
      <c r="D377" s="92"/>
      <c r="E377" s="92">
        <v>350.00099999999998</v>
      </c>
      <c r="F377" s="92">
        <v>565</v>
      </c>
      <c r="G377" s="22">
        <f t="shared" si="16"/>
        <v>214.99900000000002</v>
      </c>
      <c r="H377" s="22">
        <f>IFERROR(IF(Yearending&gt;B376,'5. Historical demand'!F377-'5. Historical demand'!C377-'5. Historical demand'!D377,""),"")</f>
        <v>84.04000000000002</v>
      </c>
      <c r="I377" s="22">
        <f t="shared" si="17"/>
        <v>130.959</v>
      </c>
    </row>
    <row r="378" spans="2:9" x14ac:dyDescent="0.2">
      <c r="B378" s="203">
        <f t="shared" si="15"/>
        <v>45809</v>
      </c>
      <c r="C378" s="92">
        <v>480.34</v>
      </c>
      <c r="D378" s="92"/>
      <c r="E378" s="92">
        <v>352.59699999999998</v>
      </c>
      <c r="F378" s="92">
        <v>565</v>
      </c>
      <c r="G378" s="22">
        <f t="shared" si="16"/>
        <v>212.40300000000002</v>
      </c>
      <c r="H378" s="22">
        <f>IFERROR(IF(Yearending&gt;B377,'5. Historical demand'!F378-'5. Historical demand'!C378-'5. Historical demand'!D378,""),"")</f>
        <v>84.660000000000025</v>
      </c>
      <c r="I378" s="22">
        <f t="shared" si="17"/>
        <v>127.74299999999999</v>
      </c>
    </row>
    <row r="379" spans="2:9" x14ac:dyDescent="0.2">
      <c r="B379" s="203">
        <f t="shared" si="15"/>
        <v>45810</v>
      </c>
      <c r="C379" s="92">
        <v>480.34</v>
      </c>
      <c r="D379" s="92"/>
      <c r="E379" s="92">
        <v>349.99700000000001</v>
      </c>
      <c r="F379" s="92">
        <v>565</v>
      </c>
      <c r="G379" s="22">
        <f t="shared" si="16"/>
        <v>215.00299999999999</v>
      </c>
      <c r="H379" s="22">
        <f>IFERROR(IF(Yearending&gt;B378,'5. Historical demand'!F379-'5. Historical demand'!C379-'5. Historical demand'!D379,""),"")</f>
        <v>84.660000000000025</v>
      </c>
      <c r="I379" s="22">
        <f t="shared" si="17"/>
        <v>130.34299999999996</v>
      </c>
    </row>
    <row r="380" spans="2:9" x14ac:dyDescent="0.2">
      <c r="B380" s="203">
        <f t="shared" si="15"/>
        <v>45811</v>
      </c>
      <c r="C380" s="92">
        <v>480.34</v>
      </c>
      <c r="D380" s="92"/>
      <c r="E380" s="92">
        <v>351.5</v>
      </c>
      <c r="F380" s="92">
        <v>565</v>
      </c>
      <c r="G380" s="22">
        <f t="shared" si="16"/>
        <v>213.5</v>
      </c>
      <c r="H380" s="22">
        <f>IFERROR(IF(Yearending&gt;B379,'5. Historical demand'!F380-'5. Historical demand'!C380-'5. Historical demand'!D380,""),"")</f>
        <v>84.660000000000025</v>
      </c>
      <c r="I380" s="22">
        <f t="shared" si="17"/>
        <v>128.83999999999997</v>
      </c>
    </row>
    <row r="381" spans="2:9" x14ac:dyDescent="0.2">
      <c r="B381" s="203">
        <f t="shared" si="15"/>
        <v>45812</v>
      </c>
      <c r="C381" s="92">
        <v>480.34</v>
      </c>
      <c r="D381" s="92"/>
      <c r="E381" s="92">
        <v>379.15800000000002</v>
      </c>
      <c r="F381" s="92">
        <v>565</v>
      </c>
      <c r="G381" s="22">
        <f t="shared" si="16"/>
        <v>185.84199999999998</v>
      </c>
      <c r="H381" s="22">
        <f>IFERROR(IF(Yearending&gt;B380,'5. Historical demand'!F381-'5. Historical demand'!C381-'5. Historical demand'!D381,""),"")</f>
        <v>84.660000000000025</v>
      </c>
      <c r="I381" s="22">
        <f t="shared" si="17"/>
        <v>101.18199999999996</v>
      </c>
    </row>
    <row r="382" spans="2:9" x14ac:dyDescent="0.2">
      <c r="B382" s="203">
        <f t="shared" si="15"/>
        <v>45813</v>
      </c>
      <c r="C382" s="92">
        <v>480.34</v>
      </c>
      <c r="D382" s="92"/>
      <c r="E382" s="92">
        <v>376.34300000000002</v>
      </c>
      <c r="F382" s="92">
        <v>565</v>
      </c>
      <c r="G382" s="22">
        <f t="shared" si="16"/>
        <v>188.65699999999998</v>
      </c>
      <c r="H382" s="22">
        <f>IFERROR(IF(Yearending&gt;B381,'5. Historical demand'!F382-'5. Historical demand'!C382-'5. Historical demand'!D382,""),"")</f>
        <v>84.660000000000025</v>
      </c>
      <c r="I382" s="22">
        <f t="shared" si="17"/>
        <v>103.99699999999996</v>
      </c>
    </row>
    <row r="383" spans="2:9" x14ac:dyDescent="0.2">
      <c r="B383" s="203">
        <f t="shared" si="15"/>
        <v>45814</v>
      </c>
      <c r="C383" s="92">
        <v>480.34</v>
      </c>
      <c r="D383" s="92"/>
      <c r="E383" s="92">
        <v>392.34300000000002</v>
      </c>
      <c r="F383" s="92">
        <v>565</v>
      </c>
      <c r="G383" s="22">
        <f t="shared" si="16"/>
        <v>172.65699999999998</v>
      </c>
      <c r="H383" s="22">
        <f>IFERROR(IF(Yearending&gt;B382,'5. Historical demand'!F383-'5. Historical demand'!C383-'5. Historical demand'!D383,""),"")</f>
        <v>84.660000000000025</v>
      </c>
      <c r="I383" s="22">
        <f t="shared" si="17"/>
        <v>87.996999999999957</v>
      </c>
    </row>
    <row r="384" spans="2:9" x14ac:dyDescent="0.2">
      <c r="B384" s="203">
        <f t="shared" si="15"/>
        <v>45815</v>
      </c>
      <c r="C384" s="92">
        <v>480.34</v>
      </c>
      <c r="D384" s="92"/>
      <c r="E384" s="92">
        <v>404.92200000000003</v>
      </c>
      <c r="F384" s="92">
        <v>565</v>
      </c>
      <c r="G384" s="22">
        <f t="shared" si="16"/>
        <v>160.07799999999997</v>
      </c>
      <c r="H384" s="22">
        <f>IFERROR(IF(Yearending&gt;B383,'5. Historical demand'!F384-'5. Historical demand'!C384-'5. Historical demand'!D384,""),"")</f>
        <v>84.660000000000025</v>
      </c>
      <c r="I384" s="22">
        <f t="shared" si="17"/>
        <v>75.41799999999995</v>
      </c>
    </row>
    <row r="385" spans="2:9" x14ac:dyDescent="0.2">
      <c r="B385" s="203">
        <f t="shared" si="15"/>
        <v>45816</v>
      </c>
      <c r="C385" s="92">
        <v>480.34</v>
      </c>
      <c r="D385" s="92"/>
      <c r="E385" s="92">
        <v>450.36599999999999</v>
      </c>
      <c r="F385" s="92">
        <v>565</v>
      </c>
      <c r="G385" s="22">
        <f t="shared" si="16"/>
        <v>114.63400000000001</v>
      </c>
      <c r="H385" s="22">
        <f>IFERROR(IF(Yearending&gt;B384,'5. Historical demand'!F385-'5. Historical demand'!C385-'5. Historical demand'!D385,""),"")</f>
        <v>84.660000000000025</v>
      </c>
      <c r="I385" s="22">
        <f t="shared" si="17"/>
        <v>29.97399999999999</v>
      </c>
    </row>
    <row r="386" spans="2:9" x14ac:dyDescent="0.2">
      <c r="B386" s="203">
        <f t="shared" si="15"/>
        <v>45817</v>
      </c>
      <c r="C386" s="92">
        <v>480.34</v>
      </c>
      <c r="D386" s="92"/>
      <c r="E386" s="92">
        <v>451.00099999999998</v>
      </c>
      <c r="F386" s="92">
        <v>565</v>
      </c>
      <c r="G386" s="22">
        <f t="shared" si="16"/>
        <v>113.99900000000002</v>
      </c>
      <c r="H386" s="22">
        <f>IFERROR(IF(Yearending&gt;B385,'5. Historical demand'!F386-'5. Historical demand'!C386-'5. Historical demand'!D386,""),"")</f>
        <v>84.660000000000025</v>
      </c>
      <c r="I386" s="22">
        <f t="shared" si="17"/>
        <v>29.338999999999999</v>
      </c>
    </row>
    <row r="387" spans="2:9" x14ac:dyDescent="0.2">
      <c r="B387" s="203">
        <f t="shared" si="15"/>
        <v>45818</v>
      </c>
      <c r="C387" s="92">
        <v>480.34</v>
      </c>
      <c r="D387" s="92"/>
      <c r="E387" s="92">
        <v>392.49700000000001</v>
      </c>
      <c r="F387" s="92">
        <v>565</v>
      </c>
      <c r="G387" s="22">
        <f t="shared" si="16"/>
        <v>172.50299999999999</v>
      </c>
      <c r="H387" s="22">
        <f>IFERROR(IF(Yearending&gt;B386,'5. Historical demand'!F387-'5. Historical demand'!C387-'5. Historical demand'!D387,""),"")</f>
        <v>84.660000000000025</v>
      </c>
      <c r="I387" s="22">
        <f t="shared" si="17"/>
        <v>87.842999999999961</v>
      </c>
    </row>
    <row r="388" spans="2:9" x14ac:dyDescent="0.2">
      <c r="B388" s="203">
        <f t="shared" si="15"/>
        <v>45819</v>
      </c>
      <c r="C388" s="92">
        <v>480.34</v>
      </c>
      <c r="D388" s="92"/>
      <c r="E388" s="92">
        <v>406.786</v>
      </c>
      <c r="F388" s="92">
        <v>565</v>
      </c>
      <c r="G388" s="22">
        <f t="shared" si="16"/>
        <v>158.214</v>
      </c>
      <c r="H388" s="22">
        <f>IFERROR(IF(Yearending&gt;B387,'5. Historical demand'!F388-'5. Historical demand'!C388-'5. Historical demand'!D388,""),"")</f>
        <v>84.660000000000025</v>
      </c>
      <c r="I388" s="22">
        <f t="shared" si="17"/>
        <v>73.553999999999974</v>
      </c>
    </row>
    <row r="389" spans="2:9" x14ac:dyDescent="0.2">
      <c r="B389" s="203">
        <f t="shared" si="15"/>
        <v>45820</v>
      </c>
      <c r="C389" s="92">
        <v>480.34</v>
      </c>
      <c r="D389" s="92"/>
      <c r="E389" s="92">
        <v>310.00099999999998</v>
      </c>
      <c r="F389" s="92">
        <v>565</v>
      </c>
      <c r="G389" s="22">
        <f t="shared" si="16"/>
        <v>254.99900000000002</v>
      </c>
      <c r="H389" s="22">
        <f>IFERROR(IF(Yearending&gt;B388,'5. Historical demand'!F389-'5. Historical demand'!C389-'5. Historical demand'!D389,""),"")</f>
        <v>84.660000000000025</v>
      </c>
      <c r="I389" s="22">
        <f t="shared" si="17"/>
        <v>170.339</v>
      </c>
    </row>
    <row r="390" spans="2:9" x14ac:dyDescent="0.2">
      <c r="B390" s="203">
        <f t="shared" si="15"/>
        <v>45821</v>
      </c>
      <c r="C390" s="92">
        <v>480.34</v>
      </c>
      <c r="D390" s="92"/>
      <c r="E390" s="92">
        <v>350.00200000000001</v>
      </c>
      <c r="F390" s="92">
        <v>565</v>
      </c>
      <c r="G390" s="22">
        <f t="shared" si="16"/>
        <v>214.99799999999999</v>
      </c>
      <c r="H390" s="22">
        <f>IFERROR(IF(Yearending&gt;B389,'5. Historical demand'!F390-'5. Historical demand'!C390-'5. Historical demand'!D390,""),"")</f>
        <v>84.660000000000025</v>
      </c>
      <c r="I390" s="22">
        <f t="shared" si="17"/>
        <v>130.33799999999997</v>
      </c>
    </row>
    <row r="391" spans="2:9" x14ac:dyDescent="0.2">
      <c r="B391" s="203">
        <f t="shared" si="15"/>
        <v>45822</v>
      </c>
      <c r="C391" s="92">
        <v>480.34</v>
      </c>
      <c r="D391" s="92"/>
      <c r="E391" s="92">
        <v>314.99200000000002</v>
      </c>
      <c r="F391" s="92">
        <v>565</v>
      </c>
      <c r="G391" s="22">
        <f t="shared" si="16"/>
        <v>250.00799999999998</v>
      </c>
      <c r="H391" s="22">
        <f>IFERROR(IF(Yearending&gt;B390,'5. Historical demand'!F391-'5. Historical demand'!C391-'5. Historical demand'!D391,""),"")</f>
        <v>84.660000000000025</v>
      </c>
      <c r="I391" s="22">
        <f t="shared" si="17"/>
        <v>165.34799999999996</v>
      </c>
    </row>
    <row r="392" spans="2:9" x14ac:dyDescent="0.2">
      <c r="B392" s="203">
        <f t="shared" si="15"/>
        <v>45823</v>
      </c>
      <c r="C392" s="92">
        <v>480.34</v>
      </c>
      <c r="D392" s="92"/>
      <c r="E392" s="92">
        <v>354.99400000000003</v>
      </c>
      <c r="F392" s="92">
        <v>565</v>
      </c>
      <c r="G392" s="22">
        <f t="shared" si="16"/>
        <v>210.00599999999997</v>
      </c>
      <c r="H392" s="22">
        <f>IFERROR(IF(Yearending&gt;B391,'5. Historical demand'!F392-'5. Historical demand'!C392-'5. Historical demand'!D392,""),"")</f>
        <v>84.660000000000025</v>
      </c>
      <c r="I392" s="22">
        <f t="shared" si="17"/>
        <v>125.34599999999995</v>
      </c>
    </row>
    <row r="393" spans="2:9" x14ac:dyDescent="0.2">
      <c r="B393" s="203">
        <f t="shared" si="15"/>
        <v>45824</v>
      </c>
      <c r="C393" s="92">
        <v>480.34</v>
      </c>
      <c r="D393" s="92"/>
      <c r="E393" s="92">
        <v>293.33999999999997</v>
      </c>
      <c r="F393" s="92">
        <v>565</v>
      </c>
      <c r="G393" s="22">
        <f t="shared" si="16"/>
        <v>271.66000000000003</v>
      </c>
      <c r="H393" s="22">
        <f>IFERROR(IF(Yearending&gt;B392,'5. Historical demand'!F393-'5. Historical demand'!C393-'5. Historical demand'!D393,""),"")</f>
        <v>84.660000000000025</v>
      </c>
      <c r="I393" s="22">
        <f t="shared" si="17"/>
        <v>187</v>
      </c>
    </row>
    <row r="394" spans="2:9" x14ac:dyDescent="0.2">
      <c r="B394" s="203">
        <f t="shared" si="15"/>
        <v>45825</v>
      </c>
      <c r="C394" s="92">
        <v>480.34</v>
      </c>
      <c r="D394" s="92"/>
      <c r="E394" s="92">
        <v>211.59700000000001</v>
      </c>
      <c r="F394" s="92">
        <v>565</v>
      </c>
      <c r="G394" s="22">
        <f t="shared" si="16"/>
        <v>353.40300000000002</v>
      </c>
      <c r="H394" s="22">
        <f>IFERROR(IF(Yearending&gt;B393,'5. Historical demand'!F394-'5. Historical demand'!C394-'5. Historical demand'!D394,""),"")</f>
        <v>84.660000000000025</v>
      </c>
      <c r="I394" s="22">
        <f t="shared" si="17"/>
        <v>268.74299999999994</v>
      </c>
    </row>
    <row r="395" spans="2:9" x14ac:dyDescent="0.2">
      <c r="B395" s="203">
        <f t="shared" si="15"/>
        <v>45826</v>
      </c>
      <c r="C395" s="92">
        <v>480.34</v>
      </c>
      <c r="D395" s="92"/>
      <c r="E395" s="92">
        <v>343.59500000000003</v>
      </c>
      <c r="F395" s="92">
        <v>565</v>
      </c>
      <c r="G395" s="22">
        <f t="shared" si="16"/>
        <v>221.40499999999997</v>
      </c>
      <c r="H395" s="22">
        <f>IFERROR(IF(Yearending&gt;B394,'5. Historical demand'!F395-'5. Historical demand'!C395-'5. Historical demand'!D395,""),"")</f>
        <v>84.660000000000025</v>
      </c>
      <c r="I395" s="22">
        <f t="shared" si="17"/>
        <v>136.74499999999995</v>
      </c>
    </row>
    <row r="396" spans="2:9" x14ac:dyDescent="0.2">
      <c r="B396" s="203">
        <f t="shared" si="15"/>
        <v>45827</v>
      </c>
      <c r="C396" s="92">
        <v>480.34</v>
      </c>
      <c r="D396" s="92"/>
      <c r="E396" s="92">
        <v>344.565</v>
      </c>
      <c r="F396" s="92">
        <v>565</v>
      </c>
      <c r="G396" s="22">
        <f t="shared" si="16"/>
        <v>220.435</v>
      </c>
      <c r="H396" s="22">
        <f>IFERROR(IF(Yearending&gt;B395,'5. Historical demand'!F396-'5. Historical demand'!C396-'5. Historical demand'!D396,""),"")</f>
        <v>84.660000000000025</v>
      </c>
      <c r="I396" s="22">
        <f t="shared" si="17"/>
        <v>135.77499999999998</v>
      </c>
    </row>
    <row r="397" spans="2:9" x14ac:dyDescent="0.2">
      <c r="B397" s="203">
        <f t="shared" si="15"/>
        <v>45828</v>
      </c>
      <c r="C397" s="92">
        <v>480.34</v>
      </c>
      <c r="D397" s="92"/>
      <c r="E397" s="92">
        <v>274.99799999999999</v>
      </c>
      <c r="F397" s="92">
        <v>565</v>
      </c>
      <c r="G397" s="22">
        <f t="shared" si="16"/>
        <v>290.00200000000001</v>
      </c>
      <c r="H397" s="22">
        <f>IFERROR(IF(Yearending&gt;B396,'5. Historical demand'!F397-'5. Historical demand'!C397-'5. Historical demand'!D397,""),"")</f>
        <v>84.660000000000025</v>
      </c>
      <c r="I397" s="22">
        <f t="shared" si="17"/>
        <v>205.34199999999998</v>
      </c>
    </row>
    <row r="398" spans="2:9" x14ac:dyDescent="0.2">
      <c r="B398" s="203">
        <f t="shared" si="15"/>
        <v>45829</v>
      </c>
      <c r="C398" s="92">
        <v>480.34</v>
      </c>
      <c r="D398" s="92"/>
      <c r="E398" s="92">
        <v>324.29500000000002</v>
      </c>
      <c r="F398" s="92">
        <v>565</v>
      </c>
      <c r="G398" s="22">
        <f t="shared" si="16"/>
        <v>240.70499999999998</v>
      </c>
      <c r="H398" s="22">
        <f>IFERROR(IF(Yearending&gt;B397,'5. Historical demand'!F398-'5. Historical demand'!C398-'5. Historical demand'!D398,""),"")</f>
        <v>84.660000000000025</v>
      </c>
      <c r="I398" s="22">
        <f t="shared" si="17"/>
        <v>156.04499999999996</v>
      </c>
    </row>
    <row r="399" spans="2:9" x14ac:dyDescent="0.2">
      <c r="B399" s="203">
        <f t="shared" si="15"/>
        <v>45830</v>
      </c>
      <c r="C399" s="92">
        <v>480.34</v>
      </c>
      <c r="D399" s="92"/>
      <c r="E399" s="92">
        <v>352.4</v>
      </c>
      <c r="F399" s="92">
        <v>565</v>
      </c>
      <c r="G399" s="22">
        <f t="shared" si="16"/>
        <v>212.60000000000002</v>
      </c>
      <c r="H399" s="22">
        <f>IFERROR(IF(Yearending&gt;B398,'5. Historical demand'!F399-'5. Historical demand'!C399-'5. Historical demand'!D399,""),"")</f>
        <v>84.660000000000025</v>
      </c>
      <c r="I399" s="22">
        <f t="shared" si="17"/>
        <v>127.94</v>
      </c>
    </row>
    <row r="400" spans="2:9" x14ac:dyDescent="0.2">
      <c r="B400" s="203">
        <f t="shared" si="15"/>
        <v>45831</v>
      </c>
      <c r="C400" s="92">
        <v>480.34</v>
      </c>
      <c r="D400" s="92"/>
      <c r="E400" s="92">
        <v>309.99599999999998</v>
      </c>
      <c r="F400" s="92">
        <v>565</v>
      </c>
      <c r="G400" s="22">
        <f t="shared" si="16"/>
        <v>255.00400000000002</v>
      </c>
      <c r="H400" s="22">
        <f>IFERROR(IF(Yearending&gt;B399,'5. Historical demand'!F400-'5. Historical demand'!C400-'5. Historical demand'!D400,""),"")</f>
        <v>84.660000000000025</v>
      </c>
      <c r="I400" s="22">
        <f t="shared" si="17"/>
        <v>170.34399999999999</v>
      </c>
    </row>
    <row r="401" spans="2:9" x14ac:dyDescent="0.2">
      <c r="B401" s="203">
        <f t="shared" si="15"/>
        <v>45832</v>
      </c>
      <c r="C401" s="92">
        <v>480.34</v>
      </c>
      <c r="D401" s="92"/>
      <c r="E401" s="92">
        <v>249.99799999999999</v>
      </c>
      <c r="F401" s="92">
        <v>565</v>
      </c>
      <c r="G401" s="22">
        <f t="shared" si="16"/>
        <v>315.00200000000001</v>
      </c>
      <c r="H401" s="22">
        <f>IFERROR(IF(Yearending&gt;B400,'5. Historical demand'!F401-'5. Historical demand'!C401-'5. Historical demand'!D401,""),"")</f>
        <v>84.660000000000025</v>
      </c>
      <c r="I401" s="22">
        <f t="shared" si="17"/>
        <v>230.34199999999998</v>
      </c>
    </row>
    <row r="402" spans="2:9" x14ac:dyDescent="0.2">
      <c r="B402" s="203">
        <f t="shared" si="15"/>
        <v>45833</v>
      </c>
      <c r="C402" s="92">
        <v>480.34</v>
      </c>
      <c r="D402" s="92"/>
      <c r="E402" s="92">
        <v>284.99799999999999</v>
      </c>
      <c r="F402" s="92">
        <v>565</v>
      </c>
      <c r="G402" s="22">
        <f t="shared" si="16"/>
        <v>280.00200000000001</v>
      </c>
      <c r="H402" s="22">
        <f>IFERROR(IF(Yearending&gt;B401,'5. Historical demand'!F402-'5. Historical demand'!C402-'5. Historical demand'!D402,""),"")</f>
        <v>84.660000000000025</v>
      </c>
      <c r="I402" s="22">
        <f t="shared" si="17"/>
        <v>195.34199999999998</v>
      </c>
    </row>
    <row r="403" spans="2:9" x14ac:dyDescent="0.2">
      <c r="B403" s="203">
        <f t="shared" si="15"/>
        <v>45834</v>
      </c>
      <c r="C403" s="92">
        <v>480.34</v>
      </c>
      <c r="D403" s="92"/>
      <c r="E403" s="92">
        <v>367.7</v>
      </c>
      <c r="F403" s="92">
        <v>565</v>
      </c>
      <c r="G403" s="22">
        <f t="shared" si="16"/>
        <v>197.3</v>
      </c>
      <c r="H403" s="22">
        <f>IFERROR(IF(Yearending&gt;B402,'5. Historical demand'!F403-'5. Historical demand'!C403-'5. Historical demand'!D403,""),"")</f>
        <v>84.660000000000025</v>
      </c>
      <c r="I403" s="22">
        <f t="shared" si="17"/>
        <v>112.63999999999999</v>
      </c>
    </row>
    <row r="404" spans="2:9" x14ac:dyDescent="0.2">
      <c r="B404" s="203">
        <f t="shared" si="15"/>
        <v>45835</v>
      </c>
      <c r="C404" s="92">
        <v>480.34</v>
      </c>
      <c r="D404" s="92"/>
      <c r="E404" s="92">
        <v>400.99700000000001</v>
      </c>
      <c r="F404" s="92">
        <v>565</v>
      </c>
      <c r="G404" s="22">
        <f t="shared" si="16"/>
        <v>164.00299999999999</v>
      </c>
      <c r="H404" s="22">
        <f>IFERROR(IF(Yearending&gt;B403,'5. Historical demand'!F404-'5. Historical demand'!C404-'5. Historical demand'!D404,""),"")</f>
        <v>84.660000000000025</v>
      </c>
      <c r="I404" s="22">
        <f t="shared" si="17"/>
        <v>79.342999999999961</v>
      </c>
    </row>
    <row r="405" spans="2:9" x14ac:dyDescent="0.2">
      <c r="B405" s="203">
        <f t="shared" si="15"/>
        <v>45836</v>
      </c>
      <c r="C405" s="92">
        <v>480.34</v>
      </c>
      <c r="D405" s="92"/>
      <c r="E405" s="92">
        <v>216.59</v>
      </c>
      <c r="F405" s="92">
        <v>565</v>
      </c>
      <c r="G405" s="22">
        <f t="shared" si="16"/>
        <v>348.40999999999997</v>
      </c>
      <c r="H405" s="22">
        <f>IFERROR(IF(Yearending&gt;B404,'5. Historical demand'!F405-'5. Historical demand'!C405-'5. Historical demand'!D405,""),"")</f>
        <v>84.660000000000025</v>
      </c>
      <c r="I405" s="22">
        <f t="shared" si="17"/>
        <v>263.75</v>
      </c>
    </row>
    <row r="406" spans="2:9" x14ac:dyDescent="0.2">
      <c r="B406" s="203">
        <f t="shared" si="15"/>
        <v>45837</v>
      </c>
      <c r="C406" s="92">
        <v>480.34</v>
      </c>
      <c r="D406" s="92"/>
      <c r="E406" s="92">
        <v>300.06900000000002</v>
      </c>
      <c r="F406" s="92">
        <v>565</v>
      </c>
      <c r="G406" s="22">
        <f t="shared" si="16"/>
        <v>264.93099999999998</v>
      </c>
      <c r="H406" s="22">
        <f>IFERROR(IF(Yearending&gt;B405,'5. Historical demand'!F406-'5. Historical demand'!C406-'5. Historical demand'!D406,""),"")</f>
        <v>84.660000000000025</v>
      </c>
      <c r="I406" s="22">
        <f t="shared" si="17"/>
        <v>180.27099999999996</v>
      </c>
    </row>
    <row r="407" spans="2:9" x14ac:dyDescent="0.2">
      <c r="B407" s="203">
        <f t="shared" si="15"/>
        <v>45838</v>
      </c>
      <c r="C407" s="92">
        <v>480.34</v>
      </c>
      <c r="D407" s="92"/>
      <c r="E407" s="92">
        <v>308.50299999999999</v>
      </c>
      <c r="F407" s="92">
        <v>565</v>
      </c>
      <c r="G407" s="22">
        <f t="shared" si="16"/>
        <v>256.49700000000001</v>
      </c>
      <c r="H407" s="22">
        <f>IFERROR(IF(Yearending&gt;B406,'5. Historical demand'!F407-'5. Historical demand'!C407-'5. Historical demand'!D407,""),"")</f>
        <v>84.660000000000025</v>
      </c>
      <c r="I407" s="22">
        <f t="shared" si="17"/>
        <v>171.83699999999999</v>
      </c>
    </row>
    <row r="408" spans="2:9" x14ac:dyDescent="0.2">
      <c r="B408" s="203" t="str">
        <f t="shared" si="15"/>
        <v/>
      </c>
      <c r="C408" s="92"/>
      <c r="D408" s="92"/>
      <c r="E408" s="92"/>
      <c r="F408" s="92"/>
      <c r="G408" s="22" t="str">
        <f t="shared" si="16"/>
        <v/>
      </c>
      <c r="H408" s="22" t="str">
        <f>IFERROR(IF(Yearending&gt;B407,'5. Historical demand'!F408-'5. Historical demand'!C408-'5. Historical demand'!D408,""),"")</f>
        <v/>
      </c>
      <c r="I408" s="22" t="str">
        <f t="shared" si="17"/>
        <v/>
      </c>
    </row>
  </sheetData>
  <sheetProtection sheet="1" insertRows="0"/>
  <mergeCells count="1">
    <mergeCell ref="B6:D9"/>
  </mergeCells>
  <conditionalFormatting sqref="B43:B408">
    <cfRule type="containsErrors" dxfId="2" priority="1" stopIfTrue="1">
      <formula>ISERROR(B43)</formula>
    </cfRule>
  </conditionalFormatting>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CD334-89D3-43B2-96B1-379D937993A5}">
  <sheetPr>
    <tabColor theme="5" tint="0.79998168889431442"/>
  </sheetPr>
  <dimension ref="A1:Z24"/>
  <sheetViews>
    <sheetView workbookViewId="0"/>
  </sheetViews>
  <sheetFormatPr defaultColWidth="9.28515625" defaultRowHeight="12.75" x14ac:dyDescent="0.2"/>
  <cols>
    <col min="1" max="16384" width="9.28515625" style="329"/>
  </cols>
  <sheetData>
    <row r="1" spans="1:26" x14ac:dyDescent="0.2">
      <c r="A1"/>
      <c r="M1"/>
      <c r="Z1"/>
    </row>
    <row r="11" spans="1:26" x14ac:dyDescent="0.2">
      <c r="E11" s="382"/>
    </row>
    <row r="12" spans="1:26" x14ac:dyDescent="0.2">
      <c r="E12" s="382"/>
    </row>
    <row r="13" spans="1:26" x14ac:dyDescent="0.2">
      <c r="E13" s="382"/>
    </row>
    <row r="14" spans="1:26" x14ac:dyDescent="0.2">
      <c r="E14" s="382"/>
      <c r="F14" s="382"/>
    </row>
    <row r="15" spans="1:26" x14ac:dyDescent="0.2">
      <c r="E15" s="382"/>
      <c r="F15" s="382"/>
    </row>
    <row r="16" spans="1:26" x14ac:dyDescent="0.2">
      <c r="F16" s="382"/>
    </row>
    <row r="17" spans="5:6" x14ac:dyDescent="0.2">
      <c r="F17" s="382"/>
    </row>
    <row r="19" spans="5:6" x14ac:dyDescent="0.2">
      <c r="E19" s="382"/>
      <c r="F19" s="382"/>
    </row>
    <row r="21" spans="5:6" x14ac:dyDescent="0.2">
      <c r="E21" s="382"/>
    </row>
    <row r="23" spans="5:6" x14ac:dyDescent="0.2">
      <c r="E23" s="382"/>
      <c r="F23" s="382"/>
    </row>
    <row r="24" spans="5:6" x14ac:dyDescent="0.2">
      <c r="F24" s="382"/>
    </row>
  </sheetData>
  <pageMargins left="0.7" right="0.7" top="0.75" bottom="0.75" header="0.3" footer="0.3"/>
  <headerFooter>
    <oddFooter>&amp;C_x000D_&amp;1#&amp;"Aptos"&amp;10&amp;K008000 APA-INTERNAL</oddFooter>
  </headerFooter>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06A3C-788D-486E-A691-CDC2CAC3ABCE}">
  <sheetPr codeName="Sheet31">
    <tabColor rgb="FF17415D"/>
  </sheetPr>
  <dimension ref="A1:K195"/>
  <sheetViews>
    <sheetView showGridLines="0" zoomScaleNormal="100" workbookViewId="0">
      <pane xSplit="1" ySplit="13" topLeftCell="B14" activePane="bottomRight" state="frozen"/>
      <selection pane="topRight" activeCell="B1" sqref="B1"/>
      <selection pane="bottomLeft" activeCell="A14" sqref="A14"/>
      <selection pane="bottomRight"/>
    </sheetView>
  </sheetViews>
  <sheetFormatPr defaultColWidth="9.28515625" defaultRowHeight="12.75" x14ac:dyDescent="0.2"/>
  <cols>
    <col min="1" max="1" width="11.7109375" style="201" customWidth="1"/>
    <col min="2" max="2" width="57.7109375" style="201" customWidth="1"/>
    <col min="3" max="3" width="44.7109375" style="201" customWidth="1"/>
    <col min="4" max="11" width="39" style="201" customWidth="1"/>
    <col min="12" max="16384" width="9.28515625" style="201"/>
  </cols>
  <sheetData>
    <row r="1" spans="1:4" ht="20.25" x14ac:dyDescent="0.2">
      <c r="A1" s="202"/>
      <c r="B1" s="146" t="s">
        <v>510</v>
      </c>
      <c r="C1" s="146"/>
    </row>
    <row r="2" spans="1:4" ht="20.25" x14ac:dyDescent="0.2">
      <c r="A2" s="202"/>
      <c r="B2" s="146" t="str">
        <f>IF(Tradingname=0," ",Tradingname)</f>
        <v>EAST AUSTRALIAN PIPELINE PTY LIMITED</v>
      </c>
      <c r="C2" s="146"/>
    </row>
    <row r="3" spans="1:4" ht="20.25" x14ac:dyDescent="0.3">
      <c r="B3" s="146" t="s">
        <v>110</v>
      </c>
      <c r="C3" s="110">
        <f>IF(Yearending=0, "0/01/2000", Yearending)</f>
        <v>45838</v>
      </c>
    </row>
    <row r="4" spans="1:4" ht="20.25" x14ac:dyDescent="0.2">
      <c r="B4" s="102" t="s">
        <v>508</v>
      </c>
      <c r="C4" s="102"/>
    </row>
    <row r="5" spans="1:4" x14ac:dyDescent="0.2">
      <c r="B5" s="201" t="s">
        <v>220</v>
      </c>
    </row>
    <row r="6" spans="1:4" ht="15.75" x14ac:dyDescent="0.25">
      <c r="B6" s="200"/>
    </row>
    <row r="7" spans="1:4" ht="12.75" customHeight="1" x14ac:dyDescent="0.2">
      <c r="B7" s="474" t="s">
        <v>660</v>
      </c>
      <c r="C7" s="474"/>
      <c r="D7" s="474"/>
    </row>
    <row r="8" spans="1:4" ht="12.75" customHeight="1" x14ac:dyDescent="0.2">
      <c r="B8" s="474"/>
      <c r="C8" s="474"/>
      <c r="D8" s="474"/>
    </row>
    <row r="9" spans="1:4" ht="12.75" customHeight="1" x14ac:dyDescent="0.2">
      <c r="B9" s="474"/>
      <c r="C9" s="474"/>
      <c r="D9" s="474"/>
    </row>
    <row r="10" spans="1:4" ht="12.75" customHeight="1" x14ac:dyDescent="0.2">
      <c r="B10" s="474"/>
      <c r="C10" s="474"/>
      <c r="D10" s="474"/>
    </row>
    <row r="11" spans="1:4" ht="12.75" customHeight="1" x14ac:dyDescent="0.2">
      <c r="B11" s="474"/>
      <c r="C11" s="474"/>
      <c r="D11" s="474"/>
    </row>
    <row r="12" spans="1:4" ht="12.75" customHeight="1" x14ac:dyDescent="0.2">
      <c r="B12" s="474"/>
      <c r="C12" s="474"/>
      <c r="D12" s="474"/>
    </row>
    <row r="13" spans="1:4" ht="12.75" customHeight="1" x14ac:dyDescent="0.2">
      <c r="B13" s="474"/>
      <c r="C13" s="474"/>
      <c r="D13" s="474"/>
    </row>
    <row r="16" spans="1:4" ht="12.75" customHeight="1" x14ac:dyDescent="0.25">
      <c r="B16" s="200" t="s">
        <v>491</v>
      </c>
    </row>
    <row r="17" spans="2:5" ht="12.75" customHeight="1" x14ac:dyDescent="0.25">
      <c r="B17" s="200"/>
    </row>
    <row r="18" spans="2:5" x14ac:dyDescent="0.2">
      <c r="B18" s="469" t="s">
        <v>483</v>
      </c>
      <c r="C18" s="471"/>
      <c r="D18" s="469" t="s">
        <v>484</v>
      </c>
      <c r="E18" s="471"/>
    </row>
    <row r="19" spans="2:5" x14ac:dyDescent="0.2">
      <c r="B19" s="506" t="s">
        <v>13</v>
      </c>
      <c r="C19" s="231" t="s">
        <v>659</v>
      </c>
      <c r="D19" s="512" t="s">
        <v>13</v>
      </c>
      <c r="E19" s="508" t="s">
        <v>449</v>
      </c>
    </row>
    <row r="20" spans="2:5" x14ac:dyDescent="0.2">
      <c r="B20" s="507"/>
      <c r="C20" s="122" t="s">
        <v>449</v>
      </c>
      <c r="D20" s="513"/>
      <c r="E20" s="509"/>
    </row>
    <row r="21" spans="2:5" x14ac:dyDescent="0.2">
      <c r="B21" s="123" t="s">
        <v>571</v>
      </c>
      <c r="C21" s="210">
        <v>0.91129983752912391</v>
      </c>
      <c r="D21" s="199" t="s">
        <v>432</v>
      </c>
      <c r="E21" s="210">
        <v>4.4600000000000001E-2</v>
      </c>
    </row>
    <row r="22" spans="2:5" x14ac:dyDescent="0.2">
      <c r="B22" s="123" t="s">
        <v>661</v>
      </c>
      <c r="C22" s="210">
        <v>0</v>
      </c>
      <c r="D22" s="199" t="s">
        <v>433</v>
      </c>
      <c r="E22" s="209">
        <v>0.6</v>
      </c>
    </row>
    <row r="23" spans="2:5" x14ac:dyDescent="0.2">
      <c r="B23" s="123" t="s">
        <v>573</v>
      </c>
      <c r="C23" s="210">
        <v>3.8216291348067582E-3</v>
      </c>
      <c r="D23" s="199" t="s">
        <v>434</v>
      </c>
      <c r="E23" s="209">
        <v>0.3</v>
      </c>
    </row>
    <row r="24" spans="2:5" x14ac:dyDescent="0.2">
      <c r="B24" s="123" t="s">
        <v>574</v>
      </c>
      <c r="C24" s="210">
        <v>0</v>
      </c>
      <c r="D24" s="199" t="s">
        <v>435</v>
      </c>
      <c r="E24" s="209">
        <v>0.56999999999999995</v>
      </c>
    </row>
    <row r="25" spans="2:5" x14ac:dyDescent="0.2">
      <c r="B25" s="205" t="s">
        <v>575</v>
      </c>
      <c r="C25" s="210">
        <v>0</v>
      </c>
      <c r="D25" s="198" t="s">
        <v>455</v>
      </c>
      <c r="E25" s="210">
        <v>4.99E-2</v>
      </c>
    </row>
    <row r="26" spans="2:5" x14ac:dyDescent="0.2">
      <c r="B26" s="123" t="s">
        <v>662</v>
      </c>
      <c r="C26" s="210">
        <v>5.923715544367758E-2</v>
      </c>
      <c r="D26" s="25"/>
      <c r="E26" s="25"/>
    </row>
    <row r="27" spans="2:5" x14ac:dyDescent="0.2">
      <c r="B27" s="123" t="s">
        <v>577</v>
      </c>
      <c r="C27" s="210">
        <v>6.724316714547267E-3</v>
      </c>
      <c r="D27" s="25"/>
      <c r="E27" s="25"/>
    </row>
    <row r="28" spans="2:5" x14ac:dyDescent="0.2">
      <c r="B28" s="123" t="s">
        <v>578</v>
      </c>
      <c r="C28" s="210">
        <v>7.6315623522978928E-4</v>
      </c>
      <c r="D28" s="25"/>
      <c r="E28" s="25"/>
    </row>
    <row r="29" spans="2:5" x14ac:dyDescent="0.2">
      <c r="B29" s="123" t="s">
        <v>579</v>
      </c>
      <c r="C29" s="210">
        <v>8.9227850263864862E-4</v>
      </c>
      <c r="D29" s="25"/>
      <c r="E29" s="25"/>
    </row>
    <row r="30" spans="2:5" x14ac:dyDescent="0.2">
      <c r="B30" s="123" t="s">
        <v>519</v>
      </c>
      <c r="C30" s="210">
        <v>1.72616264399762E-2</v>
      </c>
      <c r="D30" s="25"/>
      <c r="E30" s="25"/>
    </row>
    <row r="31" spans="2:5" x14ac:dyDescent="0.2">
      <c r="B31" s="197" t="s">
        <v>18</v>
      </c>
      <c r="C31" s="129">
        <f>SUM(C21:C30)</f>
        <v>1.0000000000000002</v>
      </c>
      <c r="D31" s="25"/>
      <c r="E31" s="25"/>
    </row>
    <row r="34" spans="2:8" ht="15.75" x14ac:dyDescent="0.25">
      <c r="B34" s="200" t="s">
        <v>523</v>
      </c>
      <c r="C34" s="200"/>
    </row>
    <row r="36" spans="2:8" x14ac:dyDescent="0.2">
      <c r="B36" s="196"/>
      <c r="C36" s="196"/>
      <c r="D36" s="196" t="s">
        <v>526</v>
      </c>
      <c r="E36" s="196" t="s">
        <v>527</v>
      </c>
      <c r="F36" s="196" t="s">
        <v>528</v>
      </c>
      <c r="G36" s="196" t="s">
        <v>529</v>
      </c>
      <c r="H36" s="196" t="s">
        <v>525</v>
      </c>
    </row>
    <row r="37" spans="2:8" x14ac:dyDescent="0.2">
      <c r="B37" s="510" t="s">
        <v>571</v>
      </c>
      <c r="C37" s="196" t="s">
        <v>428</v>
      </c>
      <c r="D37" s="195">
        <f>MIN(C64:D64)</f>
        <v>0.24991422210834022</v>
      </c>
      <c r="E37" s="195">
        <f>MIN(E64:G64)</f>
        <v>0</v>
      </c>
      <c r="F37" s="195">
        <f>MIN(H64,J64)+MIN(I64,K64)</f>
        <v>0.26046422680057751</v>
      </c>
      <c r="G37" s="195">
        <f t="shared" ref="G37:G56" si="0">SUM(D37:F37)</f>
        <v>0.5103784489089177</v>
      </c>
      <c r="H37" s="514" t="s">
        <v>530</v>
      </c>
    </row>
    <row r="38" spans="2:8" x14ac:dyDescent="0.2">
      <c r="B38" s="511"/>
      <c r="C38" s="196" t="s">
        <v>429</v>
      </c>
      <c r="D38" s="195">
        <f>MAX(C64:D64)</f>
        <v>0.37379006485334848</v>
      </c>
      <c r="E38" s="195">
        <f>MAX(E64:G64)</f>
        <v>0.30611683250864841</v>
      </c>
      <c r="F38" s="195">
        <f>MAX(H64,J64)+MAX(I64,K64)</f>
        <v>0.26046422680057751</v>
      </c>
      <c r="G38" s="195">
        <f t="shared" si="0"/>
        <v>0.94037112416257429</v>
      </c>
      <c r="H38" s="514"/>
    </row>
    <row r="39" spans="2:8" x14ac:dyDescent="0.2">
      <c r="B39" s="510" t="s">
        <v>661</v>
      </c>
      <c r="C39" s="196" t="s">
        <v>428</v>
      </c>
      <c r="D39" s="195">
        <f>MIN(C65:D65)</f>
        <v>0</v>
      </c>
      <c r="E39" s="195">
        <f>MIN(E65:G65)</f>
        <v>0</v>
      </c>
      <c r="F39" s="195">
        <f>MIN(H65,J65)+MIN(I65,K65)</f>
        <v>0</v>
      </c>
      <c r="G39" s="195">
        <f t="shared" si="0"/>
        <v>0</v>
      </c>
      <c r="H39" s="514" t="s">
        <v>530</v>
      </c>
    </row>
    <row r="40" spans="2:8" x14ac:dyDescent="0.2">
      <c r="B40" s="511"/>
      <c r="C40" s="196" t="s">
        <v>429</v>
      </c>
      <c r="D40" s="195">
        <f>MAX(C65:D65)</f>
        <v>0</v>
      </c>
      <c r="E40" s="195">
        <f>MAX(E65:G65)</f>
        <v>0</v>
      </c>
      <c r="F40" s="195">
        <f>MAX(H65,J65)+MAX(I65,K65)</f>
        <v>0</v>
      </c>
      <c r="G40" s="195">
        <f t="shared" si="0"/>
        <v>0</v>
      </c>
      <c r="H40" s="514"/>
    </row>
    <row r="41" spans="2:8" x14ac:dyDescent="0.2">
      <c r="B41" s="510" t="s">
        <v>573</v>
      </c>
      <c r="C41" s="196" t="s">
        <v>428</v>
      </c>
      <c r="D41" s="195">
        <f>MIN(C66:D66)</f>
        <v>0</v>
      </c>
      <c r="E41" s="195">
        <f>MIN(E66:G66)</f>
        <v>0</v>
      </c>
      <c r="F41" s="195">
        <f>MIN(H66,J66)+MIN(I66,K66)</f>
        <v>0</v>
      </c>
      <c r="G41" s="195">
        <f t="shared" si="0"/>
        <v>0</v>
      </c>
      <c r="H41" s="514" t="s">
        <v>530</v>
      </c>
    </row>
    <row r="42" spans="2:8" x14ac:dyDescent="0.2">
      <c r="B42" s="511"/>
      <c r="C42" s="196" t="s">
        <v>429</v>
      </c>
      <c r="D42" s="195">
        <f>MAX(C66:D66)</f>
        <v>0</v>
      </c>
      <c r="E42" s="195">
        <f>MAX(E66:G66)</f>
        <v>0</v>
      </c>
      <c r="F42" s="195">
        <f>MAX(H66,J66)+MAX(I66,K66)</f>
        <v>0</v>
      </c>
      <c r="G42" s="195">
        <f t="shared" si="0"/>
        <v>0</v>
      </c>
      <c r="H42" s="514"/>
    </row>
    <row r="43" spans="2:8" x14ac:dyDescent="0.2">
      <c r="B43" s="510" t="s">
        <v>574</v>
      </c>
      <c r="C43" s="196" t="s">
        <v>428</v>
      </c>
      <c r="D43" s="195">
        <f>MIN(C67:D67)</f>
        <v>0</v>
      </c>
      <c r="E43" s="195">
        <f>MIN(E67:G67)</f>
        <v>0</v>
      </c>
      <c r="F43" s="195">
        <f>MIN(H67,J67)+MIN(I67,K67)</f>
        <v>0</v>
      </c>
      <c r="G43" s="195">
        <f t="shared" si="0"/>
        <v>0</v>
      </c>
      <c r="H43" s="514" t="s">
        <v>530</v>
      </c>
    </row>
    <row r="44" spans="2:8" x14ac:dyDescent="0.2">
      <c r="B44" s="511"/>
      <c r="C44" s="196" t="s">
        <v>429</v>
      </c>
      <c r="D44" s="195">
        <f>MAX(C67:D67)</f>
        <v>0</v>
      </c>
      <c r="E44" s="195">
        <f>MAX(E67:G67)</f>
        <v>0</v>
      </c>
      <c r="F44" s="195">
        <f>MAX(H67,J67)+MAX(I67,K67)</f>
        <v>0</v>
      </c>
      <c r="G44" s="195">
        <f t="shared" si="0"/>
        <v>0</v>
      </c>
      <c r="H44" s="514"/>
    </row>
    <row r="45" spans="2:8" x14ac:dyDescent="0.2">
      <c r="B45" s="510" t="s">
        <v>575</v>
      </c>
      <c r="C45" s="196" t="s">
        <v>428</v>
      </c>
      <c r="D45" s="195">
        <f>MIN(C68:D68)</f>
        <v>0</v>
      </c>
      <c r="E45" s="195">
        <f>MIN(E68:G68)</f>
        <v>0</v>
      </c>
      <c r="F45" s="195">
        <f>MIN(H68,J68)+MIN(I68,K68)</f>
        <v>0</v>
      </c>
      <c r="G45" s="195">
        <f t="shared" si="0"/>
        <v>0</v>
      </c>
      <c r="H45" s="514" t="s">
        <v>530</v>
      </c>
    </row>
    <row r="46" spans="2:8" x14ac:dyDescent="0.2">
      <c r="B46" s="511"/>
      <c r="C46" s="196" t="s">
        <v>429</v>
      </c>
      <c r="D46" s="195">
        <f>MAX(C68:D68)</f>
        <v>0</v>
      </c>
      <c r="E46" s="195">
        <f>MAX(E68:G68)</f>
        <v>0</v>
      </c>
      <c r="F46" s="195">
        <f>MAX(H68,J68)+MAX(I68,K68)</f>
        <v>0</v>
      </c>
      <c r="G46" s="195">
        <f t="shared" si="0"/>
        <v>0</v>
      </c>
      <c r="H46" s="514"/>
    </row>
    <row r="47" spans="2:8" x14ac:dyDescent="0.2">
      <c r="B47" s="510" t="s">
        <v>662</v>
      </c>
      <c r="C47" s="196" t="s">
        <v>428</v>
      </c>
      <c r="D47" s="195">
        <f>MIN(C69:D69)</f>
        <v>0</v>
      </c>
      <c r="E47" s="195">
        <f>MIN(E69:G69)</f>
        <v>0</v>
      </c>
      <c r="F47" s="195">
        <f>MIN(H69,J69)+MIN(I69,K69)</f>
        <v>0</v>
      </c>
      <c r="G47" s="195">
        <f t="shared" si="0"/>
        <v>0</v>
      </c>
      <c r="H47" s="514" t="s">
        <v>530</v>
      </c>
    </row>
    <row r="48" spans="2:8" x14ac:dyDescent="0.2">
      <c r="B48" s="511"/>
      <c r="C48" s="196" t="s">
        <v>429</v>
      </c>
      <c r="D48" s="195">
        <f>MAX(C69:D69)</f>
        <v>0</v>
      </c>
      <c r="E48" s="195">
        <f>MAX(E69:G69)</f>
        <v>0</v>
      </c>
      <c r="F48" s="195">
        <f>MAX(H69,J69)+MAX(I69,K69)</f>
        <v>0</v>
      </c>
      <c r="G48" s="195">
        <f t="shared" si="0"/>
        <v>0</v>
      </c>
      <c r="H48" s="514"/>
    </row>
    <row r="49" spans="2:11" x14ac:dyDescent="0.2">
      <c r="B49" s="510" t="s">
        <v>577</v>
      </c>
      <c r="C49" s="196" t="s">
        <v>428</v>
      </c>
      <c r="D49" s="195">
        <f>MIN(C70:D70)</f>
        <v>0</v>
      </c>
      <c r="E49" s="195">
        <f>MIN(E70:G70)</f>
        <v>0</v>
      </c>
      <c r="F49" s="195">
        <f>MIN(H70,J70)+MIN(I70,K70)</f>
        <v>0</v>
      </c>
      <c r="G49" s="195">
        <f t="shared" si="0"/>
        <v>0</v>
      </c>
      <c r="H49" s="514" t="s">
        <v>530</v>
      </c>
    </row>
    <row r="50" spans="2:11" x14ac:dyDescent="0.2">
      <c r="B50" s="511"/>
      <c r="C50" s="196" t="s">
        <v>429</v>
      </c>
      <c r="D50" s="195">
        <f>MAX(C70:D70)</f>
        <v>0</v>
      </c>
      <c r="E50" s="195">
        <f>MAX(E70:G70)</f>
        <v>0</v>
      </c>
      <c r="F50" s="195">
        <f>MAX(H70,J70)+MAX(I70,K70)</f>
        <v>0</v>
      </c>
      <c r="G50" s="195">
        <f t="shared" si="0"/>
        <v>0</v>
      </c>
      <c r="H50" s="514"/>
    </row>
    <row r="51" spans="2:11" x14ac:dyDescent="0.2">
      <c r="B51" s="510" t="s">
        <v>578</v>
      </c>
      <c r="C51" s="196" t="s">
        <v>428</v>
      </c>
      <c r="D51" s="195">
        <f>MIN(C71:D71)</f>
        <v>0</v>
      </c>
      <c r="E51" s="195">
        <f>MIN(E71:G71)</f>
        <v>0</v>
      </c>
      <c r="F51" s="195">
        <f>MIN(H71,J71)+MIN(I71,K71)</f>
        <v>0</v>
      </c>
      <c r="G51" s="195">
        <f t="shared" si="0"/>
        <v>0</v>
      </c>
      <c r="H51" s="514" t="s">
        <v>531</v>
      </c>
    </row>
    <row r="52" spans="2:11" x14ac:dyDescent="0.2">
      <c r="B52" s="511"/>
      <c r="C52" s="196" t="s">
        <v>429</v>
      </c>
      <c r="D52" s="195">
        <f>MAX(C71:D71)</f>
        <v>0</v>
      </c>
      <c r="E52" s="195">
        <f>MAX(E71:G71)</f>
        <v>0</v>
      </c>
      <c r="F52" s="195">
        <f>MAX(H71,J71)+MAX(I71,K71)</f>
        <v>0</v>
      </c>
      <c r="G52" s="195">
        <f t="shared" si="0"/>
        <v>0</v>
      </c>
      <c r="H52" s="514"/>
    </row>
    <row r="53" spans="2:11" x14ac:dyDescent="0.2">
      <c r="B53" s="510" t="s">
        <v>579</v>
      </c>
      <c r="C53" s="196" t="s">
        <v>428</v>
      </c>
      <c r="D53" s="195">
        <f>MIN(C72:D72)</f>
        <v>0</v>
      </c>
      <c r="E53" s="195">
        <f>MIN(E72:G72)</f>
        <v>0</v>
      </c>
      <c r="F53" s="195">
        <f>MIN(H72,J72)+MIN(I72,K72)</f>
        <v>0</v>
      </c>
      <c r="G53" s="195">
        <f t="shared" si="0"/>
        <v>0</v>
      </c>
      <c r="H53" s="514" t="s">
        <v>532</v>
      </c>
    </row>
    <row r="54" spans="2:11" x14ac:dyDescent="0.2">
      <c r="B54" s="511"/>
      <c r="C54" s="196" t="s">
        <v>429</v>
      </c>
      <c r="D54" s="195">
        <f>MAX(C72:D72)</f>
        <v>0</v>
      </c>
      <c r="E54" s="195">
        <f>MAX(E72:G72)</f>
        <v>0</v>
      </c>
      <c r="F54" s="195">
        <f>MAX(H72,J72)+MAX(I72,K72)</f>
        <v>0</v>
      </c>
      <c r="G54" s="195">
        <f t="shared" si="0"/>
        <v>0</v>
      </c>
      <c r="H54" s="514"/>
    </row>
    <row r="55" spans="2:11" x14ac:dyDescent="0.2">
      <c r="B55" s="510" t="s">
        <v>519</v>
      </c>
      <c r="C55" s="196" t="s">
        <v>428</v>
      </c>
      <c r="D55" s="195">
        <f>MIN(C73:D73)</f>
        <v>0</v>
      </c>
      <c r="E55" s="195">
        <f>MIN(E73:G73)</f>
        <v>0</v>
      </c>
      <c r="F55" s="195">
        <f>MIN(H73,J73)+MIN(I73,K73)</f>
        <v>0</v>
      </c>
      <c r="G55" s="195">
        <f t="shared" si="0"/>
        <v>0</v>
      </c>
      <c r="H55" s="514"/>
    </row>
    <row r="56" spans="2:11" x14ac:dyDescent="0.2">
      <c r="B56" s="511"/>
      <c r="C56" s="196" t="s">
        <v>429</v>
      </c>
      <c r="D56" s="195">
        <f>MAX(C73:D73)</f>
        <v>0</v>
      </c>
      <c r="E56" s="195">
        <f>MAX(E73:G73)</f>
        <v>0</v>
      </c>
      <c r="F56" s="195">
        <f>MAX(H73,J73)+MAX(I73,K73)</f>
        <v>0</v>
      </c>
      <c r="G56" s="195">
        <f t="shared" si="0"/>
        <v>0</v>
      </c>
      <c r="H56" s="514"/>
    </row>
    <row r="59" spans="2:11" ht="15.75" x14ac:dyDescent="0.25">
      <c r="B59" s="200" t="s">
        <v>492</v>
      </c>
    </row>
    <row r="60" spans="2:11" ht="16.5" thickBot="1" x14ac:dyDescent="0.3">
      <c r="B60" s="194" t="s">
        <v>238</v>
      </c>
    </row>
    <row r="61" spans="2:11" s="192" customFormat="1" ht="13.5" thickBot="1" x14ac:dyDescent="0.25">
      <c r="B61" s="193"/>
      <c r="C61" s="497" t="s">
        <v>430</v>
      </c>
      <c r="D61" s="499"/>
      <c r="E61" s="497" t="s">
        <v>522</v>
      </c>
      <c r="F61" s="498"/>
      <c r="G61" s="499"/>
      <c r="H61" s="494" t="s">
        <v>521</v>
      </c>
      <c r="I61" s="495"/>
      <c r="J61" s="495"/>
      <c r="K61" s="496"/>
    </row>
    <row r="62" spans="2:11" s="192" customFormat="1" x14ac:dyDescent="0.2">
      <c r="B62" s="193"/>
      <c r="C62" s="500" t="s">
        <v>540</v>
      </c>
      <c r="D62" s="504" t="s">
        <v>541</v>
      </c>
      <c r="E62" s="500" t="s">
        <v>542</v>
      </c>
      <c r="F62" s="502" t="s">
        <v>543</v>
      </c>
      <c r="G62" s="504" t="s">
        <v>544</v>
      </c>
      <c r="H62" s="497" t="s">
        <v>674</v>
      </c>
      <c r="I62" s="499"/>
      <c r="J62" s="492" t="s">
        <v>675</v>
      </c>
      <c r="K62" s="493"/>
    </row>
    <row r="63" spans="2:11" s="192" customFormat="1" x14ac:dyDescent="0.2">
      <c r="B63" s="193"/>
      <c r="C63" s="501"/>
      <c r="D63" s="505"/>
      <c r="E63" s="501"/>
      <c r="F63" s="503"/>
      <c r="G63" s="505"/>
      <c r="H63" s="191" t="s">
        <v>545</v>
      </c>
      <c r="I63" s="230" t="s">
        <v>546</v>
      </c>
      <c r="J63" s="191" t="s">
        <v>545</v>
      </c>
      <c r="K63" s="230" t="s">
        <v>546</v>
      </c>
    </row>
    <row r="64" spans="2:11" x14ac:dyDescent="0.2">
      <c r="B64" s="123" t="s">
        <v>571</v>
      </c>
      <c r="C64" s="190">
        <f>INDEX($F$79:$G$88,MATCH($B64,$B$79:$B$88,0),MATCH(C$62,$F$78:$G$78,0))</f>
        <v>0.37379006485334848</v>
      </c>
      <c r="D64" s="189">
        <f>INDEX($F$79:$G$88,MATCH($B64,$B$79:$B$88,0),MATCH(D$62,$F$78:$G$78,0))</f>
        <v>0.24991422210834022</v>
      </c>
      <c r="E64" s="190">
        <f t="shared" ref="E64:F73" si="1">F104</f>
        <v>0.30611683250864841</v>
      </c>
      <c r="F64" s="188">
        <f t="shared" si="1"/>
        <v>0.27272304281776649</v>
      </c>
      <c r="G64" s="189">
        <f t="shared" ref="G64:G73" si="2">G116</f>
        <v>0</v>
      </c>
      <c r="H64" s="190" t="str">
        <f>I137</f>
        <v xml:space="preserve"> - </v>
      </c>
      <c r="I64" s="189" t="str">
        <f>J137</f>
        <v xml:space="preserve"> - </v>
      </c>
      <c r="J64" s="190">
        <f>I149</f>
        <v>0.24372503427515055</v>
      </c>
      <c r="K64" s="189">
        <f>J149</f>
        <v>1.6739192525426983E-2</v>
      </c>
    </row>
    <row r="65" spans="2:11" x14ac:dyDescent="0.2">
      <c r="B65" s="123" t="s">
        <v>661</v>
      </c>
      <c r="C65" s="190" t="str">
        <f t="shared" ref="C65:D73" si="3">INDEX($F$79:$G$88,MATCH($B65,$B$79:$B$88,0),MATCH(C$62,$F$78:$G$78,0))</f>
        <v xml:space="preserve"> -</v>
      </c>
      <c r="D65" s="189" t="str">
        <f t="shared" si="3"/>
        <v xml:space="preserve"> -</v>
      </c>
      <c r="E65" s="190" t="str">
        <f t="shared" si="1"/>
        <v xml:space="preserve"> - </v>
      </c>
      <c r="F65" s="188" t="str">
        <f t="shared" si="1"/>
        <v xml:space="preserve"> - </v>
      </c>
      <c r="G65" s="189" t="str">
        <f t="shared" si="2"/>
        <v xml:space="preserve"> - </v>
      </c>
      <c r="H65" s="190" t="str">
        <f t="shared" ref="H65:I73" si="4">I138</f>
        <v xml:space="preserve"> - </v>
      </c>
      <c r="I65" s="189" t="str">
        <f t="shared" si="4"/>
        <v xml:space="preserve"> - </v>
      </c>
      <c r="J65" s="190" t="str">
        <f t="shared" ref="J65:K73" si="5">I150</f>
        <v xml:space="preserve"> - </v>
      </c>
      <c r="K65" s="189" t="str">
        <f t="shared" si="5"/>
        <v xml:space="preserve"> - </v>
      </c>
    </row>
    <row r="66" spans="2:11" x14ac:dyDescent="0.2">
      <c r="B66" s="123" t="s">
        <v>573</v>
      </c>
      <c r="C66" s="190" t="str">
        <f t="shared" si="3"/>
        <v xml:space="preserve"> -</v>
      </c>
      <c r="D66" s="189" t="str">
        <f t="shared" si="3"/>
        <v xml:space="preserve"> -</v>
      </c>
      <c r="E66" s="190" t="str">
        <f t="shared" si="1"/>
        <v xml:space="preserve"> - </v>
      </c>
      <c r="F66" s="188" t="str">
        <f t="shared" si="1"/>
        <v xml:space="preserve"> - </v>
      </c>
      <c r="G66" s="189" t="str">
        <f t="shared" si="2"/>
        <v xml:space="preserve"> - </v>
      </c>
      <c r="H66" s="190" t="str">
        <f t="shared" si="4"/>
        <v xml:space="preserve"> - </v>
      </c>
      <c r="I66" s="189" t="str">
        <f t="shared" si="4"/>
        <v xml:space="preserve"> - </v>
      </c>
      <c r="J66" s="190" t="str">
        <f>I151</f>
        <v xml:space="preserve"> - </v>
      </c>
      <c r="K66" s="189" t="str">
        <f t="shared" si="5"/>
        <v xml:space="preserve"> - </v>
      </c>
    </row>
    <row r="67" spans="2:11" x14ac:dyDescent="0.2">
      <c r="B67" s="123" t="s">
        <v>574</v>
      </c>
      <c r="C67" s="190" t="str">
        <f t="shared" si="3"/>
        <v xml:space="preserve"> -</v>
      </c>
      <c r="D67" s="189" t="str">
        <f t="shared" si="3"/>
        <v xml:space="preserve"> -</v>
      </c>
      <c r="E67" s="190" t="str">
        <f t="shared" si="1"/>
        <v xml:space="preserve"> - </v>
      </c>
      <c r="F67" s="188" t="str">
        <f t="shared" si="1"/>
        <v xml:space="preserve"> - </v>
      </c>
      <c r="G67" s="189" t="str">
        <f t="shared" si="2"/>
        <v xml:space="preserve"> - </v>
      </c>
      <c r="H67" s="190" t="str">
        <f t="shared" si="4"/>
        <v xml:space="preserve"> - </v>
      </c>
      <c r="I67" s="189" t="str">
        <f t="shared" si="4"/>
        <v xml:space="preserve"> - </v>
      </c>
      <c r="J67" s="190" t="str">
        <f t="shared" si="5"/>
        <v xml:space="preserve"> - </v>
      </c>
      <c r="K67" s="189" t="str">
        <f t="shared" si="5"/>
        <v xml:space="preserve"> - </v>
      </c>
    </row>
    <row r="68" spans="2:11" x14ac:dyDescent="0.2">
      <c r="B68" s="205" t="s">
        <v>575</v>
      </c>
      <c r="C68" s="190" t="str">
        <f t="shared" si="3"/>
        <v xml:space="preserve"> -</v>
      </c>
      <c r="D68" s="189" t="str">
        <f t="shared" si="3"/>
        <v xml:space="preserve"> -</v>
      </c>
      <c r="E68" s="190" t="str">
        <f t="shared" si="1"/>
        <v xml:space="preserve"> - </v>
      </c>
      <c r="F68" s="188" t="str">
        <f t="shared" si="1"/>
        <v xml:space="preserve"> - </v>
      </c>
      <c r="G68" s="189" t="str">
        <f t="shared" si="2"/>
        <v xml:space="preserve"> - </v>
      </c>
      <c r="H68" s="190" t="str">
        <f t="shared" si="4"/>
        <v xml:space="preserve"> - </v>
      </c>
      <c r="I68" s="189" t="str">
        <f t="shared" si="4"/>
        <v xml:space="preserve"> - </v>
      </c>
      <c r="J68" s="190" t="str">
        <f t="shared" si="5"/>
        <v xml:space="preserve"> - </v>
      </c>
      <c r="K68" s="189" t="str">
        <f t="shared" si="5"/>
        <v xml:space="preserve"> - </v>
      </c>
    </row>
    <row r="69" spans="2:11" x14ac:dyDescent="0.2">
      <c r="B69" s="123" t="s">
        <v>662</v>
      </c>
      <c r="C69" s="190" t="str">
        <f t="shared" si="3"/>
        <v xml:space="preserve"> -</v>
      </c>
      <c r="D69" s="189" t="str">
        <f t="shared" si="3"/>
        <v xml:space="preserve"> -</v>
      </c>
      <c r="E69" s="190" t="str">
        <f t="shared" si="1"/>
        <v xml:space="preserve"> - </v>
      </c>
      <c r="F69" s="188" t="str">
        <f t="shared" si="1"/>
        <v xml:space="preserve"> - </v>
      </c>
      <c r="G69" s="189" t="str">
        <f t="shared" si="2"/>
        <v xml:space="preserve"> - </v>
      </c>
      <c r="H69" s="190" t="str">
        <f t="shared" si="4"/>
        <v xml:space="preserve"> - </v>
      </c>
      <c r="I69" s="189" t="str">
        <f>J142</f>
        <v xml:space="preserve"> - </v>
      </c>
      <c r="J69" s="190" t="str">
        <f t="shared" si="5"/>
        <v xml:space="preserve"> - </v>
      </c>
      <c r="K69" s="189" t="str">
        <f t="shared" si="5"/>
        <v xml:space="preserve"> - </v>
      </c>
    </row>
    <row r="70" spans="2:11" x14ac:dyDescent="0.2">
      <c r="B70" s="123" t="s">
        <v>577</v>
      </c>
      <c r="C70" s="190" t="str">
        <f t="shared" si="3"/>
        <v xml:space="preserve"> -</v>
      </c>
      <c r="D70" s="189" t="str">
        <f t="shared" si="3"/>
        <v xml:space="preserve"> -</v>
      </c>
      <c r="E70" s="190" t="str">
        <f t="shared" si="1"/>
        <v xml:space="preserve"> - </v>
      </c>
      <c r="F70" s="188" t="str">
        <f t="shared" si="1"/>
        <v xml:space="preserve"> - </v>
      </c>
      <c r="G70" s="189" t="str">
        <f t="shared" si="2"/>
        <v xml:space="preserve"> - </v>
      </c>
      <c r="H70" s="190" t="str">
        <f t="shared" si="4"/>
        <v xml:space="preserve"> - </v>
      </c>
      <c r="I70" s="189" t="str">
        <f t="shared" si="4"/>
        <v xml:space="preserve"> - </v>
      </c>
      <c r="J70" s="190" t="str">
        <f t="shared" si="5"/>
        <v xml:space="preserve"> - </v>
      </c>
      <c r="K70" s="189" t="str">
        <f>J155</f>
        <v xml:space="preserve"> - </v>
      </c>
    </row>
    <row r="71" spans="2:11" x14ac:dyDescent="0.2">
      <c r="B71" s="123" t="s">
        <v>578</v>
      </c>
      <c r="C71" s="190" t="str">
        <f t="shared" si="3"/>
        <v xml:space="preserve"> -</v>
      </c>
      <c r="D71" s="189" t="str">
        <f t="shared" si="3"/>
        <v xml:space="preserve"> -</v>
      </c>
      <c r="E71" s="190" t="str">
        <f t="shared" si="1"/>
        <v xml:space="preserve"> - </v>
      </c>
      <c r="F71" s="188" t="str">
        <f t="shared" si="1"/>
        <v xml:space="preserve"> - </v>
      </c>
      <c r="G71" s="189" t="str">
        <f t="shared" si="2"/>
        <v xml:space="preserve"> - </v>
      </c>
      <c r="H71" s="190" t="str">
        <f>I144</f>
        <v xml:space="preserve"> - </v>
      </c>
      <c r="I71" s="189" t="str">
        <f t="shared" si="4"/>
        <v xml:space="preserve"> - </v>
      </c>
      <c r="J71" s="190" t="str">
        <f t="shared" si="5"/>
        <v xml:space="preserve"> - </v>
      </c>
      <c r="K71" s="189" t="str">
        <f t="shared" si="5"/>
        <v xml:space="preserve"> - </v>
      </c>
    </row>
    <row r="72" spans="2:11" x14ac:dyDescent="0.2">
      <c r="B72" s="123" t="s">
        <v>579</v>
      </c>
      <c r="C72" s="190" t="str">
        <f t="shared" si="3"/>
        <v xml:space="preserve"> -</v>
      </c>
      <c r="D72" s="189" t="str">
        <f t="shared" si="3"/>
        <v xml:space="preserve"> -</v>
      </c>
      <c r="E72" s="190" t="str">
        <f t="shared" si="1"/>
        <v xml:space="preserve"> - </v>
      </c>
      <c r="F72" s="188" t="str">
        <f t="shared" si="1"/>
        <v xml:space="preserve"> - </v>
      </c>
      <c r="G72" s="189" t="str">
        <f t="shared" si="2"/>
        <v xml:space="preserve"> - </v>
      </c>
      <c r="H72" s="190" t="str">
        <f t="shared" si="4"/>
        <v xml:space="preserve"> - </v>
      </c>
      <c r="I72" s="189" t="str">
        <f t="shared" si="4"/>
        <v xml:space="preserve"> - </v>
      </c>
      <c r="J72" s="190" t="str">
        <f t="shared" si="5"/>
        <v xml:space="preserve"> - </v>
      </c>
      <c r="K72" s="189" t="str">
        <f t="shared" si="5"/>
        <v xml:space="preserve"> - </v>
      </c>
    </row>
    <row r="73" spans="2:11" ht="13.5" thickBot="1" x14ac:dyDescent="0.25">
      <c r="B73" s="123" t="s">
        <v>519</v>
      </c>
      <c r="C73" s="187" t="str">
        <f t="shared" si="3"/>
        <v xml:space="preserve"> -</v>
      </c>
      <c r="D73" s="186" t="str">
        <f t="shared" si="3"/>
        <v xml:space="preserve"> -</v>
      </c>
      <c r="E73" s="187" t="str">
        <f t="shared" si="1"/>
        <v xml:space="preserve"> - </v>
      </c>
      <c r="F73" s="185" t="str">
        <f t="shared" si="1"/>
        <v xml:space="preserve"> - </v>
      </c>
      <c r="G73" s="186" t="str">
        <f t="shared" si="2"/>
        <v xml:space="preserve"> - </v>
      </c>
      <c r="H73" s="187" t="str">
        <f t="shared" si="4"/>
        <v xml:space="preserve"> - </v>
      </c>
      <c r="I73" s="186" t="str">
        <f t="shared" si="4"/>
        <v xml:space="preserve"> - </v>
      </c>
      <c r="J73" s="187" t="str">
        <f t="shared" si="5"/>
        <v xml:space="preserve"> - </v>
      </c>
      <c r="K73" s="186" t="str">
        <f t="shared" si="5"/>
        <v xml:space="preserve"> - </v>
      </c>
    </row>
    <row r="76" spans="2:11" ht="15.75" x14ac:dyDescent="0.25">
      <c r="B76" s="200" t="s">
        <v>493</v>
      </c>
    </row>
    <row r="77" spans="2:11" ht="15.75" x14ac:dyDescent="0.25">
      <c r="B77" s="194" t="s">
        <v>427</v>
      </c>
    </row>
    <row r="78" spans="2:11" s="182" customFormat="1" ht="24.75" customHeight="1" x14ac:dyDescent="0.2">
      <c r="B78" s="184" t="s">
        <v>485</v>
      </c>
      <c r="C78" s="183" t="s">
        <v>481</v>
      </c>
      <c r="D78" s="183" t="s">
        <v>482</v>
      </c>
      <c r="E78" s="183" t="s">
        <v>558</v>
      </c>
      <c r="F78" s="184" t="s">
        <v>540</v>
      </c>
      <c r="G78" s="184" t="s">
        <v>541</v>
      </c>
    </row>
    <row r="79" spans="2:11" x14ac:dyDescent="0.2">
      <c r="B79" s="123" t="s">
        <v>571</v>
      </c>
      <c r="C79" s="181">
        <f>ABS('2.1 Profit &amp; Loss by component'!$F$32*INDEX('2.2 Allocation to services'!$D$56:$D$65,MATCH('6. Pricing template'!B79,'2.2 Allocation to services'!$C$56:$C$65,0),1))+ABS('2.1 Profit &amp; Loss by component'!$F$43*INDEX('2.2 Allocation to services'!$D$80:$D$89,MATCH('6. Pricing template'!B79,'2.2 Allocation to services'!$C$80:$C$89,0),1))-ABS('2.1 Profit &amp; Loss by component'!$F$37+'2.1 Profit &amp; Loss by component'!$F$26)*INDEX('2.2 Allocation to services'!$D$68:$D$77,MATCH('6. Pricing template'!B79,'2.2 Allocation to services'!$C$68:$C$77,0),1)</f>
        <v>46344937.810661361</v>
      </c>
      <c r="D79" s="181">
        <f>ABS('2.1 Profit &amp; Loss by component'!$F$32*INDEX('2.2 Allocation to services'!$D$56:$D$65,MATCH('6. Pricing template'!B79,'2.2 Allocation to services'!$C$56:$C$65,0),1))-ABS('2.1 Profit &amp; Loss by component'!$F$26)*INDEX('2.2 Allocation to services'!$D$68:$D$77,MATCH('6. Pricing template'!B79,'2.2 Allocation to services'!$C$68:$C$77,0),1)</f>
        <v>30986000.353313245</v>
      </c>
      <c r="E79" s="180">
        <f>INDEX('5. Historical demand'!$C$26:$C$35,MATCH('6. Pricing template'!B79,'5. Historical demand'!$B$26:$B$35,0),1)*(Yearending-Yearstart)</f>
        <v>123986.54263013699</v>
      </c>
      <c r="F79" s="179">
        <f>IFERROR(C79/(E79*1000)," -")</f>
        <v>0.37379006485334848</v>
      </c>
      <c r="G79" s="179">
        <f>IFERROR(D79/(E79*1000)," -")</f>
        <v>0.24991422210834022</v>
      </c>
    </row>
    <row r="80" spans="2:11" x14ac:dyDescent="0.2">
      <c r="B80" s="123" t="s">
        <v>661</v>
      </c>
      <c r="C80" s="181">
        <f>ABS('2.1 Profit &amp; Loss by component'!$F$32*INDEX('2.2 Allocation to services'!$D$56:$D$65,MATCH('6. Pricing template'!B80,'2.2 Allocation to services'!$C$56:$C$65,0),1))+ABS('2.1 Profit &amp; Loss by component'!$F$43*INDEX('2.2 Allocation to services'!$D$80:$D$89,MATCH('6. Pricing template'!B80,'2.2 Allocation to services'!$C$80:$C$89,0),1))-ABS('2.1 Profit &amp; Loss by component'!$F$37+'2.1 Profit &amp; Loss by component'!$F$26)*INDEX('2.2 Allocation to services'!$D$68:$D$77,MATCH('6. Pricing template'!B80,'2.2 Allocation to services'!$C$68:$C$77,0),1)</f>
        <v>0</v>
      </c>
      <c r="D80" s="181">
        <f>ABS('2.1 Profit &amp; Loss by component'!$F$32*INDEX('2.2 Allocation to services'!$D$56:$D$65,MATCH('6. Pricing template'!B80,'2.2 Allocation to services'!$C$56:$C$65,0),1))-ABS('2.1 Profit &amp; Loss by component'!$F$26)*INDEX('2.2 Allocation to services'!$D$68:$D$77,MATCH('6. Pricing template'!B80,'2.2 Allocation to services'!$C$68:$C$77,0),1)</f>
        <v>0</v>
      </c>
      <c r="E80" s="180">
        <f>INDEX('5. Historical demand'!$C$26:$C$35,MATCH('6. Pricing template'!B80,'5. Historical demand'!$B$26:$B$35,0),1)*(Yearending-Yearstart)</f>
        <v>0</v>
      </c>
      <c r="F80" s="179" t="str">
        <f t="shared" ref="F80:F88" si="6">IFERROR(C80/(E80*1000)," -")</f>
        <v xml:space="preserve"> -</v>
      </c>
      <c r="G80" s="179" t="str">
        <f t="shared" ref="G80:G88" si="7">IFERROR(D80/(E80*1000)," -")</f>
        <v xml:space="preserve"> -</v>
      </c>
    </row>
    <row r="81" spans="2:7" x14ac:dyDescent="0.2">
      <c r="B81" s="123" t="s">
        <v>573</v>
      </c>
      <c r="C81" s="181">
        <f>ABS('2.1 Profit &amp; Loss by component'!$F$32*INDEX('2.2 Allocation to services'!$D$56:$D$65,MATCH('6. Pricing template'!B81,'2.2 Allocation to services'!$C$56:$C$65,0),1))+ABS('2.1 Profit &amp; Loss by component'!$F$43*INDEX('2.2 Allocation to services'!$D$80:$D$89,MATCH('6. Pricing template'!B81,'2.2 Allocation to services'!$C$80:$C$89,0),1))-ABS('2.1 Profit &amp; Loss by component'!$F$37+'2.1 Profit &amp; Loss by component'!$F$26)*INDEX('2.2 Allocation to services'!$D$68:$D$77,MATCH('6. Pricing template'!B81,'2.2 Allocation to services'!$C$68:$C$77,0),1)</f>
        <v>194352.23983826343</v>
      </c>
      <c r="D81" s="181">
        <f>ABS('2.1 Profit &amp; Loss by component'!$F$32*INDEX('2.2 Allocation to services'!$D$56:$D$65,MATCH('6. Pricing template'!B81,'2.2 Allocation to services'!$C$56:$C$65,0),1))-ABS('2.1 Profit &amp; Loss by component'!$F$26)*INDEX('2.2 Allocation to services'!$D$68:$D$77,MATCH('6. Pricing template'!B81,'2.2 Allocation to services'!$C$68:$C$77,0),1)</f>
        <v>129942.96371480473</v>
      </c>
      <c r="E81" s="180">
        <f>INDEX('5. Historical demand'!$C$26:$C$35,MATCH('6. Pricing template'!B81,'5. Historical demand'!$B$26:$B$35,0),1)*(Yearending-Yearstart)</f>
        <v>0</v>
      </c>
      <c r="F81" s="179" t="str">
        <f t="shared" si="6"/>
        <v xml:space="preserve"> -</v>
      </c>
      <c r="G81" s="179" t="str">
        <f t="shared" si="7"/>
        <v xml:space="preserve"> -</v>
      </c>
    </row>
    <row r="82" spans="2:7" x14ac:dyDescent="0.2">
      <c r="B82" s="123" t="s">
        <v>574</v>
      </c>
      <c r="C82" s="181">
        <f>ABS('2.1 Profit &amp; Loss by component'!$F$32*INDEX('2.2 Allocation to services'!$D$56:$D$65,MATCH('6. Pricing template'!B82,'2.2 Allocation to services'!$C$56:$C$65,0),1))+ABS('2.1 Profit &amp; Loss by component'!$F$43*INDEX('2.2 Allocation to services'!$D$80:$D$89,MATCH('6. Pricing template'!B82,'2.2 Allocation to services'!$C$80:$C$89,0),1))-ABS('2.1 Profit &amp; Loss by component'!$F$37+'2.1 Profit &amp; Loss by component'!$F$26)*INDEX('2.2 Allocation to services'!$D$68:$D$77,MATCH('6. Pricing template'!B82,'2.2 Allocation to services'!$C$68:$C$77,0),1)</f>
        <v>0</v>
      </c>
      <c r="D82" s="181">
        <f>ABS('2.1 Profit &amp; Loss by component'!$F$32*INDEX('2.2 Allocation to services'!$D$56:$D$65,MATCH('6. Pricing template'!B82,'2.2 Allocation to services'!$C$56:$C$65,0),1))-ABS('2.1 Profit &amp; Loss by component'!$F$26)*INDEX('2.2 Allocation to services'!$D$68:$D$77,MATCH('6. Pricing template'!B82,'2.2 Allocation to services'!$C$68:$C$77,0),1)</f>
        <v>0</v>
      </c>
      <c r="E82" s="180">
        <f>INDEX('5. Historical demand'!$C$26:$C$35,MATCH('6. Pricing template'!B82,'5. Historical demand'!$B$26:$B$35,0),1)*(Yearending-Yearstart)</f>
        <v>0</v>
      </c>
      <c r="F82" s="179" t="str">
        <f t="shared" si="6"/>
        <v xml:space="preserve"> -</v>
      </c>
      <c r="G82" s="179" t="str">
        <f t="shared" si="7"/>
        <v xml:space="preserve"> -</v>
      </c>
    </row>
    <row r="83" spans="2:7" x14ac:dyDescent="0.2">
      <c r="B83" s="205" t="s">
        <v>575</v>
      </c>
      <c r="C83" s="181">
        <f>ABS('2.1 Profit &amp; Loss by component'!$F$32*INDEX('2.2 Allocation to services'!$D$56:$D$65,MATCH('6. Pricing template'!B83,'2.2 Allocation to services'!$C$56:$C$65,0),1))+ABS('2.1 Profit &amp; Loss by component'!$F$43*INDEX('2.2 Allocation to services'!$D$80:$D$89,MATCH('6. Pricing template'!B83,'2.2 Allocation to services'!$C$80:$C$89,0),1))-ABS('2.1 Profit &amp; Loss by component'!$F$37+'2.1 Profit &amp; Loss by component'!$F$26)*INDEX('2.2 Allocation to services'!$D$68:$D$77,MATCH('6. Pricing template'!B83,'2.2 Allocation to services'!$C$68:$C$77,0),1)</f>
        <v>0</v>
      </c>
      <c r="D83" s="181">
        <f>ABS('2.1 Profit &amp; Loss by component'!$F$32*INDEX('2.2 Allocation to services'!$D$56:$D$65,MATCH('6. Pricing template'!B83,'2.2 Allocation to services'!$C$56:$C$65,0),1))-ABS('2.1 Profit &amp; Loss by component'!$F$26)*INDEX('2.2 Allocation to services'!$D$68:$D$77,MATCH('6. Pricing template'!B83,'2.2 Allocation to services'!$C$68:$C$77,0),1)</f>
        <v>0</v>
      </c>
      <c r="E83" s="180">
        <f>INDEX('5. Historical demand'!$C$26:$C$35,MATCH('6. Pricing template'!B83,'5. Historical demand'!$B$26:$B$35,0),1)*(Yearending-Yearstart)</f>
        <v>0</v>
      </c>
      <c r="F83" s="179" t="str">
        <f t="shared" si="6"/>
        <v xml:space="preserve"> -</v>
      </c>
      <c r="G83" s="179" t="str">
        <f t="shared" si="7"/>
        <v xml:space="preserve"> -</v>
      </c>
    </row>
    <row r="84" spans="2:7" x14ac:dyDescent="0.2">
      <c r="B84" s="123" t="s">
        <v>662</v>
      </c>
      <c r="C84" s="181">
        <f>ABS('2.1 Profit &amp; Loss by component'!$F$32*INDEX('2.2 Allocation to services'!$D$56:$D$65,MATCH('6. Pricing template'!B84,'2.2 Allocation to services'!$C$56:$C$65,0),1))+ABS('2.1 Profit &amp; Loss by component'!$F$43*INDEX('2.2 Allocation to services'!$D$80:$D$89,MATCH('6. Pricing template'!B84,'2.2 Allocation to services'!$C$80:$C$89,0),1))-ABS('2.1 Profit &amp; Loss by component'!$F$37+'2.1 Profit &amp; Loss by component'!$F$26)*INDEX('2.2 Allocation to services'!$D$68:$D$77,MATCH('6. Pricing template'!B84,'2.2 Allocation to services'!$C$68:$C$77,0),1)</f>
        <v>3012556.5396361439</v>
      </c>
      <c r="D84" s="181">
        <f>ABS('2.1 Profit &amp; Loss by component'!$F$32*INDEX('2.2 Allocation to services'!$D$56:$D$65,MATCH('6. Pricing template'!B84,'2.2 Allocation to services'!$C$56:$C$65,0),1))-ABS('2.1 Profit &amp; Loss by component'!$F$26)*INDEX('2.2 Allocation to services'!$D$68:$D$77,MATCH('6. Pricing template'!B84,'2.2 Allocation to services'!$C$68:$C$77,0),1)</f>
        <v>2014180.672394122</v>
      </c>
      <c r="E84" s="180">
        <f>INDEX('5. Historical demand'!$C$26:$C$35,MATCH('6. Pricing template'!B84,'5. Historical demand'!$B$26:$B$35,0),1)*(Yearending-Yearstart)</f>
        <v>0</v>
      </c>
      <c r="F84" s="179" t="str">
        <f t="shared" si="6"/>
        <v xml:space="preserve"> -</v>
      </c>
      <c r="G84" s="179" t="str">
        <f t="shared" si="7"/>
        <v xml:space="preserve"> -</v>
      </c>
    </row>
    <row r="85" spans="2:7" x14ac:dyDescent="0.2">
      <c r="B85" s="123" t="s">
        <v>577</v>
      </c>
      <c r="C85" s="181">
        <f>ABS('2.1 Profit &amp; Loss by component'!$F$32*INDEX('2.2 Allocation to services'!$D$56:$D$65,MATCH('6. Pricing template'!B85,'2.2 Allocation to services'!$C$56:$C$65,0),1))+ABS('2.1 Profit &amp; Loss by component'!$F$43*INDEX('2.2 Allocation to services'!$D$80:$D$89,MATCH('6. Pricing template'!B85,'2.2 Allocation to services'!$C$80:$C$89,0),1))-ABS('2.1 Profit &amp; Loss by component'!$F$37+'2.1 Profit &amp; Loss by component'!$F$26)*INDEX('2.2 Allocation to services'!$D$68:$D$77,MATCH('6. Pricing template'!B85,'2.2 Allocation to services'!$C$68:$C$77,0),1)</f>
        <v>341970.91574146616</v>
      </c>
      <c r="D85" s="181">
        <f>ABS('2.1 Profit &amp; Loss by component'!$F$32*INDEX('2.2 Allocation to services'!$D$56:$D$65,MATCH('6. Pricing template'!B85,'2.2 Allocation to services'!$C$56:$C$65,0),1))-ABS('2.1 Profit &amp; Loss by component'!$F$26)*INDEX('2.2 Allocation to services'!$D$68:$D$77,MATCH('6. Pricing template'!B85,'2.2 Allocation to services'!$C$68:$C$77,0),1)</f>
        <v>228640.09353682442</v>
      </c>
      <c r="E85" s="180">
        <f>INDEX('5. Historical demand'!$C$26:$C$35,MATCH('6. Pricing template'!B85,'5. Historical demand'!$B$26:$B$35,0),1)*(Yearending-Yearstart)</f>
        <v>0</v>
      </c>
      <c r="F85" s="179" t="str">
        <f t="shared" si="6"/>
        <v xml:space="preserve"> -</v>
      </c>
      <c r="G85" s="179" t="str">
        <f t="shared" si="7"/>
        <v xml:space="preserve"> -</v>
      </c>
    </row>
    <row r="86" spans="2:7" x14ac:dyDescent="0.2">
      <c r="B86" s="123" t="s">
        <v>578</v>
      </c>
      <c r="C86" s="181">
        <f>ABS('2.1 Profit &amp; Loss by component'!$F$32*INDEX('2.2 Allocation to services'!$D$56:$D$65,MATCH('6. Pricing template'!B86,'2.2 Allocation to services'!$C$56:$C$65,0),1))+ABS('2.1 Profit &amp; Loss by component'!$F$43*INDEX('2.2 Allocation to services'!$D$80:$D$89,MATCH('6. Pricing template'!B86,'2.2 Allocation to services'!$C$80:$C$89,0),1))-ABS('2.1 Profit &amp; Loss by component'!$F$37+'2.1 Profit &amp; Loss by component'!$F$26)*INDEX('2.2 Allocation to services'!$D$68:$D$77,MATCH('6. Pricing template'!B86,'2.2 Allocation to services'!$C$68:$C$77,0),1)</f>
        <v>38810.967373197534</v>
      </c>
      <c r="D86" s="181">
        <f>ABS('2.1 Profit &amp; Loss by component'!$F$32*INDEX('2.2 Allocation to services'!$D$56:$D$65,MATCH('6. Pricing template'!B86,'2.2 Allocation to services'!$C$56:$C$65,0),1))-ABS('2.1 Profit &amp; Loss by component'!$F$26)*INDEX('2.2 Allocation to services'!$D$68:$D$77,MATCH('6. Pricing template'!B86,'2.2 Allocation to services'!$C$68:$C$77,0),1)</f>
        <v>25948.824306366372</v>
      </c>
      <c r="E86" s="180">
        <f>INDEX('5. Historical demand'!$C$26:$C$35,MATCH('6. Pricing template'!B86,'5. Historical demand'!$B$26:$B$35,0),1)*(Yearending-Yearstart)</f>
        <v>0</v>
      </c>
      <c r="F86" s="179" t="str">
        <f t="shared" si="6"/>
        <v xml:space="preserve"> -</v>
      </c>
      <c r="G86" s="179" t="str">
        <f t="shared" si="7"/>
        <v xml:space="preserve"> -</v>
      </c>
    </row>
    <row r="87" spans="2:7" x14ac:dyDescent="0.2">
      <c r="B87" s="123" t="s">
        <v>579</v>
      </c>
      <c r="C87" s="181">
        <f>ABS('2.1 Profit &amp; Loss by component'!$F$32*INDEX('2.2 Allocation to services'!$D$56:$D$65,MATCH('6. Pricing template'!B87,'2.2 Allocation to services'!$C$56:$C$65,0),1))+ABS('2.1 Profit &amp; Loss by component'!$F$43*INDEX('2.2 Allocation to services'!$D$80:$D$89,MATCH('6. Pricing template'!B87,'2.2 Allocation to services'!$C$80:$C$89,0),1))-ABS('2.1 Profit &amp; Loss by component'!$F$37+'2.1 Profit &amp; Loss by component'!$F$26)*INDEX('2.2 Allocation to services'!$D$68:$D$77,MATCH('6. Pricing template'!B87,'2.2 Allocation to services'!$C$68:$C$77,0),1)</f>
        <v>45377.591448606661</v>
      </c>
      <c r="D87" s="181">
        <f>ABS('2.1 Profit &amp; Loss by component'!$F$32*INDEX('2.2 Allocation to services'!$D$56:$D$65,MATCH('6. Pricing template'!B87,'2.2 Allocation to services'!$C$56:$C$65,0),1))-ABS('2.1 Profit &amp; Loss by component'!$F$26)*INDEX('2.2 Allocation to services'!$D$68:$D$77,MATCH('6. Pricing template'!B87,'2.2 Allocation to services'!$C$68:$C$77,0),1)</f>
        <v>30339.237273408799</v>
      </c>
      <c r="E87" s="180">
        <f>INDEX('5. Historical demand'!$C$26:$C$35,MATCH('6. Pricing template'!B87,'5. Historical demand'!$B$26:$B$35,0),1)*(Yearending-Yearstart)</f>
        <v>0</v>
      </c>
      <c r="F87" s="179" t="str">
        <f t="shared" si="6"/>
        <v xml:space="preserve"> -</v>
      </c>
      <c r="G87" s="179" t="str">
        <f t="shared" si="7"/>
        <v xml:space="preserve"> -</v>
      </c>
    </row>
    <row r="88" spans="2:7" x14ac:dyDescent="0.2">
      <c r="B88" s="123" t="s">
        <v>519</v>
      </c>
      <c r="C88" s="181">
        <f>ABS('2.1 Profit &amp; Loss by component'!$F$32*INDEX('2.2 Allocation to services'!$D$56:$D$65,MATCH('6. Pricing template'!B88,'2.2 Allocation to services'!$C$56:$C$65,0),1))+ABS('2.1 Profit &amp; Loss by component'!$F$43*INDEX('2.2 Allocation to services'!$D$80:$D$89,MATCH('6. Pricing template'!B88,'2.2 Allocation to services'!$C$80:$C$89,0),1))-ABS('2.1 Profit &amp; Loss by component'!$F$37+'2.1 Profit &amp; Loss by component'!$F$26)*INDEX('2.2 Allocation to services'!$D$68:$D$77,MATCH('6. Pricing template'!B88,'2.2 Allocation to services'!$C$68:$C$77,0),1)</f>
        <v>877854.87380381348</v>
      </c>
      <c r="D88" s="181">
        <f>ABS('2.1 Profit &amp; Loss by component'!$F$32*INDEX('2.2 Allocation to services'!$D$56:$D$65,MATCH('6. Pricing template'!B88,'2.2 Allocation to services'!$C$56:$C$65,0),1))-ABS('2.1 Profit &amp; Loss by component'!$F$26)*INDEX('2.2 Allocation to services'!$D$68:$D$77,MATCH('6. Pricing template'!B88,'2.2 Allocation to services'!$C$68:$C$77,0),1)</f>
        <v>586929.5054612254</v>
      </c>
      <c r="E88" s="180">
        <f>INDEX('5. Historical demand'!$C$26:$C$35,MATCH('6. Pricing template'!B88,'5. Historical demand'!$B$26:$B$35,0),1)*(Yearending-Yearstart)</f>
        <v>0</v>
      </c>
      <c r="F88" s="179" t="str">
        <f t="shared" si="6"/>
        <v xml:space="preserve"> -</v>
      </c>
      <c r="G88" s="179" t="str">
        <f t="shared" si="7"/>
        <v xml:space="preserve"> -</v>
      </c>
    </row>
    <row r="90" spans="2:7" ht="15.75" x14ac:dyDescent="0.25">
      <c r="B90" s="194" t="s">
        <v>118</v>
      </c>
    </row>
    <row r="91" spans="2:7" x14ac:dyDescent="0.2">
      <c r="B91" s="178" t="s">
        <v>402</v>
      </c>
      <c r="C91" s="199" t="s">
        <v>638</v>
      </c>
      <c r="D91" s="199" t="s">
        <v>403</v>
      </c>
      <c r="E91" s="199" t="s">
        <v>404</v>
      </c>
    </row>
    <row r="92" spans="2:7" x14ac:dyDescent="0.2">
      <c r="B92" s="123" t="s">
        <v>571</v>
      </c>
      <c r="C92" s="181">
        <f>IF(Cover!$C$23="Scheme pipeline",( '3.2 Regulatory Asset Base'!$H$95-'3.2 Regulatory Asset Base'!$H$94)*C21,('3.1 Depreciated Book Value'!$D$25+'3.1 Depreciated Book Value'!$D$33+'3.1 Depreciated Book Value'!$D$41+'3.1 Depreciated Book Value'!$D$49+'3.1 Depreciated Book Value'!$D$57+'3.1 Depreciated Book Value'!$D$65+'3.1 Depreciated Book Value'!$D$73+'3.1 Depreciated Book Value'!$D$88+'3.1 Depreciated Book Value'!$D$96)*C21)</f>
        <v>598692039.12151492</v>
      </c>
      <c r="D92" s="181">
        <f>ABS('2.1 Profit &amp; Loss by component'!$F$26)*INDEX('2.2 Allocation to services'!$D$68:$D$77,MATCH('6. Pricing template'!B79,'2.2 Allocation to services'!$C$68:$C$77,0),1)/(Yearending-Yearstart)*365</f>
        <v>33906882.743706509</v>
      </c>
      <c r="E92" s="177">
        <f t="shared" ref="E92:E101" si="8">IFERROR(C92/D92," - ")</f>
        <v>17.656947223573326</v>
      </c>
    </row>
    <row r="93" spans="2:7" x14ac:dyDescent="0.2">
      <c r="B93" s="123" t="s">
        <v>661</v>
      </c>
      <c r="C93" s="181">
        <f>IF(Cover!$C$23="Scheme pipeline",( '3.2 Regulatory Asset Base'!$H$95-'3.2 Regulatory Asset Base'!$H$94)*C22,('3.1 Depreciated Book Value'!$D$25+'3.1 Depreciated Book Value'!$D$33+'3.1 Depreciated Book Value'!$D$41+'3.1 Depreciated Book Value'!$D$49+'3.1 Depreciated Book Value'!$D$57+'3.1 Depreciated Book Value'!$D$65+'3.1 Depreciated Book Value'!$D$73+'3.1 Depreciated Book Value'!$D$88+'3.1 Depreciated Book Value'!$D$96)*C22)</f>
        <v>0</v>
      </c>
      <c r="D93" s="181">
        <f>ABS('2.1 Profit &amp; Loss by component'!$F$26)*INDEX('2.2 Allocation to services'!$D$68:$D$77,MATCH('6. Pricing template'!B80,'2.2 Allocation to services'!$C$68:$C$77,0),1)/(Yearending-Yearstart)*365</f>
        <v>0</v>
      </c>
      <c r="E93" s="177" t="str">
        <f t="shared" si="8"/>
        <v xml:space="preserve"> - </v>
      </c>
      <c r="G93" s="176"/>
    </row>
    <row r="94" spans="2:7" x14ac:dyDescent="0.2">
      <c r="B94" s="123" t="s">
        <v>573</v>
      </c>
      <c r="C94" s="181">
        <f>IF(Cover!$C$23="Scheme pipeline",( '3.2 Regulatory Asset Base'!$H$95-'3.2 Regulatory Asset Base'!$H$94)*C23,('3.1 Depreciated Book Value'!$D$25+'3.1 Depreciated Book Value'!$D$33+'3.1 Depreciated Book Value'!$D$41+'3.1 Depreciated Book Value'!$D$49+'3.1 Depreciated Book Value'!$D$57+'3.1 Depreciated Book Value'!$D$65+'3.1 Depreciated Book Value'!$D$73+'3.1 Depreciated Book Value'!$D$88+'3.1 Depreciated Book Value'!$D$96)*C23)</f>
        <v>2510676.3386321007</v>
      </c>
      <c r="D94" s="181">
        <f>ABS('2.1 Profit &amp; Loss by component'!$F$26)*INDEX('2.2 Allocation to services'!$D$68:$D$77,MATCH('6. Pricing template'!B81,'2.2 Allocation to services'!$C$68:$C$77,0),1)/(Yearending-Yearstart)*365</f>
        <v>142191.98295389154</v>
      </c>
      <c r="E94" s="177">
        <f t="shared" si="8"/>
        <v>17.656947223573326</v>
      </c>
    </row>
    <row r="95" spans="2:7" x14ac:dyDescent="0.2">
      <c r="B95" s="123" t="s">
        <v>574</v>
      </c>
      <c r="C95" s="181">
        <f>IF(Cover!$C$23="Scheme pipeline",( '3.2 Regulatory Asset Base'!$H$95-'3.2 Regulatory Asset Base'!$H$94)*C24,('3.1 Depreciated Book Value'!$D$25+'3.1 Depreciated Book Value'!$D$33+'3.1 Depreciated Book Value'!$D$41+'3.1 Depreciated Book Value'!$D$49+'3.1 Depreciated Book Value'!$D$57+'3.1 Depreciated Book Value'!$D$65+'3.1 Depreciated Book Value'!$D$73+'3.1 Depreciated Book Value'!$D$88+'3.1 Depreciated Book Value'!$D$96)*C24)</f>
        <v>0</v>
      </c>
      <c r="D95" s="181">
        <f>ABS('2.1 Profit &amp; Loss by component'!$F$26)*INDEX('2.2 Allocation to services'!$D$68:$D$77,MATCH('6. Pricing template'!B82,'2.2 Allocation to services'!$C$68:$C$77,0),1)/(Yearending-Yearstart)*365</f>
        <v>0</v>
      </c>
      <c r="E95" s="177" t="str">
        <f t="shared" si="8"/>
        <v xml:space="preserve"> - </v>
      </c>
    </row>
    <row r="96" spans="2:7" x14ac:dyDescent="0.2">
      <c r="B96" s="205" t="s">
        <v>575</v>
      </c>
      <c r="C96" s="181">
        <f>IF(Cover!$C$23="Scheme pipeline",( '3.2 Regulatory Asset Base'!$H$95-'3.2 Regulatory Asset Base'!$H$94)*C25,('3.1 Depreciated Book Value'!$D$25+'3.1 Depreciated Book Value'!$D$33+'3.1 Depreciated Book Value'!$D$41+'3.1 Depreciated Book Value'!$D$49+'3.1 Depreciated Book Value'!$D$57+'3.1 Depreciated Book Value'!$D$65+'3.1 Depreciated Book Value'!$D$73+'3.1 Depreciated Book Value'!$D$88+'3.1 Depreciated Book Value'!$D$96)*C25)</f>
        <v>0</v>
      </c>
      <c r="D96" s="181">
        <f>ABS('2.1 Profit &amp; Loss by component'!$F$26)*INDEX('2.2 Allocation to services'!$D$68:$D$77,MATCH('6. Pricing template'!B83,'2.2 Allocation to services'!$C$68:$C$77,0),1)/(Yearending-Yearstart)*365</f>
        <v>0</v>
      </c>
      <c r="E96" s="177" t="str">
        <f t="shared" si="8"/>
        <v xml:space="preserve"> - </v>
      </c>
    </row>
    <row r="97" spans="2:7" x14ac:dyDescent="0.2">
      <c r="B97" s="123" t="s">
        <v>662</v>
      </c>
      <c r="C97" s="181">
        <f>IF(Cover!$C$23="Scheme pipeline",( '3.2 Regulatory Asset Base'!$H$95-'3.2 Regulatory Asset Base'!$H$94)*C26,('3.1 Depreciated Book Value'!$D$25+'3.1 Depreciated Book Value'!$D$33+'3.1 Depreciated Book Value'!$D$41+'3.1 Depreciated Book Value'!$D$49+'3.1 Depreciated Book Value'!$D$57+'3.1 Depreciated Book Value'!$D$65+'3.1 Depreciated Book Value'!$D$73+'3.1 Depreciated Book Value'!$D$88+'3.1 Depreciated Book Value'!$D$96)*C26)</f>
        <v>38916734.014231704</v>
      </c>
      <c r="D97" s="181">
        <f>ABS('2.1 Profit &amp; Loss by component'!$F$26)*INDEX('2.2 Allocation to services'!$D$68:$D$77,MATCH('6. Pricing template'!B84,'2.2 Allocation to services'!$C$68:$C$77,0),1)/(Yearending-Yearstart)*365</f>
        <v>2204046.5728002521</v>
      </c>
      <c r="E97" s="177">
        <f t="shared" si="8"/>
        <v>17.656947223573322</v>
      </c>
    </row>
    <row r="98" spans="2:7" x14ac:dyDescent="0.2">
      <c r="B98" s="123" t="s">
        <v>577</v>
      </c>
      <c r="C98" s="181">
        <f>IF(Cover!$C$23="Scheme pipeline",( '3.2 Regulatory Asset Base'!$H$95-'3.2 Regulatory Asset Base'!$H$94)*C27,('3.1 Depreciated Book Value'!$D$25+'3.1 Depreciated Book Value'!$D$33+'3.1 Depreciated Book Value'!$D$41+'3.1 Depreciated Book Value'!$D$49+'3.1 Depreciated Book Value'!$D$57+'3.1 Depreciated Book Value'!$D$65+'3.1 Depreciated Book Value'!$D$73+'3.1 Depreciated Book Value'!$D$88+'3.1 Depreciated Book Value'!$D$96)*C27)</f>
        <v>4417640.2976726415</v>
      </c>
      <c r="D98" s="181">
        <f>ABS('2.1 Profit &amp; Loss by component'!$F$26)*INDEX('2.2 Allocation to services'!$D$68:$D$77,MATCH('6. Pricing template'!B85,'2.2 Allocation to services'!$C$68:$C$77,0),1)/(Yearending-Yearstart)*365</f>
        <v>250192.75652445556</v>
      </c>
      <c r="E98" s="177">
        <f t="shared" si="8"/>
        <v>17.656947223573322</v>
      </c>
    </row>
    <row r="99" spans="2:7" x14ac:dyDescent="0.2">
      <c r="B99" s="123" t="s">
        <v>578</v>
      </c>
      <c r="C99" s="181">
        <f>IF(Cover!$C$23="Scheme pipeline",( '3.2 Regulatory Asset Base'!$H$95-'3.2 Regulatory Asset Base'!$H$94)*C28,('3.1 Depreciated Book Value'!$D$25+'3.1 Depreciated Book Value'!$D$33+'3.1 Depreciated Book Value'!$D$41+'3.1 Depreciated Book Value'!$D$49+'3.1 Depreciated Book Value'!$D$57+'3.1 Depreciated Book Value'!$D$65+'3.1 Depreciated Book Value'!$D$73+'3.1 Depreciated Book Value'!$D$88+'3.1 Depreciated Book Value'!$D$96)*C28)</f>
        <v>501366.88696975575</v>
      </c>
      <c r="D99" s="181">
        <f>ABS('2.1 Profit &amp; Loss by component'!$F$26)*INDEX('2.2 Allocation to services'!$D$68:$D$77,MATCH('6. Pricing template'!B86,'2.2 Allocation to services'!$C$68:$C$77,0),1)/(Yearending-Yearstart)*365</f>
        <v>28394.879399106667</v>
      </c>
      <c r="E99" s="177">
        <f t="shared" si="8"/>
        <v>17.656947223573322</v>
      </c>
    </row>
    <row r="100" spans="2:7" x14ac:dyDescent="0.2">
      <c r="B100" s="123" t="s">
        <v>579</v>
      </c>
      <c r="C100" s="181">
        <f>IF(Cover!$C$23="Scheme pipeline",( '3.2 Regulatory Asset Base'!$H$95-'3.2 Regulatory Asset Base'!$H$94)*C29,('3.1 Depreciated Book Value'!$D$25+'3.1 Depreciated Book Value'!$D$33+'3.1 Depreciated Book Value'!$D$41+'3.1 Depreciated Book Value'!$D$49+'3.1 Depreciated Book Value'!$D$57+'3.1 Depreciated Book Value'!$D$65+'3.1 Depreciated Book Value'!$D$73+'3.1 Depreciated Book Value'!$D$88+'3.1 Depreciated Book Value'!$D$96)*C29)</f>
        <v>586195.68906918878</v>
      </c>
      <c r="D100" s="181">
        <f>ABS('2.1 Profit &amp; Loss by component'!$F$26)*INDEX('2.2 Allocation to services'!$D$68:$D$77,MATCH('6. Pricing template'!B87,'2.2 Allocation to services'!$C$68:$C$77,0),1)/(Yearending-Yearstart)*365</f>
        <v>33199.152812020329</v>
      </c>
      <c r="E100" s="177">
        <f t="shared" si="8"/>
        <v>17.656947223573322</v>
      </c>
    </row>
    <row r="101" spans="2:7" x14ac:dyDescent="0.2">
      <c r="B101" s="123" t="s">
        <v>519</v>
      </c>
      <c r="C101" s="181">
        <f>IF(Cover!$C$23="Scheme pipeline",( '3.2 Regulatory Asset Base'!$H$95-'3.2 Regulatory Asset Base'!$H$94)*C30,('3.1 Depreciated Book Value'!$D$25+'3.1 Depreciated Book Value'!$D$33+'3.1 Depreciated Book Value'!$D$41+'3.1 Depreciated Book Value'!$D$49+'3.1 Depreciated Book Value'!$D$57+'3.1 Depreciated Book Value'!$D$65+'3.1 Depreciated Book Value'!$D$73+'3.1 Depreciated Book Value'!$D$88+'3.1 Depreciated Book Value'!$D$96)*C30)</f>
        <v>11340283.303378658</v>
      </c>
      <c r="D101" s="181">
        <f>ABS('2.1 Profit &amp; Loss by component'!$F$26)*INDEX('2.2 Allocation to services'!$D$68:$D$77,MATCH('6. Pricing template'!B88,'2.2 Allocation to services'!$C$68:$C$77,0),1)/(Yearending-Yearstart)*365</f>
        <v>642256.17032136477</v>
      </c>
      <c r="E101" s="177">
        <f t="shared" si="8"/>
        <v>17.656947223573326</v>
      </c>
    </row>
    <row r="103" spans="2:7" s="182" customFormat="1" ht="27" customHeight="1" x14ac:dyDescent="0.2">
      <c r="B103" s="175" t="s">
        <v>436</v>
      </c>
      <c r="C103" s="183" t="s">
        <v>486</v>
      </c>
      <c r="D103" s="183" t="s">
        <v>487</v>
      </c>
      <c r="E103" s="183" t="s">
        <v>558</v>
      </c>
      <c r="F103" s="184" t="s">
        <v>542</v>
      </c>
      <c r="G103" s="211" t="s">
        <v>543</v>
      </c>
    </row>
    <row r="104" spans="2:7" x14ac:dyDescent="0.2">
      <c r="B104" s="123" t="s">
        <v>571</v>
      </c>
      <c r="C104" s="181">
        <f>ABS('2.1 Profit &amp; Loss by component'!$F$26+'2.1 Profit &amp; Loss by component'!$F$37)*INDEX('2.2 Allocation to services'!$D$68:$D$77,MATCH(B104,'2.2 Allocation to services'!$C$68:$C$77,0),1)</f>
        <v>37954367.703636035</v>
      </c>
      <c r="D104" s="181">
        <f>ABS('2.1 Profit &amp; Loss by component'!$F$26*INDEX('2.2 Allocation to services'!$D$68:$D$77,MATCH(B104,'2.2 Allocation to services'!$C$68:$C$77,0),1))</f>
        <v>33813987.174545676</v>
      </c>
      <c r="E104" s="180">
        <f>INDEX('5. Historical demand'!$C$26:$C$35,MATCH(B104,'5. Historical demand'!$B$26:$B$35,0),1)*(Yearending-Yearstart)</f>
        <v>123986.54263013699</v>
      </c>
      <c r="F104" s="212">
        <f>IFERROR(C104/(E104*1000)," - ")</f>
        <v>0.30611683250864841</v>
      </c>
      <c r="G104" s="212">
        <f>IFERROR(D104/(E104*1000)," - ")</f>
        <v>0.27272304281776649</v>
      </c>
    </row>
    <row r="105" spans="2:7" x14ac:dyDescent="0.2">
      <c r="B105" s="123" t="s">
        <v>661</v>
      </c>
      <c r="C105" s="181">
        <f>ABS('2.1 Profit &amp; Loss by component'!$F$26+'2.1 Profit &amp; Loss by component'!$F$37)*INDEX('2.2 Allocation to services'!$D$68:$D$77,MATCH(B105,'2.2 Allocation to services'!$C$68:$C$77,0),1)</f>
        <v>0</v>
      </c>
      <c r="D105" s="181">
        <f>ABS('2.1 Profit &amp; Loss by component'!$F$26*INDEX('2.2 Allocation to services'!$D$68:$D$77,MATCH(B105,'2.2 Allocation to services'!$C$68:$C$77,0),1))</f>
        <v>0</v>
      </c>
      <c r="E105" s="180">
        <f>INDEX('5. Historical demand'!$C$26:$C$35,MATCH(B105,'5. Historical demand'!$B$26:$B$35,0),1)*(Yearending-Yearstart)</f>
        <v>0</v>
      </c>
      <c r="F105" s="212" t="str">
        <f t="shared" ref="F105:F113" si="9">IFERROR(C105/(E105*1000)," - ")</f>
        <v xml:space="preserve"> - </v>
      </c>
      <c r="G105" s="212" t="str">
        <f t="shared" ref="G105:G113" si="10">IFERROR(D105/(E105*1000)," - ")</f>
        <v xml:space="preserve"> - </v>
      </c>
    </row>
    <row r="106" spans="2:7" x14ac:dyDescent="0.2">
      <c r="B106" s="123" t="s">
        <v>573</v>
      </c>
      <c r="C106" s="181">
        <f>ABS('2.1 Profit &amp; Loss by component'!$F$26+'2.1 Profit &amp; Loss by component'!$F$37)*INDEX('2.2 Allocation to services'!$D$68:$D$77,MATCH(B106,'2.2 Allocation to services'!$C$68:$C$77,0),1)</f>
        <v>159165.52536941349</v>
      </c>
      <c r="D106" s="181">
        <f>ABS('2.1 Profit &amp; Loss by component'!$F$26*INDEX('2.2 Allocation to services'!$D$68:$D$77,MATCH(B106,'2.2 Allocation to services'!$C$68:$C$77,0),1))</f>
        <v>141802.41587730555</v>
      </c>
      <c r="E106" s="180">
        <f>INDEX('5. Historical demand'!$C$26:$C$35,MATCH(B106,'5. Historical demand'!$B$26:$B$35,0),1)*(Yearending-Yearstart)</f>
        <v>0</v>
      </c>
      <c r="F106" s="212" t="str">
        <f t="shared" si="9"/>
        <v xml:space="preserve"> - </v>
      </c>
      <c r="G106" s="212" t="str">
        <f t="shared" si="10"/>
        <v xml:space="preserve"> - </v>
      </c>
    </row>
    <row r="107" spans="2:7" x14ac:dyDescent="0.2">
      <c r="B107" s="123" t="s">
        <v>574</v>
      </c>
      <c r="C107" s="181">
        <f>ABS('2.1 Profit &amp; Loss by component'!$F$26+'2.1 Profit &amp; Loss by component'!$F$37)*INDEX('2.2 Allocation to services'!$D$68:$D$77,MATCH(B107,'2.2 Allocation to services'!$C$68:$C$77,0),1)</f>
        <v>0</v>
      </c>
      <c r="D107" s="181">
        <f>ABS('2.1 Profit &amp; Loss by component'!$F$26*INDEX('2.2 Allocation to services'!$D$68:$D$77,MATCH(B107,'2.2 Allocation to services'!$C$68:$C$77,0),1))</f>
        <v>0</v>
      </c>
      <c r="E107" s="180">
        <f>INDEX('5. Historical demand'!$C$26:$C$35,MATCH(B107,'5. Historical demand'!$B$26:$B$35,0),1)*(Yearending-Yearstart)</f>
        <v>0</v>
      </c>
      <c r="F107" s="212" t="str">
        <f t="shared" si="9"/>
        <v xml:space="preserve"> - </v>
      </c>
      <c r="G107" s="212" t="str">
        <f t="shared" si="10"/>
        <v xml:space="preserve"> - </v>
      </c>
    </row>
    <row r="108" spans="2:7" x14ac:dyDescent="0.2">
      <c r="B108" s="205" t="s">
        <v>575</v>
      </c>
      <c r="C108" s="181">
        <f>ABS('2.1 Profit &amp; Loss by component'!$F$26+'2.1 Profit &amp; Loss by component'!$F$37)*INDEX('2.2 Allocation to services'!$D$68:$D$77,MATCH(B108,'2.2 Allocation to services'!$C$68:$C$77,0),1)</f>
        <v>0</v>
      </c>
      <c r="D108" s="181">
        <f>ABS('2.1 Profit &amp; Loss by component'!$F$26*INDEX('2.2 Allocation to services'!$D$68:$D$77,MATCH(B108,'2.2 Allocation to services'!$C$68:$C$77,0),1))</f>
        <v>0</v>
      </c>
      <c r="E108" s="180">
        <f>INDEX('5. Historical demand'!$C$26:$C$35,MATCH(B108,'5. Historical demand'!$B$26:$B$35,0),1)*(Yearending-Yearstart)</f>
        <v>0</v>
      </c>
      <c r="F108" s="212" t="str">
        <f t="shared" si="9"/>
        <v xml:space="preserve"> - </v>
      </c>
      <c r="G108" s="212" t="str">
        <f t="shared" si="10"/>
        <v xml:space="preserve"> - </v>
      </c>
    </row>
    <row r="109" spans="2:7" x14ac:dyDescent="0.2">
      <c r="B109" s="123" t="s">
        <v>662</v>
      </c>
      <c r="C109" s="181">
        <f>ABS('2.1 Profit &amp; Loss by component'!$F$26+'2.1 Profit &amp; Loss by component'!$F$37)*INDEX('2.2 Allocation to services'!$D$68:$D$77,MATCH(B109,'2.2 Allocation to services'!$C$68:$C$77,0),1)</f>
        <v>2467144.9360978636</v>
      </c>
      <c r="D109" s="181">
        <f>ABS('2.1 Profit &amp; Loss by component'!$F$26*INDEX('2.2 Allocation to services'!$D$68:$D$77,MATCH(B109,'2.2 Allocation to services'!$C$68:$C$77,0),1))</f>
        <v>2198008.0890391553</v>
      </c>
      <c r="E109" s="180">
        <f>INDEX('5. Historical demand'!$C$26:$C$35,MATCH(B109,'5. Historical demand'!$B$26:$B$35,0),1)*(Yearending-Yearstart)</f>
        <v>0</v>
      </c>
      <c r="F109" s="212" t="str">
        <f t="shared" si="9"/>
        <v xml:space="preserve"> - </v>
      </c>
      <c r="G109" s="212" t="str">
        <f t="shared" si="10"/>
        <v xml:space="preserve"> - </v>
      </c>
    </row>
    <row r="110" spans="2:7" x14ac:dyDescent="0.2">
      <c r="B110" s="123" t="s">
        <v>577</v>
      </c>
      <c r="C110" s="181">
        <f>ABS('2.1 Profit &amp; Loss by component'!$F$26+'2.1 Profit &amp; Loss by component'!$F$37)*INDEX('2.2 Allocation to services'!$D$68:$D$77,MATCH(B110,'2.2 Allocation to services'!$C$68:$C$77,0),1)</f>
        <v>280058.41615381214</v>
      </c>
      <c r="D110" s="181">
        <f>ABS('2.1 Profit &amp; Loss by component'!$F$26*INDEX('2.2 Allocation to services'!$D$68:$D$77,MATCH(B110,'2.2 Allocation to services'!$C$68:$C$77,0),1))</f>
        <v>249507.29691753924</v>
      </c>
      <c r="E110" s="180">
        <f>INDEX('5. Historical demand'!$C$26:$C$35,MATCH(B110,'5. Historical demand'!$B$26:$B$35,0),1)*(Yearending-Yearstart)</f>
        <v>0</v>
      </c>
      <c r="F110" s="212" t="str">
        <f t="shared" si="9"/>
        <v xml:space="preserve"> - </v>
      </c>
      <c r="G110" s="212" t="str">
        <f t="shared" si="10"/>
        <v xml:space="preserve"> - </v>
      </c>
    </row>
    <row r="111" spans="2:7" x14ac:dyDescent="0.2">
      <c r="B111" s="123" t="s">
        <v>578</v>
      </c>
      <c r="C111" s="181">
        <f>ABS('2.1 Profit &amp; Loss by component'!$F$26+'2.1 Profit &amp; Loss by component'!$F$37)*INDEX('2.2 Allocation to services'!$D$68:$D$77,MATCH(B111,'2.2 Allocation to services'!$C$68:$C$77,0),1)</f>
        <v>31784.39320890178</v>
      </c>
      <c r="D111" s="181">
        <f>ABS('2.1 Profit &amp; Loss by component'!$F$26*INDEX('2.2 Allocation to services'!$D$68:$D$77,MATCH(B111,'2.2 Allocation to services'!$C$68:$C$77,0),1))</f>
        <v>28317.085208972127</v>
      </c>
      <c r="E111" s="180">
        <f>INDEX('5. Historical demand'!$C$26:$C$35,MATCH(B111,'5. Historical demand'!$B$26:$B$35,0),1)*(Yearending-Yearstart)</f>
        <v>0</v>
      </c>
      <c r="F111" s="212" t="str">
        <f t="shared" si="9"/>
        <v xml:space="preserve"> - </v>
      </c>
      <c r="G111" s="212" t="str">
        <f t="shared" si="10"/>
        <v xml:space="preserve"> - </v>
      </c>
    </row>
    <row r="112" spans="2:7" x14ac:dyDescent="0.2">
      <c r="B112" s="123" t="s">
        <v>579</v>
      </c>
      <c r="C112" s="181">
        <f>ABS('2.1 Profit &amp; Loss by component'!$F$26+'2.1 Profit &amp; Loss by component'!$F$37)*INDEX('2.2 Allocation to services'!$D$68:$D$77,MATCH(B112,'2.2 Allocation to services'!$C$68:$C$77,0),1)</f>
        <v>37162.155624893043</v>
      </c>
      <c r="D112" s="181">
        <f>ABS('2.1 Profit &amp; Loss by component'!$F$26*INDEX('2.2 Allocation to services'!$D$68:$D$77,MATCH(B112,'2.2 Allocation to services'!$C$68:$C$77,0),1))</f>
        <v>33108.196228973698</v>
      </c>
      <c r="E112" s="180">
        <f>INDEX('5. Historical demand'!$C$26:$C$35,MATCH(B112,'5. Historical demand'!$B$26:$B$35,0),1)*(Yearending-Yearstart)</f>
        <v>0</v>
      </c>
      <c r="F112" s="212" t="str">
        <f t="shared" si="9"/>
        <v xml:space="preserve"> - </v>
      </c>
      <c r="G112" s="212" t="str">
        <f t="shared" si="10"/>
        <v xml:space="preserve"> - </v>
      </c>
    </row>
    <row r="113" spans="2:7" x14ac:dyDescent="0.2">
      <c r="B113" s="123" t="s">
        <v>519</v>
      </c>
      <c r="C113" s="181">
        <f>ABS('2.1 Profit &amp; Loss by component'!$F$26+'2.1 Profit &amp; Loss by component'!$F$37)*INDEX('2.2 Allocation to services'!$D$68:$D$77,MATCH(B113,'2.2 Allocation to services'!$C$68:$C$77,0),1)</f>
        <v>718922.67515599634</v>
      </c>
      <c r="D113" s="181">
        <f>ABS('2.1 Profit &amp; Loss by component'!$F$26*INDEX('2.2 Allocation to services'!$D$68:$D$77,MATCH(B113,'2.2 Allocation to services'!$C$68:$C$77,0),1))</f>
        <v>640496.56437527889</v>
      </c>
      <c r="E113" s="180">
        <f>INDEX('5. Historical demand'!$C$26:$C$35,MATCH(B113,'5. Historical demand'!$B$26:$B$35,0),1)*(Yearending-Yearstart)</f>
        <v>0</v>
      </c>
      <c r="F113" s="212" t="str">
        <f t="shared" si="9"/>
        <v xml:space="preserve"> - </v>
      </c>
      <c r="G113" s="212" t="str">
        <f t="shared" si="10"/>
        <v xml:space="preserve"> - </v>
      </c>
    </row>
    <row r="114" spans="2:7" ht="15.75" x14ac:dyDescent="0.25">
      <c r="B114" s="200"/>
    </row>
    <row r="115" spans="2:7" s="182" customFormat="1" ht="24.75" customHeight="1" x14ac:dyDescent="0.2">
      <c r="B115" s="175" t="s">
        <v>442</v>
      </c>
      <c r="C115" s="213" t="s">
        <v>444</v>
      </c>
      <c r="D115" s="213" t="s">
        <v>404</v>
      </c>
      <c r="E115" s="213" t="s">
        <v>446</v>
      </c>
      <c r="F115" s="183" t="s">
        <v>558</v>
      </c>
      <c r="G115" s="211" t="s">
        <v>544</v>
      </c>
    </row>
    <row r="116" spans="2:7" x14ac:dyDescent="0.2">
      <c r="B116" s="123" t="s">
        <v>571</v>
      </c>
      <c r="C116" s="121">
        <f>'4. Recovered Capital'!$E$37*C21</f>
        <v>0</v>
      </c>
      <c r="D116" s="177">
        <f>E92</f>
        <v>17.656947223573326</v>
      </c>
      <c r="E116" s="121">
        <f t="shared" ref="E116:E125" si="11">IFERROR(C116/D116, " - ")</f>
        <v>0</v>
      </c>
      <c r="F116" s="180">
        <f>INDEX('5. Historical demand'!$C$26:$C$35,MATCH(B116,'5. Historical demand'!$B$26:$B$35,0),1)*(Yearending-Yearstart)</f>
        <v>123986.54263013699</v>
      </c>
      <c r="G116" s="212">
        <f>IFERROR(E116/(E104*1000), " - ")</f>
        <v>0</v>
      </c>
    </row>
    <row r="117" spans="2:7" x14ac:dyDescent="0.2">
      <c r="B117" s="123" t="s">
        <v>661</v>
      </c>
      <c r="C117" s="121">
        <f>'4. Recovered Capital'!$E$37*C22</f>
        <v>0</v>
      </c>
      <c r="D117" s="177" t="str">
        <f t="shared" ref="D117:D125" si="12">E93</f>
        <v xml:space="preserve"> - </v>
      </c>
      <c r="E117" s="121" t="str">
        <f t="shared" si="11"/>
        <v xml:space="preserve"> - </v>
      </c>
      <c r="F117" s="180">
        <f>INDEX('5. Historical demand'!$C$26:$C$35,MATCH(B117,'5. Historical demand'!$B$26:$B$35,0),1)*(Yearending-Yearstart)</f>
        <v>0</v>
      </c>
      <c r="G117" s="212" t="str">
        <f t="shared" ref="G117:G125" si="13">IFERROR(E117/(E105*1000), " - ")</f>
        <v xml:space="preserve"> - </v>
      </c>
    </row>
    <row r="118" spans="2:7" x14ac:dyDescent="0.2">
      <c r="B118" s="123" t="s">
        <v>573</v>
      </c>
      <c r="C118" s="121">
        <f>'4. Recovered Capital'!$E$37*C23</f>
        <v>0</v>
      </c>
      <c r="D118" s="177">
        <f t="shared" si="12"/>
        <v>17.656947223573326</v>
      </c>
      <c r="E118" s="121">
        <f t="shared" si="11"/>
        <v>0</v>
      </c>
      <c r="F118" s="180">
        <f>INDEX('5. Historical demand'!$C$26:$C$35,MATCH(B118,'5. Historical demand'!$B$26:$B$35,0),1)*(Yearending-Yearstart)</f>
        <v>0</v>
      </c>
      <c r="G118" s="212" t="str">
        <f t="shared" si="13"/>
        <v xml:space="preserve"> - </v>
      </c>
    </row>
    <row r="119" spans="2:7" x14ac:dyDescent="0.2">
      <c r="B119" s="123" t="s">
        <v>574</v>
      </c>
      <c r="C119" s="121">
        <f>'4. Recovered Capital'!$E$37*C24</f>
        <v>0</v>
      </c>
      <c r="D119" s="177" t="str">
        <f t="shared" si="12"/>
        <v xml:space="preserve"> - </v>
      </c>
      <c r="E119" s="121" t="str">
        <f t="shared" si="11"/>
        <v xml:space="preserve"> - </v>
      </c>
      <c r="F119" s="180">
        <f>INDEX('5. Historical demand'!$C$26:$C$35,MATCH(B119,'5. Historical demand'!$B$26:$B$35,0),1)*(Yearending-Yearstart)</f>
        <v>0</v>
      </c>
      <c r="G119" s="212" t="str">
        <f t="shared" si="13"/>
        <v xml:space="preserve"> - </v>
      </c>
    </row>
    <row r="120" spans="2:7" x14ac:dyDescent="0.2">
      <c r="B120" s="205" t="s">
        <v>575</v>
      </c>
      <c r="C120" s="121">
        <f>'4. Recovered Capital'!$E$37*C25</f>
        <v>0</v>
      </c>
      <c r="D120" s="177" t="str">
        <f t="shared" si="12"/>
        <v xml:space="preserve"> - </v>
      </c>
      <c r="E120" s="121" t="str">
        <f t="shared" si="11"/>
        <v xml:space="preserve"> - </v>
      </c>
      <c r="F120" s="180">
        <f>INDEX('5. Historical demand'!$C$26:$C$35,MATCH(B120,'5. Historical demand'!$B$26:$B$35,0),1)*(Yearending-Yearstart)</f>
        <v>0</v>
      </c>
      <c r="G120" s="212" t="str">
        <f t="shared" si="13"/>
        <v xml:space="preserve"> - </v>
      </c>
    </row>
    <row r="121" spans="2:7" x14ac:dyDescent="0.2">
      <c r="B121" s="123" t="s">
        <v>662</v>
      </c>
      <c r="C121" s="121">
        <f>'4. Recovered Capital'!$E$37*C26</f>
        <v>0</v>
      </c>
      <c r="D121" s="177">
        <f t="shared" si="12"/>
        <v>17.656947223573322</v>
      </c>
      <c r="E121" s="121">
        <f t="shared" si="11"/>
        <v>0</v>
      </c>
      <c r="F121" s="180">
        <f>INDEX('5. Historical demand'!$C$26:$C$35,MATCH(B121,'5. Historical demand'!$B$26:$B$35,0),1)*(Yearending-Yearstart)</f>
        <v>0</v>
      </c>
      <c r="G121" s="212" t="str">
        <f t="shared" si="13"/>
        <v xml:space="preserve"> - </v>
      </c>
    </row>
    <row r="122" spans="2:7" x14ac:dyDescent="0.2">
      <c r="B122" s="123" t="s">
        <v>577</v>
      </c>
      <c r="C122" s="121">
        <f>'4. Recovered Capital'!$E$37*C27</f>
        <v>0</v>
      </c>
      <c r="D122" s="177">
        <f t="shared" si="12"/>
        <v>17.656947223573322</v>
      </c>
      <c r="E122" s="121">
        <f t="shared" si="11"/>
        <v>0</v>
      </c>
      <c r="F122" s="180">
        <f>INDEX('5. Historical demand'!$C$26:$C$35,MATCH(B122,'5. Historical demand'!$B$26:$B$35,0),1)*(Yearending-Yearstart)</f>
        <v>0</v>
      </c>
      <c r="G122" s="212" t="str">
        <f t="shared" si="13"/>
        <v xml:space="preserve"> - </v>
      </c>
    </row>
    <row r="123" spans="2:7" x14ac:dyDescent="0.2">
      <c r="B123" s="123" t="s">
        <v>578</v>
      </c>
      <c r="C123" s="121">
        <f>'4. Recovered Capital'!$E$37*C28</f>
        <v>0</v>
      </c>
      <c r="D123" s="177">
        <f t="shared" si="12"/>
        <v>17.656947223573322</v>
      </c>
      <c r="E123" s="121">
        <f t="shared" si="11"/>
        <v>0</v>
      </c>
      <c r="F123" s="180">
        <f>INDEX('5. Historical demand'!$C$26:$C$35,MATCH(B123,'5. Historical demand'!$B$26:$B$35,0),1)*(Yearending-Yearstart)</f>
        <v>0</v>
      </c>
      <c r="G123" s="212" t="str">
        <f t="shared" si="13"/>
        <v xml:space="preserve"> - </v>
      </c>
    </row>
    <row r="124" spans="2:7" x14ac:dyDescent="0.2">
      <c r="B124" s="123" t="s">
        <v>579</v>
      </c>
      <c r="C124" s="121">
        <f>'4. Recovered Capital'!$E$37*C29</f>
        <v>0</v>
      </c>
      <c r="D124" s="177">
        <f t="shared" si="12"/>
        <v>17.656947223573322</v>
      </c>
      <c r="E124" s="121">
        <f t="shared" si="11"/>
        <v>0</v>
      </c>
      <c r="F124" s="180">
        <f>INDEX('5. Historical demand'!$C$26:$C$35,MATCH(B124,'5. Historical demand'!$B$26:$B$35,0),1)*(Yearending-Yearstart)</f>
        <v>0</v>
      </c>
      <c r="G124" s="212" t="str">
        <f t="shared" si="13"/>
        <v xml:space="preserve"> - </v>
      </c>
    </row>
    <row r="125" spans="2:7" x14ac:dyDescent="0.2">
      <c r="B125" s="123" t="s">
        <v>519</v>
      </c>
      <c r="C125" s="121">
        <f>'4. Recovered Capital'!$E$37*C30</f>
        <v>0</v>
      </c>
      <c r="D125" s="177">
        <f t="shared" si="12"/>
        <v>17.656947223573326</v>
      </c>
      <c r="E125" s="121">
        <f t="shared" si="11"/>
        <v>0</v>
      </c>
      <c r="F125" s="180">
        <f>INDEX('5. Historical demand'!$C$26:$C$35,MATCH(B125,'5. Historical demand'!$B$26:$B$35,0),1)*(Yearending-Yearstart)</f>
        <v>0</v>
      </c>
      <c r="G125" s="212" t="str">
        <f t="shared" si="13"/>
        <v xml:space="preserve"> - </v>
      </c>
    </row>
    <row r="127" spans="2:7" ht="15.75" x14ac:dyDescent="0.25">
      <c r="B127" s="194" t="s">
        <v>431</v>
      </c>
    </row>
    <row r="128" spans="2:7" x14ac:dyDescent="0.2">
      <c r="B128" s="178" t="s">
        <v>437</v>
      </c>
      <c r="C128" s="178"/>
    </row>
    <row r="129" spans="2:10" x14ac:dyDescent="0.2">
      <c r="B129" s="178" t="s">
        <v>438</v>
      </c>
      <c r="C129" s="214" t="str">
        <f>IF(IFERROR(INDEX('4. Recovered Capital'!F39:BH39,1,MATCH(VALUE(RIGHT(TEXT(Yearending,"dd/mm/yyyy"),4)),'4. Recovered Capital'!$F$12:$BH$12,0)),)=0," - ",IFERROR(INDEX('4. Recovered Capital'!F39:BH39,1,MATCH(VALUE(RIGHT(TEXT(Yearending,"dd/mm/yyyy"),4)),'4. Recovered Capital'!$F$12:$BH$12,0)),))</f>
        <v xml:space="preserve"> - </v>
      </c>
    </row>
    <row r="130" spans="2:10" x14ac:dyDescent="0.2">
      <c r="B130" s="178" t="s">
        <v>439</v>
      </c>
      <c r="C130" s="214" t="str">
        <f>IFERROR((C129-E21*E22)/(1-E22), " - ")</f>
        <v xml:space="preserve"> - </v>
      </c>
    </row>
    <row r="131" spans="2:10" x14ac:dyDescent="0.2">
      <c r="B131" s="178" t="s">
        <v>440</v>
      </c>
      <c r="C131" s="214" t="str">
        <f>IFERROR(C130/(1-E23*(1-E24))," - ")</f>
        <v xml:space="preserve"> - </v>
      </c>
    </row>
    <row r="132" spans="2:10" x14ac:dyDescent="0.2">
      <c r="B132" s="178" t="s">
        <v>441</v>
      </c>
      <c r="C132" s="214" t="str">
        <f>IFERROR(C131-C130," - ")</f>
        <v xml:space="preserve"> - </v>
      </c>
    </row>
    <row r="133" spans="2:10" x14ac:dyDescent="0.2">
      <c r="B133" s="178" t="s">
        <v>443</v>
      </c>
      <c r="C133" s="214" t="str">
        <f>IFERROR(C132*(1-E22)," - ")</f>
        <v xml:space="preserve"> - </v>
      </c>
    </row>
    <row r="134" spans="2:10" x14ac:dyDescent="0.2">
      <c r="B134" s="178" t="s">
        <v>445</v>
      </c>
      <c r="C134" s="214" t="str">
        <f>IFERROR(C129+C133," - ")</f>
        <v xml:space="preserve"> - </v>
      </c>
    </row>
    <row r="136" spans="2:10" s="294" customFormat="1" ht="26.25" customHeight="1" x14ac:dyDescent="0.2">
      <c r="B136" s="292" t="s">
        <v>490</v>
      </c>
      <c r="C136" s="183" t="s">
        <v>670</v>
      </c>
      <c r="D136" s="213" t="s">
        <v>438</v>
      </c>
      <c r="E136" s="213" t="s">
        <v>443</v>
      </c>
      <c r="F136" s="213" t="s">
        <v>101</v>
      </c>
      <c r="G136" s="213" t="s">
        <v>447</v>
      </c>
      <c r="H136" s="183" t="s">
        <v>558</v>
      </c>
      <c r="I136" s="293" t="s">
        <v>545</v>
      </c>
      <c r="J136" s="293" t="s">
        <v>546</v>
      </c>
    </row>
    <row r="137" spans="2:10" x14ac:dyDescent="0.2">
      <c r="B137" s="123" t="s">
        <v>571</v>
      </c>
      <c r="C137" s="121">
        <f>IF(Cover!$C$23="Scheme pipeline",'3.2 Regulatory Asset Base'!$H$78*'6. Pricing template'!C21,C92+'3.1 Depreciated Book Value'!$D$80*'6. Pricing template'!C21)</f>
        <v>605583654.35245597</v>
      </c>
      <c r="D137" s="214" t="str">
        <f t="shared" ref="D137:D146" si="14">$C$129</f>
        <v xml:space="preserve"> - </v>
      </c>
      <c r="E137" s="214" t="str">
        <f t="shared" ref="E137:E146" si="15">$C$133</f>
        <v xml:space="preserve"> - </v>
      </c>
      <c r="F137" s="121" t="str">
        <f t="shared" ref="F137:F146" si="16">IFERROR(C137*D137, " -")</f>
        <v xml:space="preserve"> -</v>
      </c>
      <c r="G137" s="121" t="str">
        <f t="shared" ref="G137:G146" si="17">IFERROR(C137*E137, " -")</f>
        <v xml:space="preserve"> -</v>
      </c>
      <c r="H137" s="180">
        <f>INDEX('5. Historical demand'!$C$26:$C$35,MATCH(B137,'5. Historical demand'!$B$26:$B$35,0),1)*(Yearending-Yearstart)</f>
        <v>123986.54263013699</v>
      </c>
      <c r="I137" s="212" t="str">
        <f>IFERROR(F137/(H137*1000)," - ")</f>
        <v xml:space="preserve"> - </v>
      </c>
      <c r="J137" s="212" t="str">
        <f>IFERROR(G137/(H137*1000)," - ")</f>
        <v xml:space="preserve"> - </v>
      </c>
    </row>
    <row r="138" spans="2:10" x14ac:dyDescent="0.2">
      <c r="B138" s="123" t="s">
        <v>661</v>
      </c>
      <c r="C138" s="121">
        <f>IF(Cover!$C$23="Scheme pipeline",'3.2 Regulatory Asset Base'!$H$78*'6. Pricing template'!C22,C93+'3.1 Depreciated Book Value'!$D$80*'6. Pricing template'!C22)</f>
        <v>0</v>
      </c>
      <c r="D138" s="214" t="str">
        <f t="shared" si="14"/>
        <v xml:space="preserve"> - </v>
      </c>
      <c r="E138" s="214" t="str">
        <f t="shared" si="15"/>
        <v xml:space="preserve"> - </v>
      </c>
      <c r="F138" s="121" t="str">
        <f t="shared" si="16"/>
        <v xml:space="preserve"> -</v>
      </c>
      <c r="G138" s="121" t="str">
        <f t="shared" si="17"/>
        <v xml:space="preserve"> -</v>
      </c>
      <c r="H138" s="180">
        <f>INDEX('5. Historical demand'!$C$26:$C$35,MATCH(B138,'5. Historical demand'!$B$26:$B$35,0),1)*(Yearending-Yearstart)</f>
        <v>0</v>
      </c>
      <c r="I138" s="212" t="str">
        <f t="shared" ref="I138:I146" si="18">IFERROR(F138/(H138*1000)," - ")</f>
        <v xml:space="preserve"> - </v>
      </c>
      <c r="J138" s="212" t="str">
        <f t="shared" ref="J138:J146" si="19">IFERROR(G138/(H138*1000)," - ")</f>
        <v xml:space="preserve"> - </v>
      </c>
    </row>
    <row r="139" spans="2:10" x14ac:dyDescent="0.2">
      <c r="B139" s="123" t="s">
        <v>573</v>
      </c>
      <c r="C139" s="121">
        <f>IF(Cover!$C$23="Scheme pipeline",'3.2 Regulatory Asset Base'!$H$78*'6. Pricing template'!C23,C94+'3.1 Depreciated Book Value'!$D$80*'6. Pricing template'!C23)</f>
        <v>2539577.0324189584</v>
      </c>
      <c r="D139" s="214" t="str">
        <f t="shared" si="14"/>
        <v xml:space="preserve"> - </v>
      </c>
      <c r="E139" s="214" t="str">
        <f t="shared" si="15"/>
        <v xml:space="preserve"> - </v>
      </c>
      <c r="F139" s="121" t="str">
        <f t="shared" si="16"/>
        <v xml:space="preserve"> -</v>
      </c>
      <c r="G139" s="121" t="str">
        <f t="shared" si="17"/>
        <v xml:space="preserve"> -</v>
      </c>
      <c r="H139" s="180">
        <f>INDEX('5. Historical demand'!$C$26:$C$35,MATCH(B139,'5. Historical demand'!$B$26:$B$35,0),1)*(Yearending-Yearstart)</f>
        <v>0</v>
      </c>
      <c r="I139" s="212" t="str">
        <f t="shared" si="18"/>
        <v xml:space="preserve"> - </v>
      </c>
      <c r="J139" s="212" t="str">
        <f t="shared" si="19"/>
        <v xml:space="preserve"> - </v>
      </c>
    </row>
    <row r="140" spans="2:10" x14ac:dyDescent="0.2">
      <c r="B140" s="123" t="s">
        <v>574</v>
      </c>
      <c r="C140" s="121">
        <f>IF(Cover!$C$23="Scheme pipeline",'3.2 Regulatory Asset Base'!$H$78*'6. Pricing template'!C24,C95+'3.1 Depreciated Book Value'!$D$80*'6. Pricing template'!C24)</f>
        <v>0</v>
      </c>
      <c r="D140" s="214" t="str">
        <f t="shared" si="14"/>
        <v xml:space="preserve"> - </v>
      </c>
      <c r="E140" s="214" t="str">
        <f t="shared" si="15"/>
        <v xml:space="preserve"> - </v>
      </c>
      <c r="F140" s="121" t="str">
        <f t="shared" si="16"/>
        <v xml:space="preserve"> -</v>
      </c>
      <c r="G140" s="121" t="str">
        <f t="shared" si="17"/>
        <v xml:space="preserve"> -</v>
      </c>
      <c r="H140" s="180">
        <f>INDEX('5. Historical demand'!$C$26:$C$35,MATCH(B140,'5. Historical demand'!$B$26:$B$35,0),1)*(Yearending-Yearstart)</f>
        <v>0</v>
      </c>
      <c r="I140" s="212" t="str">
        <f t="shared" si="18"/>
        <v xml:space="preserve"> - </v>
      </c>
      <c r="J140" s="212" t="str">
        <f t="shared" si="19"/>
        <v xml:space="preserve"> - </v>
      </c>
    </row>
    <row r="141" spans="2:10" x14ac:dyDescent="0.2">
      <c r="B141" s="205" t="s">
        <v>575</v>
      </c>
      <c r="C141" s="121">
        <f>IF(Cover!$C$23="Scheme pipeline",'3.2 Regulatory Asset Base'!$H$78*'6. Pricing template'!C25,C96+'3.1 Depreciated Book Value'!$D$80*'6. Pricing template'!C25)</f>
        <v>0</v>
      </c>
      <c r="D141" s="214" t="str">
        <f t="shared" si="14"/>
        <v xml:space="preserve"> - </v>
      </c>
      <c r="E141" s="214" t="str">
        <f t="shared" si="15"/>
        <v xml:space="preserve"> - </v>
      </c>
      <c r="F141" s="121" t="str">
        <f t="shared" si="16"/>
        <v xml:space="preserve"> -</v>
      </c>
      <c r="G141" s="121" t="str">
        <f t="shared" si="17"/>
        <v xml:space="preserve"> -</v>
      </c>
      <c r="H141" s="180">
        <f>INDEX('5. Historical demand'!$C$26:$C$35,MATCH(B141,'5. Historical demand'!$B$26:$B$35,0),1)*(Yearending-Yearstart)</f>
        <v>0</v>
      </c>
      <c r="I141" s="212" t="str">
        <f t="shared" si="18"/>
        <v xml:space="preserve"> - </v>
      </c>
      <c r="J141" s="212" t="str">
        <f t="shared" si="19"/>
        <v xml:space="preserve"> - </v>
      </c>
    </row>
    <row r="142" spans="2:10" x14ac:dyDescent="0.2">
      <c r="B142" s="123" t="s">
        <v>662</v>
      </c>
      <c r="C142" s="121">
        <f>IF(Cover!$C$23="Scheme pipeline",'3.2 Regulatory Asset Base'!$H$78*'6. Pricing template'!C26,C97+'3.1 Depreciated Book Value'!$D$80*'6. Pricing template'!C26)</f>
        <v>39364709.16563759</v>
      </c>
      <c r="D142" s="214" t="str">
        <f t="shared" si="14"/>
        <v xml:space="preserve"> - </v>
      </c>
      <c r="E142" s="214" t="str">
        <f t="shared" si="15"/>
        <v xml:space="preserve"> - </v>
      </c>
      <c r="F142" s="121" t="str">
        <f t="shared" si="16"/>
        <v xml:space="preserve"> -</v>
      </c>
      <c r="G142" s="121" t="str">
        <f t="shared" si="17"/>
        <v xml:space="preserve"> -</v>
      </c>
      <c r="H142" s="180">
        <f>INDEX('5. Historical demand'!$C$26:$C$35,MATCH(B142,'5. Historical demand'!$B$26:$B$35,0),1)*(Yearending-Yearstart)</f>
        <v>0</v>
      </c>
      <c r="I142" s="212" t="str">
        <f t="shared" si="18"/>
        <v xml:space="preserve"> - </v>
      </c>
      <c r="J142" s="212" t="str">
        <f t="shared" si="19"/>
        <v xml:space="preserve"> - </v>
      </c>
    </row>
    <row r="143" spans="2:10" x14ac:dyDescent="0.2">
      <c r="B143" s="123" t="s">
        <v>577</v>
      </c>
      <c r="C143" s="121">
        <f>IF(Cover!$C$23="Scheme pipeline",'3.2 Regulatory Asset Base'!$H$78*'6. Pricing template'!C27,C98+'3.1 Depreciated Book Value'!$D$80*'6. Pricing template'!C27)</f>
        <v>4468492.280279479</v>
      </c>
      <c r="D143" s="214" t="str">
        <f t="shared" si="14"/>
        <v xml:space="preserve"> - </v>
      </c>
      <c r="E143" s="214" t="str">
        <f t="shared" si="15"/>
        <v xml:space="preserve"> - </v>
      </c>
      <c r="F143" s="121" t="str">
        <f t="shared" si="16"/>
        <v xml:space="preserve"> -</v>
      </c>
      <c r="G143" s="121" t="str">
        <f t="shared" si="17"/>
        <v xml:space="preserve"> -</v>
      </c>
      <c r="H143" s="180">
        <f>INDEX('5. Historical demand'!$C$26:$C$35,MATCH(B143,'5. Historical demand'!$B$26:$B$35,0),1)*(Yearending-Yearstart)</f>
        <v>0</v>
      </c>
      <c r="I143" s="212" t="str">
        <f t="shared" si="18"/>
        <v xml:space="preserve"> - </v>
      </c>
      <c r="J143" s="212" t="str">
        <f t="shared" si="19"/>
        <v xml:space="preserve"> - </v>
      </c>
    </row>
    <row r="144" spans="2:10" x14ac:dyDescent="0.2">
      <c r="B144" s="123" t="s">
        <v>578</v>
      </c>
      <c r="C144" s="121">
        <f>IF(Cover!$C$23="Scheme pipeline",'3.2 Regulatory Asset Base'!$H$78*'6. Pricing template'!C28,C99+'3.1 Depreciated Book Value'!$D$80*'6. Pricing template'!C28)</f>
        <v>507138.18080489716</v>
      </c>
      <c r="D144" s="214" t="str">
        <f t="shared" si="14"/>
        <v xml:space="preserve"> - </v>
      </c>
      <c r="E144" s="214" t="str">
        <f t="shared" si="15"/>
        <v xml:space="preserve"> - </v>
      </c>
      <c r="F144" s="121" t="str">
        <f t="shared" si="16"/>
        <v xml:space="preserve"> -</v>
      </c>
      <c r="G144" s="121" t="str">
        <f t="shared" si="17"/>
        <v xml:space="preserve"> -</v>
      </c>
      <c r="H144" s="180">
        <f>INDEX('5. Historical demand'!$C$26:$C$35,MATCH(B144,'5. Historical demand'!$B$26:$B$35,0),1)*(Yearending-Yearstart)</f>
        <v>0</v>
      </c>
      <c r="I144" s="212" t="str">
        <f t="shared" si="18"/>
        <v xml:space="preserve"> - </v>
      </c>
      <c r="J144" s="212" t="str">
        <f t="shared" si="19"/>
        <v xml:space="preserve"> - </v>
      </c>
    </row>
    <row r="145" spans="2:10" x14ac:dyDescent="0.2">
      <c r="B145" s="123" t="s">
        <v>579</v>
      </c>
      <c r="C145" s="121">
        <f>IF(Cover!$C$23="Scheme pipeline",'3.2 Regulatory Asset Base'!$H$78*'6. Pricing template'!C29,C100+'3.1 Depreciated Book Value'!$D$80*'6. Pricing template'!C29)</f>
        <v>592943.45732919266</v>
      </c>
      <c r="D145" s="214" t="str">
        <f t="shared" si="14"/>
        <v xml:space="preserve"> - </v>
      </c>
      <c r="E145" s="214" t="str">
        <f t="shared" si="15"/>
        <v xml:space="preserve"> - </v>
      </c>
      <c r="F145" s="121" t="str">
        <f t="shared" si="16"/>
        <v xml:space="preserve"> -</v>
      </c>
      <c r="G145" s="121" t="str">
        <f t="shared" si="17"/>
        <v xml:space="preserve"> -</v>
      </c>
      <c r="H145" s="180">
        <f>INDEX('5. Historical demand'!$C$26:$C$35,MATCH(B145,'5. Historical demand'!$B$26:$B$35,0),1)*(Yearending-Yearstart)</f>
        <v>0</v>
      </c>
      <c r="I145" s="212" t="str">
        <f t="shared" si="18"/>
        <v xml:space="preserve"> - </v>
      </c>
      <c r="J145" s="212" t="str">
        <f t="shared" si="19"/>
        <v xml:space="preserve"> - </v>
      </c>
    </row>
    <row r="146" spans="2:10" x14ac:dyDescent="0.2">
      <c r="B146" s="123" t="s">
        <v>519</v>
      </c>
      <c r="C146" s="121">
        <f>IF(Cover!$C$23="Scheme pipeline",'3.2 Regulatory Asset Base'!$H$78*'6. Pricing template'!C30,C101+'3.1 Depreciated Book Value'!$D$80*'6. Pricing template'!C30)</f>
        <v>11470822.652542925</v>
      </c>
      <c r="D146" s="214" t="str">
        <f t="shared" si="14"/>
        <v xml:space="preserve"> - </v>
      </c>
      <c r="E146" s="214" t="str">
        <f t="shared" si="15"/>
        <v xml:space="preserve"> - </v>
      </c>
      <c r="F146" s="121" t="str">
        <f t="shared" si="16"/>
        <v xml:space="preserve"> -</v>
      </c>
      <c r="G146" s="121" t="str">
        <f t="shared" si="17"/>
        <v xml:space="preserve"> -</v>
      </c>
      <c r="H146" s="180">
        <f>INDEX('5. Historical demand'!$C$26:$C$35,MATCH(B146,'5. Historical demand'!$B$26:$B$35,0),1)*(Yearending-Yearstart)</f>
        <v>0</v>
      </c>
      <c r="I146" s="212" t="str">
        <f t="shared" si="18"/>
        <v xml:space="preserve"> - </v>
      </c>
      <c r="J146" s="212" t="str">
        <f t="shared" si="19"/>
        <v xml:space="preserve"> - </v>
      </c>
    </row>
    <row r="148" spans="2:10" s="294" customFormat="1" ht="25.5" customHeight="1" x14ac:dyDescent="0.2">
      <c r="B148" s="292" t="s">
        <v>673</v>
      </c>
      <c r="C148" s="183" t="s">
        <v>670</v>
      </c>
      <c r="D148" s="213" t="s">
        <v>455</v>
      </c>
      <c r="E148" s="213" t="s">
        <v>443</v>
      </c>
      <c r="F148" s="213" t="s">
        <v>101</v>
      </c>
      <c r="G148" s="213" t="s">
        <v>447</v>
      </c>
      <c r="H148" s="183" t="s">
        <v>558</v>
      </c>
      <c r="I148" s="293" t="s">
        <v>545</v>
      </c>
      <c r="J148" s="293" t="s">
        <v>546</v>
      </c>
    </row>
    <row r="149" spans="2:10" x14ac:dyDescent="0.2">
      <c r="B149" s="123" t="s">
        <v>571</v>
      </c>
      <c r="C149" s="121">
        <f>IF(Cover!$C$23="Scheme pipeline",'3.2 Regulatory Asset Base'!$H$78*'6. Pricing template'!C21,C92+'3.1 Depreciated Book Value'!$D$80*'6. Pricing template'!C21)</f>
        <v>605583654.35245597</v>
      </c>
      <c r="D149" s="214">
        <f t="shared" ref="D149:D158" si="20">IF($E$25=0," - ",$E$25)</f>
        <v>4.99E-2</v>
      </c>
      <c r="E149" s="214">
        <f t="shared" ref="E149:E158" si="21">IFERROR((($E$25-$E$21*$E$22)/(1-$E$22)/(1-$E$23*(1-$E$24))-($E$25-$E$21*$E$22)/(1-$E$22))*(1-$E$22)," - ")</f>
        <v>3.4271641791044751E-3</v>
      </c>
      <c r="F149" s="121">
        <f t="shared" ref="F149:F158" si="22">IFERROR(C149*D149, " -")</f>
        <v>30218624.352187552</v>
      </c>
      <c r="G149" s="121">
        <f t="shared" ref="G149:G158" si="23">IFERROR(C149*E149, " -")</f>
        <v>2075434.6076479231</v>
      </c>
      <c r="H149" s="180">
        <f>INDEX('5. Historical demand'!$C$26:$C$35,MATCH(B149,'5. Historical demand'!$B$26:$B$35,0),1)*(Yearending-Yearstart)</f>
        <v>123986.54263013699</v>
      </c>
      <c r="I149" s="212">
        <f>IFERROR(F149/(H149*1000)," - ")</f>
        <v>0.24372503427515055</v>
      </c>
      <c r="J149" s="212">
        <f>IFERROR(G149/(H149*1000)," - ")</f>
        <v>1.6739192525426983E-2</v>
      </c>
    </row>
    <row r="150" spans="2:10" x14ac:dyDescent="0.2">
      <c r="B150" s="123" t="s">
        <v>661</v>
      </c>
      <c r="C150" s="121">
        <f>IF(Cover!$C$23="Scheme pipeline",'3.2 Regulatory Asset Base'!$H$78*'6. Pricing template'!C22,C93+'3.1 Depreciated Book Value'!$D$80*'6. Pricing template'!C22)</f>
        <v>0</v>
      </c>
      <c r="D150" s="214">
        <f t="shared" si="20"/>
        <v>4.99E-2</v>
      </c>
      <c r="E150" s="214">
        <f t="shared" si="21"/>
        <v>3.4271641791044751E-3</v>
      </c>
      <c r="F150" s="121">
        <f t="shared" si="22"/>
        <v>0</v>
      </c>
      <c r="G150" s="121">
        <f t="shared" si="23"/>
        <v>0</v>
      </c>
      <c r="H150" s="180">
        <f>INDEX('5. Historical demand'!$C$26:$C$35,MATCH(B150,'5. Historical demand'!$B$26:$B$35,0),1)*(Yearending-Yearstart)</f>
        <v>0</v>
      </c>
      <c r="I150" s="212" t="str">
        <f t="shared" ref="I150:I158" si="24">IFERROR(F150/(H150*1000)," - ")</f>
        <v xml:space="preserve"> - </v>
      </c>
      <c r="J150" s="212" t="str">
        <f t="shared" ref="J150:J158" si="25">IFERROR(G150/(H150*1000)," - ")</f>
        <v xml:space="preserve"> - </v>
      </c>
    </row>
    <row r="151" spans="2:10" x14ac:dyDescent="0.2">
      <c r="B151" s="123" t="s">
        <v>573</v>
      </c>
      <c r="C151" s="121">
        <f>IF(Cover!$C$23="Scheme pipeline",'3.2 Regulatory Asset Base'!$H$78*'6. Pricing template'!C23,C94+'3.1 Depreciated Book Value'!$D$80*'6. Pricing template'!C23)</f>
        <v>2539577.0324189584</v>
      </c>
      <c r="D151" s="214">
        <f t="shared" si="20"/>
        <v>4.99E-2</v>
      </c>
      <c r="E151" s="214">
        <f t="shared" si="21"/>
        <v>3.4271641791044751E-3</v>
      </c>
      <c r="F151" s="121">
        <f t="shared" si="22"/>
        <v>126724.89391770602</v>
      </c>
      <c r="G151" s="121">
        <f t="shared" si="23"/>
        <v>8703.5474355826991</v>
      </c>
      <c r="H151" s="180">
        <f>INDEX('5. Historical demand'!$C$26:$C$35,MATCH(B151,'5. Historical demand'!$B$26:$B$35,0),1)*(Yearending-Yearstart)</f>
        <v>0</v>
      </c>
      <c r="I151" s="212" t="str">
        <f t="shared" si="24"/>
        <v xml:space="preserve"> - </v>
      </c>
      <c r="J151" s="212" t="str">
        <f t="shared" si="25"/>
        <v xml:space="preserve"> - </v>
      </c>
    </row>
    <row r="152" spans="2:10" x14ac:dyDescent="0.2">
      <c r="B152" s="123" t="s">
        <v>574</v>
      </c>
      <c r="C152" s="121">
        <f>IF(Cover!$C$23="Scheme pipeline",'3.2 Regulatory Asset Base'!$H$78*'6. Pricing template'!C24,C95+'3.1 Depreciated Book Value'!$D$80*'6. Pricing template'!C24)</f>
        <v>0</v>
      </c>
      <c r="D152" s="214">
        <f t="shared" si="20"/>
        <v>4.99E-2</v>
      </c>
      <c r="E152" s="214">
        <f t="shared" si="21"/>
        <v>3.4271641791044751E-3</v>
      </c>
      <c r="F152" s="121">
        <f t="shared" si="22"/>
        <v>0</v>
      </c>
      <c r="G152" s="121">
        <f t="shared" si="23"/>
        <v>0</v>
      </c>
      <c r="H152" s="180">
        <f>INDEX('5. Historical demand'!$C$26:$C$35,MATCH(B152,'5. Historical demand'!$B$26:$B$35,0),1)*(Yearending-Yearstart)</f>
        <v>0</v>
      </c>
      <c r="I152" s="212" t="str">
        <f t="shared" si="24"/>
        <v xml:space="preserve"> - </v>
      </c>
      <c r="J152" s="212" t="str">
        <f t="shared" si="25"/>
        <v xml:space="preserve"> - </v>
      </c>
    </row>
    <row r="153" spans="2:10" x14ac:dyDescent="0.2">
      <c r="B153" s="205" t="s">
        <v>575</v>
      </c>
      <c r="C153" s="121">
        <f>IF(Cover!$C$23="Scheme pipeline",'3.2 Regulatory Asset Base'!$H$78*'6. Pricing template'!C25,C96+'3.1 Depreciated Book Value'!$D$80*'6. Pricing template'!C25)</f>
        <v>0</v>
      </c>
      <c r="D153" s="214">
        <f t="shared" si="20"/>
        <v>4.99E-2</v>
      </c>
      <c r="E153" s="214">
        <f t="shared" si="21"/>
        <v>3.4271641791044751E-3</v>
      </c>
      <c r="F153" s="121">
        <f t="shared" si="22"/>
        <v>0</v>
      </c>
      <c r="G153" s="121">
        <f t="shared" si="23"/>
        <v>0</v>
      </c>
      <c r="H153" s="180">
        <f>INDEX('5. Historical demand'!$C$26:$C$35,MATCH(B153,'5. Historical demand'!$B$26:$B$35,0),1)*(Yearending-Yearstart)</f>
        <v>0</v>
      </c>
      <c r="I153" s="212" t="str">
        <f t="shared" si="24"/>
        <v xml:space="preserve"> - </v>
      </c>
      <c r="J153" s="212" t="str">
        <f t="shared" si="25"/>
        <v xml:space="preserve"> - </v>
      </c>
    </row>
    <row r="154" spans="2:10" x14ac:dyDescent="0.2">
      <c r="B154" s="123" t="s">
        <v>662</v>
      </c>
      <c r="C154" s="121">
        <f>IF(Cover!$C$23="Scheme pipeline",'3.2 Regulatory Asset Base'!$H$78*'6. Pricing template'!C26,C97+'3.1 Depreciated Book Value'!$D$80*'6. Pricing template'!C26)</f>
        <v>39364709.16563759</v>
      </c>
      <c r="D154" s="214">
        <f t="shared" si="20"/>
        <v>4.99E-2</v>
      </c>
      <c r="E154" s="214">
        <f t="shared" si="21"/>
        <v>3.4271641791044751E-3</v>
      </c>
      <c r="F154" s="121">
        <f t="shared" si="22"/>
        <v>1964298.9873653157</v>
      </c>
      <c r="G154" s="121">
        <f t="shared" si="23"/>
        <v>134909.32117333874</v>
      </c>
      <c r="H154" s="180">
        <f>INDEX('5. Historical demand'!$C$26:$C$35,MATCH(B154,'5. Historical demand'!$B$26:$B$35,0),1)*(Yearending-Yearstart)</f>
        <v>0</v>
      </c>
      <c r="I154" s="212" t="str">
        <f t="shared" si="24"/>
        <v xml:space="preserve"> - </v>
      </c>
      <c r="J154" s="212" t="str">
        <f t="shared" si="25"/>
        <v xml:space="preserve"> - </v>
      </c>
    </row>
    <row r="155" spans="2:10" x14ac:dyDescent="0.2">
      <c r="B155" s="123" t="s">
        <v>577</v>
      </c>
      <c r="C155" s="121">
        <f>IF(Cover!$C$23="Scheme pipeline",'3.2 Regulatory Asset Base'!$H$78*'6. Pricing template'!C27,C98+'3.1 Depreciated Book Value'!$D$80*'6. Pricing template'!C27)</f>
        <v>4468492.280279479</v>
      </c>
      <c r="D155" s="214">
        <f t="shared" si="20"/>
        <v>4.99E-2</v>
      </c>
      <c r="E155" s="214">
        <f t="shared" si="21"/>
        <v>3.4271641791044751E-3</v>
      </c>
      <c r="F155" s="121">
        <f t="shared" si="22"/>
        <v>222977.764785946</v>
      </c>
      <c r="G155" s="121">
        <f t="shared" si="23"/>
        <v>15314.256677578705</v>
      </c>
      <c r="H155" s="180">
        <f>INDEX('5. Historical demand'!$C$26:$C$35,MATCH(B155,'5. Historical demand'!$B$26:$B$35,0),1)*(Yearending-Yearstart)</f>
        <v>0</v>
      </c>
      <c r="I155" s="212" t="str">
        <f t="shared" si="24"/>
        <v xml:space="preserve"> - </v>
      </c>
      <c r="J155" s="212" t="str">
        <f t="shared" si="25"/>
        <v xml:space="preserve"> - </v>
      </c>
    </row>
    <row r="156" spans="2:10" x14ac:dyDescent="0.2">
      <c r="B156" s="123" t="s">
        <v>578</v>
      </c>
      <c r="C156" s="121">
        <f>IF(Cover!$C$23="Scheme pipeline",'3.2 Regulatory Asset Base'!$H$78*'6. Pricing template'!C28,C99+'3.1 Depreciated Book Value'!$D$80*'6. Pricing template'!C28)</f>
        <v>507138.18080489716</v>
      </c>
      <c r="D156" s="214">
        <f t="shared" si="20"/>
        <v>4.99E-2</v>
      </c>
      <c r="E156" s="214">
        <f t="shared" si="21"/>
        <v>3.4271641791044751E-3</v>
      </c>
      <c r="F156" s="121">
        <f t="shared" si="22"/>
        <v>25306.19522216437</v>
      </c>
      <c r="G156" s="121">
        <f t="shared" si="23"/>
        <v>1738.0458071107523</v>
      </c>
      <c r="H156" s="180">
        <f>INDEX('5. Historical demand'!$C$26:$C$35,MATCH(B156,'5. Historical demand'!$B$26:$B$35,0),1)*(Yearending-Yearstart)</f>
        <v>0</v>
      </c>
      <c r="I156" s="212" t="str">
        <f t="shared" si="24"/>
        <v xml:space="preserve"> - </v>
      </c>
      <c r="J156" s="212" t="str">
        <f t="shared" si="25"/>
        <v xml:space="preserve"> - </v>
      </c>
    </row>
    <row r="157" spans="2:10" x14ac:dyDescent="0.2">
      <c r="B157" s="123" t="s">
        <v>579</v>
      </c>
      <c r="C157" s="121">
        <f>IF(Cover!$C$23="Scheme pipeline",'3.2 Regulatory Asset Base'!$H$78*'6. Pricing template'!C29,C100+'3.1 Depreciated Book Value'!$D$80*'6. Pricing template'!C29)</f>
        <v>592943.45732919266</v>
      </c>
      <c r="D157" s="214">
        <f t="shared" si="20"/>
        <v>4.99E-2</v>
      </c>
      <c r="E157" s="214">
        <f t="shared" si="21"/>
        <v>3.4271641791044751E-3</v>
      </c>
      <c r="F157" s="121">
        <f t="shared" si="22"/>
        <v>29587.878520726714</v>
      </c>
      <c r="G157" s="121">
        <f t="shared" si="23"/>
        <v>2032.1145771929719</v>
      </c>
      <c r="H157" s="180">
        <f>INDEX('5. Historical demand'!$C$26:$C$35,MATCH(B157,'5. Historical demand'!$B$26:$B$35,0),1)*(Yearending-Yearstart)</f>
        <v>0</v>
      </c>
      <c r="I157" s="212" t="str">
        <f t="shared" si="24"/>
        <v xml:space="preserve"> - </v>
      </c>
      <c r="J157" s="212" t="str">
        <f t="shared" si="25"/>
        <v xml:space="preserve"> - </v>
      </c>
    </row>
    <row r="158" spans="2:10" x14ac:dyDescent="0.2">
      <c r="B158" s="123" t="s">
        <v>519</v>
      </c>
      <c r="C158" s="121">
        <f>IF(Cover!$C$23="Scheme pipeline",'3.2 Regulatory Asset Base'!$H$78*'6. Pricing template'!C30,C101+'3.1 Depreciated Book Value'!$D$80*'6. Pricing template'!C30)</f>
        <v>11470822.652542925</v>
      </c>
      <c r="D158" s="214">
        <f t="shared" si="20"/>
        <v>4.99E-2</v>
      </c>
      <c r="E158" s="214">
        <f t="shared" si="21"/>
        <v>3.4271641791044751E-3</v>
      </c>
      <c r="F158" s="121">
        <f t="shared" si="22"/>
        <v>572394.05036189198</v>
      </c>
      <c r="G158" s="121">
        <f t="shared" si="23"/>
        <v>39312.392499655289</v>
      </c>
      <c r="H158" s="180">
        <f>INDEX('5. Historical demand'!$C$26:$C$35,MATCH(B158,'5. Historical demand'!$B$26:$B$35,0),1)*(Yearending-Yearstart)</f>
        <v>0</v>
      </c>
      <c r="I158" s="212" t="str">
        <f t="shared" si="24"/>
        <v xml:space="preserve"> - </v>
      </c>
      <c r="J158" s="212" t="str">
        <f t="shared" si="25"/>
        <v xml:space="preserve"> - </v>
      </c>
    </row>
    <row r="188" ht="27" customHeight="1" x14ac:dyDescent="0.2"/>
    <row r="195" ht="31.9" customHeight="1" x14ac:dyDescent="0.2"/>
  </sheetData>
  <sheetProtection sheet="1"/>
  <mergeCells count="36">
    <mergeCell ref="B47:B48"/>
    <mergeCell ref="H39:H40"/>
    <mergeCell ref="H55:H56"/>
    <mergeCell ref="H53:H54"/>
    <mergeCell ref="H37:H38"/>
    <mergeCell ref="H41:H42"/>
    <mergeCell ref="H43:H44"/>
    <mergeCell ref="H45:H46"/>
    <mergeCell ref="H47:H48"/>
    <mergeCell ref="B43:B44"/>
    <mergeCell ref="B49:B50"/>
    <mergeCell ref="B51:B52"/>
    <mergeCell ref="H49:H50"/>
    <mergeCell ref="H51:H52"/>
    <mergeCell ref="B18:C18"/>
    <mergeCell ref="D18:E18"/>
    <mergeCell ref="B37:B38"/>
    <mergeCell ref="B39:B40"/>
    <mergeCell ref="B41:B42"/>
    <mergeCell ref="D19:D20"/>
    <mergeCell ref="B7:D13"/>
    <mergeCell ref="J62:K62"/>
    <mergeCell ref="H61:K61"/>
    <mergeCell ref="E61:G61"/>
    <mergeCell ref="E62:E63"/>
    <mergeCell ref="F62:F63"/>
    <mergeCell ref="G62:G63"/>
    <mergeCell ref="B19:B20"/>
    <mergeCell ref="E19:E20"/>
    <mergeCell ref="B45:B46"/>
    <mergeCell ref="H62:I62"/>
    <mergeCell ref="C62:C63"/>
    <mergeCell ref="D62:D63"/>
    <mergeCell ref="B53:B54"/>
    <mergeCell ref="C61:D61"/>
    <mergeCell ref="B55:B56"/>
  </mergeCells>
  <conditionalFormatting sqref="C31">
    <cfRule type="cellIs" dxfId="1" priority="1" stopIfTrue="1" operator="lessThan">
      <formula>1</formula>
    </cfRule>
    <cfRule type="cellIs" dxfId="0" priority="2" stopIfTrue="1" operator="greaterThan">
      <formula>1</formula>
    </cfRule>
  </conditionalFormatting>
  <pageMargins left="0.7" right="0.7" top="0.75" bottom="0.75" header="0.3" footer="0.3"/>
  <pageSetup paperSize="9" orientation="portrait" r:id="rId1"/>
  <headerFooter>
    <oddFooter>&amp;C_x000D_&amp;1#&amp;"Aptos"&amp;10&amp;K008000 APA-INTERNAL</oddFooter>
  </headerFooter>
  <drawing r:id="rId2"/>
  <legacy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6027C-36DE-4E02-88A3-B2A531C45632}">
  <sheetPr>
    <tabColor rgb="FF17415D"/>
  </sheetPr>
  <dimension ref="A1:G4"/>
  <sheetViews>
    <sheetView zoomScaleNormal="100" workbookViewId="0"/>
  </sheetViews>
  <sheetFormatPr defaultColWidth="0" defaultRowHeight="12.75" x14ac:dyDescent="0.2"/>
  <cols>
    <col min="1" max="1" width="10.5703125" customWidth="1"/>
    <col min="2" max="2" width="22" bestFit="1" customWidth="1"/>
    <col min="3" max="3" width="22.7109375" bestFit="1" customWidth="1"/>
    <col min="4" max="4" width="56.5703125" bestFit="1" customWidth="1"/>
    <col min="5" max="5" width="22.7109375" bestFit="1" customWidth="1"/>
    <col min="6" max="6" width="45.7109375" bestFit="1" customWidth="1"/>
    <col min="7" max="7" width="70.5703125" bestFit="1" customWidth="1"/>
  </cols>
  <sheetData>
    <row r="1" spans="1:7" x14ac:dyDescent="0.2">
      <c r="A1" s="312" t="s">
        <v>135</v>
      </c>
      <c r="B1" s="313" t="s">
        <v>136</v>
      </c>
      <c r="C1" s="314" t="s">
        <v>137</v>
      </c>
      <c r="D1" s="313" t="s">
        <v>138</v>
      </c>
      <c r="E1" s="314" t="s">
        <v>164</v>
      </c>
      <c r="F1" s="314" t="s">
        <v>141</v>
      </c>
      <c r="G1" s="315" t="s">
        <v>142</v>
      </c>
    </row>
    <row r="2" spans="1:7" x14ac:dyDescent="0.2">
      <c r="A2" s="316">
        <v>45775</v>
      </c>
      <c r="B2">
        <v>1</v>
      </c>
      <c r="C2" s="15" t="s">
        <v>178</v>
      </c>
      <c r="E2" s="15" t="s">
        <v>689</v>
      </c>
      <c r="F2" s="15" t="s">
        <v>697</v>
      </c>
      <c r="G2" s="15" t="s">
        <v>694</v>
      </c>
    </row>
    <row r="3" spans="1:7" x14ac:dyDescent="0.2">
      <c r="A3" s="316">
        <v>45775</v>
      </c>
      <c r="B3">
        <v>2</v>
      </c>
      <c r="C3" s="15" t="s">
        <v>247</v>
      </c>
      <c r="D3" t="s">
        <v>112</v>
      </c>
      <c r="E3" s="15" t="s">
        <v>688</v>
      </c>
      <c r="F3" t="s">
        <v>690</v>
      </c>
      <c r="G3" t="s">
        <v>691</v>
      </c>
    </row>
    <row r="4" spans="1:7" x14ac:dyDescent="0.2">
      <c r="A4" s="316">
        <v>45775</v>
      </c>
      <c r="B4">
        <v>3</v>
      </c>
      <c r="C4" s="15" t="s">
        <v>148</v>
      </c>
      <c r="D4" t="s">
        <v>693</v>
      </c>
      <c r="E4" s="15" t="s">
        <v>695</v>
      </c>
      <c r="F4" t="s">
        <v>692</v>
      </c>
      <c r="G4" s="15" t="s">
        <v>696</v>
      </c>
    </row>
  </sheetData>
  <sheetProtection sheet="1"/>
  <pageMargins left="0.7" right="0.7" top="0.75" bottom="0.75" header="0.3" footer="0.3"/>
  <headerFooter>
    <oddFooter>&amp;C_x000D_&amp;1#&amp;"Aptos"&amp;10&amp;K008000 APA-INTERNAL</oddFooter>
  </headerFooter>
  <tableParts count="1">
    <tablePart r:id="rId1"/>
  </tablePart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DCADF-580B-457A-9A0A-FD7194D49000}">
  <sheetPr>
    <tabColor rgb="FF92D050"/>
  </sheetPr>
  <dimension ref="A1:R1289"/>
  <sheetViews>
    <sheetView showGridLines="0" topLeftCell="F1208" zoomScale="80" zoomScaleNormal="80" workbookViewId="0">
      <selection activeCell="P1270" sqref="P1270"/>
    </sheetView>
  </sheetViews>
  <sheetFormatPr defaultRowHeight="12.75" x14ac:dyDescent="0.2"/>
  <cols>
    <col min="1" max="1" width="22.42578125" style="324" customWidth="1"/>
    <col min="2" max="2" width="12.28515625" style="324" customWidth="1"/>
    <col min="3" max="3" width="45.5703125" style="324" customWidth="1"/>
    <col min="4" max="4" width="23.7109375" style="324" customWidth="1"/>
    <col min="5" max="5" width="12.7109375" style="324" customWidth="1"/>
    <col min="6" max="6" width="24.28515625" style="324" customWidth="1"/>
    <col min="7" max="7" width="12.28515625" style="324" customWidth="1"/>
    <col min="8" max="8" width="48.42578125" style="324" customWidth="1"/>
    <col min="9" max="9" width="15.42578125" style="324" customWidth="1"/>
    <col min="10" max="10" width="22" style="324" customWidth="1"/>
    <col min="11" max="11" width="15.7109375" style="324" customWidth="1"/>
    <col min="12" max="12" width="13.5703125" style="324" customWidth="1"/>
    <col min="13" max="13" width="17.7109375" style="324" customWidth="1"/>
    <col min="14" max="14" width="49.28515625" style="324" customWidth="1"/>
    <col min="15" max="15" width="27.42578125" style="324" customWidth="1"/>
    <col min="16" max="16" width="11.5703125" customWidth="1"/>
    <col min="17" max="17" width="47" style="324" customWidth="1"/>
    <col min="18" max="18" width="28.7109375" style="324" customWidth="1"/>
  </cols>
  <sheetData>
    <row r="1" spans="1:18" x14ac:dyDescent="0.2">
      <c r="A1" s="322" t="s">
        <v>700</v>
      </c>
      <c r="B1" s="323" t="s">
        <v>725</v>
      </c>
    </row>
    <row r="2" spans="1:18" x14ac:dyDescent="0.2">
      <c r="A2" s="322" t="s">
        <v>711</v>
      </c>
      <c r="B2" s="323" t="s">
        <v>979</v>
      </c>
    </row>
    <row r="3" spans="1:18" x14ac:dyDescent="0.2">
      <c r="A3" s="322" t="s">
        <v>702</v>
      </c>
      <c r="B3" s="323" t="s">
        <v>976</v>
      </c>
    </row>
    <row r="4" spans="1:18" x14ac:dyDescent="0.2">
      <c r="A4" s="322" t="s">
        <v>703</v>
      </c>
      <c r="B4" s="323" t="s">
        <v>704</v>
      </c>
    </row>
    <row r="5" spans="1:18" x14ac:dyDescent="0.2">
      <c r="A5" s="322" t="s">
        <v>58</v>
      </c>
      <c r="B5" s="323">
        <v>2025</v>
      </c>
    </row>
    <row r="6" spans="1:18" x14ac:dyDescent="0.2">
      <c r="A6" s="322" t="s">
        <v>705</v>
      </c>
      <c r="B6" s="323" t="s">
        <v>980</v>
      </c>
    </row>
    <row r="7" spans="1:18" x14ac:dyDescent="0.2">
      <c r="A7" s="322" t="s">
        <v>710</v>
      </c>
      <c r="B7" s="323" t="s">
        <v>977</v>
      </c>
    </row>
    <row r="8" spans="1:18" x14ac:dyDescent="0.2">
      <c r="A8" s="322" t="s">
        <v>726</v>
      </c>
      <c r="B8" s="323" t="s">
        <v>727</v>
      </c>
    </row>
    <row r="9" spans="1:18" x14ac:dyDescent="0.2">
      <c r="A9" s="325" t="s">
        <v>712</v>
      </c>
      <c r="B9" s="326">
        <v>45955</v>
      </c>
    </row>
    <row r="10" spans="1:18" x14ac:dyDescent="0.2">
      <c r="A10" s="317" t="s">
        <v>698</v>
      </c>
      <c r="B10" s="318" t="s">
        <v>699</v>
      </c>
    </row>
    <row r="11" spans="1:18" ht="13.5" thickBot="1" x14ac:dyDescent="0.25">
      <c r="A11" s="317"/>
      <c r="B11" s="318"/>
    </row>
    <row r="12" spans="1:18" ht="16.149999999999999" customHeight="1" x14ac:dyDescent="0.2">
      <c r="A12" s="340" t="s">
        <v>728</v>
      </c>
      <c r="B12" s="341" t="s">
        <v>729</v>
      </c>
      <c r="C12" s="341" t="s">
        <v>702</v>
      </c>
      <c r="D12" s="341" t="s">
        <v>730</v>
      </c>
      <c r="E12" s="341" t="s">
        <v>731</v>
      </c>
      <c r="F12" s="341" t="s">
        <v>732</v>
      </c>
      <c r="G12" s="341" t="s">
        <v>733</v>
      </c>
      <c r="H12" s="341" t="s">
        <v>734</v>
      </c>
      <c r="I12" s="341" t="s">
        <v>735</v>
      </c>
      <c r="J12" s="341" t="s">
        <v>715</v>
      </c>
      <c r="K12" s="341" t="s">
        <v>736</v>
      </c>
      <c r="L12" s="341" t="s">
        <v>737</v>
      </c>
      <c r="M12" s="341" t="s">
        <v>738</v>
      </c>
      <c r="N12" s="341" t="s">
        <v>739</v>
      </c>
      <c r="O12" s="341" t="s">
        <v>740</v>
      </c>
      <c r="P12" s="342" t="s">
        <v>908</v>
      </c>
      <c r="Q12" s="341" t="s">
        <v>741</v>
      </c>
      <c r="R12" s="343" t="s">
        <v>742</v>
      </c>
    </row>
    <row r="13" spans="1:18" ht="16.149999999999999" customHeight="1" x14ac:dyDescent="0.2">
      <c r="A13" s="344" t="s">
        <v>760</v>
      </c>
      <c r="B13" t="s">
        <v>827</v>
      </c>
      <c r="C13" t="s">
        <v>823</v>
      </c>
      <c r="D13" t="s">
        <v>828</v>
      </c>
      <c r="E13" t="s">
        <v>829</v>
      </c>
      <c r="F13" t="s">
        <v>803</v>
      </c>
      <c r="G13" t="s">
        <v>830</v>
      </c>
      <c r="H13" t="s">
        <v>831</v>
      </c>
      <c r="I13" t="s">
        <v>832</v>
      </c>
      <c r="J13" t="s">
        <v>824</v>
      </c>
      <c r="K13"/>
      <c r="L13"/>
      <c r="M13" t="s">
        <v>833</v>
      </c>
      <c r="N13" t="s">
        <v>834</v>
      </c>
      <c r="O13"/>
      <c r="P13" t="e">
        <f>VLOOKUP(N13,#REF!,2,FALSE)</f>
        <v>#REF!</v>
      </c>
      <c r="Q13"/>
      <c r="R13" s="345">
        <v>-1241.69</v>
      </c>
    </row>
    <row r="14" spans="1:18" ht="16.149999999999999" customHeight="1" x14ac:dyDescent="0.2">
      <c r="A14" s="344" t="s">
        <v>758</v>
      </c>
      <c r="B14" t="s">
        <v>827</v>
      </c>
      <c r="C14" t="s">
        <v>823</v>
      </c>
      <c r="D14" t="s">
        <v>744</v>
      </c>
      <c r="E14" t="s">
        <v>829</v>
      </c>
      <c r="F14" t="s">
        <v>803</v>
      </c>
      <c r="G14" t="s">
        <v>830</v>
      </c>
      <c r="H14" t="s">
        <v>831</v>
      </c>
      <c r="I14" t="s">
        <v>722</v>
      </c>
      <c r="J14" t="s">
        <v>721</v>
      </c>
      <c r="K14"/>
      <c r="L14"/>
      <c r="M14" t="s">
        <v>747</v>
      </c>
      <c r="N14" t="s">
        <v>748</v>
      </c>
      <c r="O14"/>
      <c r="P14" t="e">
        <f>VLOOKUP(N14,#REF!,2,FALSE)</f>
        <v>#REF!</v>
      </c>
      <c r="Q14" t="s">
        <v>835</v>
      </c>
      <c r="R14" s="345">
        <v>-994.83</v>
      </c>
    </row>
    <row r="15" spans="1:18" ht="16.149999999999999" customHeight="1" x14ac:dyDescent="0.2">
      <c r="A15" s="344" t="s">
        <v>749</v>
      </c>
      <c r="B15" t="s">
        <v>827</v>
      </c>
      <c r="C15" t="s">
        <v>823</v>
      </c>
      <c r="D15" t="s">
        <v>744</v>
      </c>
      <c r="E15" t="s">
        <v>829</v>
      </c>
      <c r="F15" t="s">
        <v>803</v>
      </c>
      <c r="G15" t="s">
        <v>830</v>
      </c>
      <c r="H15" t="s">
        <v>831</v>
      </c>
      <c r="I15" t="s">
        <v>722</v>
      </c>
      <c r="J15" t="s">
        <v>721</v>
      </c>
      <c r="K15"/>
      <c r="L15"/>
      <c r="M15" t="s">
        <v>750</v>
      </c>
      <c r="N15" t="s">
        <v>751</v>
      </c>
      <c r="O15"/>
      <c r="P15" t="e">
        <f>VLOOKUP(N15,#REF!,2,FALSE)</f>
        <v>#REF!</v>
      </c>
      <c r="Q15" t="s">
        <v>836</v>
      </c>
      <c r="R15" s="345">
        <v>-48318.9</v>
      </c>
    </row>
    <row r="16" spans="1:18" ht="16.149999999999999" customHeight="1" x14ac:dyDescent="0.2">
      <c r="A16" s="344" t="s">
        <v>752</v>
      </c>
      <c r="B16" t="s">
        <v>827</v>
      </c>
      <c r="C16" t="s">
        <v>823</v>
      </c>
      <c r="D16" t="s">
        <v>744</v>
      </c>
      <c r="E16" t="s">
        <v>829</v>
      </c>
      <c r="F16" t="s">
        <v>803</v>
      </c>
      <c r="G16" t="s">
        <v>830</v>
      </c>
      <c r="H16" t="s">
        <v>831</v>
      </c>
      <c r="I16" t="s">
        <v>722</v>
      </c>
      <c r="J16" t="s">
        <v>721</v>
      </c>
      <c r="K16"/>
      <c r="L16"/>
      <c r="M16" t="s">
        <v>750</v>
      </c>
      <c r="N16" t="s">
        <v>751</v>
      </c>
      <c r="O16"/>
      <c r="P16" t="e">
        <f>VLOOKUP(N16,#REF!,2,FALSE)</f>
        <v>#REF!</v>
      </c>
      <c r="Q16" t="s">
        <v>836</v>
      </c>
      <c r="R16" s="345">
        <v>-50438.34</v>
      </c>
    </row>
    <row r="17" spans="1:18" ht="16.149999999999999" customHeight="1" x14ac:dyDescent="0.2">
      <c r="A17" s="344" t="s">
        <v>753</v>
      </c>
      <c r="B17" t="s">
        <v>827</v>
      </c>
      <c r="C17" t="s">
        <v>823</v>
      </c>
      <c r="D17" t="s">
        <v>744</v>
      </c>
      <c r="E17" t="s">
        <v>829</v>
      </c>
      <c r="F17" t="s">
        <v>803</v>
      </c>
      <c r="G17" t="s">
        <v>830</v>
      </c>
      <c r="H17" t="s">
        <v>831</v>
      </c>
      <c r="I17" t="s">
        <v>722</v>
      </c>
      <c r="J17" t="s">
        <v>721</v>
      </c>
      <c r="K17"/>
      <c r="L17"/>
      <c r="M17" t="s">
        <v>750</v>
      </c>
      <c r="N17" t="s">
        <v>751</v>
      </c>
      <c r="O17"/>
      <c r="P17" t="e">
        <f>VLOOKUP(N17,#REF!,2,FALSE)</f>
        <v>#REF!</v>
      </c>
      <c r="Q17" t="s">
        <v>836</v>
      </c>
      <c r="R17" s="345">
        <v>-50438.34</v>
      </c>
    </row>
    <row r="18" spans="1:18" ht="16.149999999999999" customHeight="1" x14ac:dyDescent="0.2">
      <c r="A18" s="344" t="s">
        <v>754</v>
      </c>
      <c r="B18" t="s">
        <v>827</v>
      </c>
      <c r="C18" t="s">
        <v>823</v>
      </c>
      <c r="D18" t="s">
        <v>744</v>
      </c>
      <c r="E18" t="s">
        <v>829</v>
      </c>
      <c r="F18" t="s">
        <v>803</v>
      </c>
      <c r="G18" t="s">
        <v>830</v>
      </c>
      <c r="H18" t="s">
        <v>831</v>
      </c>
      <c r="I18" t="s">
        <v>722</v>
      </c>
      <c r="J18" t="s">
        <v>721</v>
      </c>
      <c r="K18"/>
      <c r="L18"/>
      <c r="M18" t="s">
        <v>750</v>
      </c>
      <c r="N18" t="s">
        <v>751</v>
      </c>
      <c r="O18"/>
      <c r="P18" t="e">
        <f>VLOOKUP(N18,#REF!,2,FALSE)</f>
        <v>#REF!</v>
      </c>
      <c r="Q18" t="s">
        <v>836</v>
      </c>
      <c r="R18" s="345">
        <v>-48811.29</v>
      </c>
    </row>
    <row r="19" spans="1:18" ht="16.149999999999999" customHeight="1" x14ac:dyDescent="0.2">
      <c r="A19" s="344" t="s">
        <v>755</v>
      </c>
      <c r="B19" t="s">
        <v>827</v>
      </c>
      <c r="C19" t="s">
        <v>823</v>
      </c>
      <c r="D19" t="s">
        <v>744</v>
      </c>
      <c r="E19" t="s">
        <v>829</v>
      </c>
      <c r="F19" t="s">
        <v>803</v>
      </c>
      <c r="G19" t="s">
        <v>830</v>
      </c>
      <c r="H19" t="s">
        <v>831</v>
      </c>
      <c r="I19" t="s">
        <v>722</v>
      </c>
      <c r="J19" t="s">
        <v>721</v>
      </c>
      <c r="K19"/>
      <c r="L19"/>
      <c r="M19" t="s">
        <v>750</v>
      </c>
      <c r="N19" t="s">
        <v>751</v>
      </c>
      <c r="O19"/>
      <c r="P19" t="e">
        <f>VLOOKUP(N19,#REF!,2,FALSE)</f>
        <v>#REF!</v>
      </c>
      <c r="Q19" t="s">
        <v>836</v>
      </c>
      <c r="R19" s="345">
        <v>-50547.33</v>
      </c>
    </row>
    <row r="20" spans="1:18" ht="16.149999999999999" customHeight="1" x14ac:dyDescent="0.2">
      <c r="A20" s="344" t="s">
        <v>756</v>
      </c>
      <c r="B20" t="s">
        <v>827</v>
      </c>
      <c r="C20" t="s">
        <v>823</v>
      </c>
      <c r="D20" t="s">
        <v>744</v>
      </c>
      <c r="E20" t="s">
        <v>829</v>
      </c>
      <c r="F20" t="s">
        <v>803</v>
      </c>
      <c r="G20" t="s">
        <v>830</v>
      </c>
      <c r="H20" t="s">
        <v>831</v>
      </c>
      <c r="I20" t="s">
        <v>722</v>
      </c>
      <c r="J20" t="s">
        <v>721</v>
      </c>
      <c r="K20"/>
      <c r="L20"/>
      <c r="M20" t="s">
        <v>750</v>
      </c>
      <c r="N20" t="s">
        <v>751</v>
      </c>
      <c r="O20"/>
      <c r="P20" t="e">
        <f>VLOOKUP(N20,#REF!,2,FALSE)</f>
        <v>#REF!</v>
      </c>
      <c r="Q20" t="s">
        <v>836</v>
      </c>
      <c r="R20" s="345">
        <v>-48916.77</v>
      </c>
    </row>
    <row r="21" spans="1:18" ht="16.149999999999999" customHeight="1" x14ac:dyDescent="0.2">
      <c r="A21" s="344" t="s">
        <v>757</v>
      </c>
      <c r="B21" t="s">
        <v>827</v>
      </c>
      <c r="C21" t="s">
        <v>823</v>
      </c>
      <c r="D21" t="s">
        <v>744</v>
      </c>
      <c r="E21" t="s">
        <v>829</v>
      </c>
      <c r="F21" t="s">
        <v>803</v>
      </c>
      <c r="G21" t="s">
        <v>830</v>
      </c>
      <c r="H21" t="s">
        <v>831</v>
      </c>
      <c r="I21" t="s">
        <v>722</v>
      </c>
      <c r="J21" t="s">
        <v>721</v>
      </c>
      <c r="K21"/>
      <c r="L21"/>
      <c r="M21" t="s">
        <v>750</v>
      </c>
      <c r="N21" t="s">
        <v>751</v>
      </c>
      <c r="O21"/>
      <c r="P21" t="e">
        <f>VLOOKUP(N21,#REF!,2,FALSE)</f>
        <v>#REF!</v>
      </c>
      <c r="Q21" t="s">
        <v>836</v>
      </c>
      <c r="R21" s="345">
        <v>-50547.33</v>
      </c>
    </row>
    <row r="22" spans="1:18" ht="16.149999999999999" customHeight="1" x14ac:dyDescent="0.2">
      <c r="A22" s="344" t="s">
        <v>758</v>
      </c>
      <c r="B22" t="s">
        <v>827</v>
      </c>
      <c r="C22" t="s">
        <v>823</v>
      </c>
      <c r="D22" t="s">
        <v>744</v>
      </c>
      <c r="E22" t="s">
        <v>829</v>
      </c>
      <c r="F22" t="s">
        <v>803</v>
      </c>
      <c r="G22" t="s">
        <v>830</v>
      </c>
      <c r="H22" t="s">
        <v>831</v>
      </c>
      <c r="I22" t="s">
        <v>722</v>
      </c>
      <c r="J22" t="s">
        <v>721</v>
      </c>
      <c r="K22"/>
      <c r="L22"/>
      <c r="M22" t="s">
        <v>750</v>
      </c>
      <c r="N22" t="s">
        <v>751</v>
      </c>
      <c r="O22"/>
      <c r="P22" t="e">
        <f>VLOOKUP(N22,#REF!,2,FALSE)</f>
        <v>#REF!</v>
      </c>
      <c r="Q22" t="s">
        <v>836</v>
      </c>
      <c r="R22" s="345">
        <v>-50656.33</v>
      </c>
    </row>
    <row r="23" spans="1:18" ht="16.149999999999999" customHeight="1" x14ac:dyDescent="0.2">
      <c r="A23" s="344" t="s">
        <v>759</v>
      </c>
      <c r="B23" t="s">
        <v>827</v>
      </c>
      <c r="C23" t="s">
        <v>823</v>
      </c>
      <c r="D23" t="s">
        <v>744</v>
      </c>
      <c r="E23" t="s">
        <v>829</v>
      </c>
      <c r="F23" t="s">
        <v>803</v>
      </c>
      <c r="G23" t="s">
        <v>830</v>
      </c>
      <c r="H23" t="s">
        <v>831</v>
      </c>
      <c r="I23" t="s">
        <v>722</v>
      </c>
      <c r="J23" t="s">
        <v>721</v>
      </c>
      <c r="K23"/>
      <c r="L23"/>
      <c r="M23" t="s">
        <v>750</v>
      </c>
      <c r="N23" t="s">
        <v>751</v>
      </c>
      <c r="O23"/>
      <c r="P23" t="e">
        <f>VLOOKUP(N23,#REF!,2,FALSE)</f>
        <v>#REF!</v>
      </c>
      <c r="Q23" t="s">
        <v>836</v>
      </c>
      <c r="R23" s="345">
        <v>-45754.1</v>
      </c>
    </row>
    <row r="24" spans="1:18" ht="16.149999999999999" customHeight="1" x14ac:dyDescent="0.2">
      <c r="A24" s="344" t="s">
        <v>743</v>
      </c>
      <c r="B24" t="s">
        <v>827</v>
      </c>
      <c r="C24" t="s">
        <v>823</v>
      </c>
      <c r="D24" t="s">
        <v>744</v>
      </c>
      <c r="E24" t="s">
        <v>829</v>
      </c>
      <c r="F24" t="s">
        <v>803</v>
      </c>
      <c r="G24" t="s">
        <v>830</v>
      </c>
      <c r="H24" t="s">
        <v>831</v>
      </c>
      <c r="I24" t="s">
        <v>722</v>
      </c>
      <c r="J24" t="s">
        <v>721</v>
      </c>
      <c r="K24"/>
      <c r="L24"/>
      <c r="M24" t="s">
        <v>750</v>
      </c>
      <c r="N24" t="s">
        <v>751</v>
      </c>
      <c r="O24"/>
      <c r="P24" t="e">
        <f>VLOOKUP(N24,#REF!,2,FALSE)</f>
        <v>#REF!</v>
      </c>
      <c r="Q24" t="s">
        <v>836</v>
      </c>
      <c r="R24" s="345">
        <v>-50656.33</v>
      </c>
    </row>
    <row r="25" spans="1:18" ht="16.149999999999999" customHeight="1" x14ac:dyDescent="0.2">
      <c r="A25" s="344" t="s">
        <v>760</v>
      </c>
      <c r="B25" t="s">
        <v>827</v>
      </c>
      <c r="C25" t="s">
        <v>823</v>
      </c>
      <c r="D25" t="s">
        <v>744</v>
      </c>
      <c r="E25" t="s">
        <v>829</v>
      </c>
      <c r="F25" t="s">
        <v>803</v>
      </c>
      <c r="G25" t="s">
        <v>830</v>
      </c>
      <c r="H25" t="s">
        <v>831</v>
      </c>
      <c r="I25" t="s">
        <v>722</v>
      </c>
      <c r="J25" t="s">
        <v>721</v>
      </c>
      <c r="K25"/>
      <c r="L25"/>
      <c r="M25" t="s">
        <v>750</v>
      </c>
      <c r="N25" t="s">
        <v>751</v>
      </c>
      <c r="O25"/>
      <c r="P25" t="e">
        <f>VLOOKUP(N25,#REF!,2,FALSE)</f>
        <v>#REF!</v>
      </c>
      <c r="Q25" t="s">
        <v>836</v>
      </c>
      <c r="R25" s="345">
        <v>-49479.45</v>
      </c>
    </row>
    <row r="26" spans="1:18" ht="16.149999999999999" customHeight="1" x14ac:dyDescent="0.2">
      <c r="A26" s="344" t="s">
        <v>745</v>
      </c>
      <c r="B26" t="s">
        <v>827</v>
      </c>
      <c r="C26" t="s">
        <v>823</v>
      </c>
      <c r="D26" t="s">
        <v>744</v>
      </c>
      <c r="E26" t="s">
        <v>829</v>
      </c>
      <c r="F26" t="s">
        <v>803</v>
      </c>
      <c r="G26" t="s">
        <v>830</v>
      </c>
      <c r="H26" t="s">
        <v>831</v>
      </c>
      <c r="I26" t="s">
        <v>722</v>
      </c>
      <c r="J26" t="s">
        <v>721</v>
      </c>
      <c r="K26"/>
      <c r="L26"/>
      <c r="M26" t="s">
        <v>750</v>
      </c>
      <c r="N26" t="s">
        <v>751</v>
      </c>
      <c r="O26"/>
      <c r="P26" t="e">
        <f>VLOOKUP(N26,#REF!,2,FALSE)</f>
        <v>#REF!</v>
      </c>
      <c r="Q26" t="s">
        <v>836</v>
      </c>
      <c r="R26" s="345">
        <v>-51128.77</v>
      </c>
    </row>
    <row r="27" spans="1:18" ht="16.149999999999999" customHeight="1" x14ac:dyDescent="0.2">
      <c r="A27" s="344" t="s">
        <v>759</v>
      </c>
      <c r="B27" t="s">
        <v>827</v>
      </c>
      <c r="C27" t="s">
        <v>823</v>
      </c>
      <c r="D27" t="s">
        <v>744</v>
      </c>
      <c r="E27" t="s">
        <v>829</v>
      </c>
      <c r="F27" t="s">
        <v>803</v>
      </c>
      <c r="G27" t="s">
        <v>830</v>
      </c>
      <c r="H27" t="s">
        <v>831</v>
      </c>
      <c r="I27" t="s">
        <v>722</v>
      </c>
      <c r="J27" t="s">
        <v>721</v>
      </c>
      <c r="K27"/>
      <c r="L27"/>
      <c r="M27" t="s">
        <v>750</v>
      </c>
      <c r="N27" t="s">
        <v>751</v>
      </c>
      <c r="O27"/>
      <c r="P27" t="e">
        <f>VLOOKUP(N27,#REF!,2,FALSE)</f>
        <v>#REF!</v>
      </c>
      <c r="Q27" t="s">
        <v>835</v>
      </c>
      <c r="R27" s="345">
        <v>-8806.0499999999993</v>
      </c>
    </row>
    <row r="28" spans="1:18" ht="16.149999999999999" customHeight="1" x14ac:dyDescent="0.2">
      <c r="A28" s="344" t="s">
        <v>743</v>
      </c>
      <c r="B28" t="s">
        <v>827</v>
      </c>
      <c r="C28" t="s">
        <v>823</v>
      </c>
      <c r="D28" t="s">
        <v>744</v>
      </c>
      <c r="E28" t="s">
        <v>829</v>
      </c>
      <c r="F28" t="s">
        <v>803</v>
      </c>
      <c r="G28" t="s">
        <v>830</v>
      </c>
      <c r="H28" t="s">
        <v>831</v>
      </c>
      <c r="I28" t="s">
        <v>722</v>
      </c>
      <c r="J28" t="s">
        <v>721</v>
      </c>
      <c r="K28"/>
      <c r="L28"/>
      <c r="M28" t="s">
        <v>750</v>
      </c>
      <c r="N28" t="s">
        <v>751</v>
      </c>
      <c r="O28"/>
      <c r="P28" t="e">
        <f>VLOOKUP(N28,#REF!,2,FALSE)</f>
        <v>#REF!</v>
      </c>
      <c r="Q28" t="s">
        <v>835</v>
      </c>
      <c r="R28" s="345">
        <v>-9749.56</v>
      </c>
    </row>
    <row r="29" spans="1:18" ht="16.149999999999999" customHeight="1" x14ac:dyDescent="0.2">
      <c r="A29" s="344" t="s">
        <v>760</v>
      </c>
      <c r="B29" t="s">
        <v>827</v>
      </c>
      <c r="C29" t="s">
        <v>823</v>
      </c>
      <c r="D29" t="s">
        <v>744</v>
      </c>
      <c r="E29" t="s">
        <v>829</v>
      </c>
      <c r="F29" t="s">
        <v>803</v>
      </c>
      <c r="G29" t="s">
        <v>830</v>
      </c>
      <c r="H29" t="s">
        <v>831</v>
      </c>
      <c r="I29" t="s">
        <v>722</v>
      </c>
      <c r="J29" t="s">
        <v>721</v>
      </c>
      <c r="K29"/>
      <c r="L29"/>
      <c r="M29" t="s">
        <v>750</v>
      </c>
      <c r="N29" t="s">
        <v>751</v>
      </c>
      <c r="O29"/>
      <c r="P29" t="e">
        <f>VLOOKUP(N29,#REF!,2,FALSE)</f>
        <v>#REF!</v>
      </c>
      <c r="Q29" t="s">
        <v>835</v>
      </c>
      <c r="R29" s="345">
        <v>-9523.0499999999993</v>
      </c>
    </row>
    <row r="30" spans="1:18" ht="16.149999999999999" customHeight="1" x14ac:dyDescent="0.2">
      <c r="A30" s="344" t="s">
        <v>745</v>
      </c>
      <c r="B30" t="s">
        <v>827</v>
      </c>
      <c r="C30" t="s">
        <v>823</v>
      </c>
      <c r="D30" t="s">
        <v>744</v>
      </c>
      <c r="E30" t="s">
        <v>829</v>
      </c>
      <c r="F30" t="s">
        <v>803</v>
      </c>
      <c r="G30" t="s">
        <v>830</v>
      </c>
      <c r="H30" t="s">
        <v>831</v>
      </c>
      <c r="I30" t="s">
        <v>722</v>
      </c>
      <c r="J30" t="s">
        <v>721</v>
      </c>
      <c r="K30"/>
      <c r="L30"/>
      <c r="M30" t="s">
        <v>750</v>
      </c>
      <c r="N30" t="s">
        <v>751</v>
      </c>
      <c r="O30"/>
      <c r="P30" t="e">
        <f>VLOOKUP(N30,#REF!,2,FALSE)</f>
        <v>#REF!</v>
      </c>
      <c r="Q30" t="s">
        <v>835</v>
      </c>
      <c r="R30" s="345">
        <v>-9840.49</v>
      </c>
    </row>
    <row r="31" spans="1:18" ht="16.149999999999999" customHeight="1" x14ac:dyDescent="0.2">
      <c r="A31" s="344" t="s">
        <v>758</v>
      </c>
      <c r="B31" t="s">
        <v>827</v>
      </c>
      <c r="C31" t="s">
        <v>823</v>
      </c>
      <c r="D31" t="s">
        <v>744</v>
      </c>
      <c r="E31" t="s">
        <v>829</v>
      </c>
      <c r="F31" t="s">
        <v>803</v>
      </c>
      <c r="G31" t="s">
        <v>830</v>
      </c>
      <c r="H31" t="s">
        <v>831</v>
      </c>
      <c r="I31" t="s">
        <v>722</v>
      </c>
      <c r="J31" t="s">
        <v>721</v>
      </c>
      <c r="K31"/>
      <c r="L31"/>
      <c r="M31" t="s">
        <v>837</v>
      </c>
      <c r="N31" t="s">
        <v>838</v>
      </c>
      <c r="O31"/>
      <c r="P31" t="e">
        <f>VLOOKUP(N31,#REF!,2,FALSE)</f>
        <v>#REF!</v>
      </c>
      <c r="Q31" t="s">
        <v>836</v>
      </c>
      <c r="R31" s="345">
        <v>1179.6199999999999</v>
      </c>
    </row>
    <row r="32" spans="1:18" ht="16.149999999999999" customHeight="1" x14ac:dyDescent="0.2">
      <c r="A32" s="344" t="s">
        <v>752</v>
      </c>
      <c r="B32" t="s">
        <v>827</v>
      </c>
      <c r="C32" t="s">
        <v>823</v>
      </c>
      <c r="D32" t="s">
        <v>744</v>
      </c>
      <c r="E32" t="s">
        <v>829</v>
      </c>
      <c r="F32" t="s">
        <v>803</v>
      </c>
      <c r="G32" t="s">
        <v>830</v>
      </c>
      <c r="H32" t="s">
        <v>831</v>
      </c>
      <c r="I32" t="s">
        <v>722</v>
      </c>
      <c r="J32" t="s">
        <v>721</v>
      </c>
      <c r="K32"/>
      <c r="L32"/>
      <c r="M32" t="s">
        <v>839</v>
      </c>
      <c r="N32" t="s">
        <v>840</v>
      </c>
      <c r="O32"/>
      <c r="P32" t="e">
        <f>VLOOKUP(N32,#REF!,2,FALSE)</f>
        <v>#REF!</v>
      </c>
      <c r="Q32" t="s">
        <v>836</v>
      </c>
      <c r="R32" s="345">
        <v>-262.66000000000003</v>
      </c>
    </row>
    <row r="33" spans="1:18" ht="16.149999999999999" customHeight="1" x14ac:dyDescent="0.2">
      <c r="A33" s="344" t="s">
        <v>760</v>
      </c>
      <c r="B33" t="s">
        <v>827</v>
      </c>
      <c r="C33" t="s">
        <v>823</v>
      </c>
      <c r="D33" t="s">
        <v>744</v>
      </c>
      <c r="E33" t="s">
        <v>829</v>
      </c>
      <c r="F33" t="s">
        <v>803</v>
      </c>
      <c r="G33" t="s">
        <v>830</v>
      </c>
      <c r="H33" t="s">
        <v>831</v>
      </c>
      <c r="I33" t="s">
        <v>722</v>
      </c>
      <c r="J33" t="s">
        <v>721</v>
      </c>
      <c r="K33"/>
      <c r="L33"/>
      <c r="M33" t="s">
        <v>841</v>
      </c>
      <c r="N33" t="s">
        <v>842</v>
      </c>
      <c r="O33"/>
      <c r="P33" t="e">
        <f>VLOOKUP(N33,#REF!,2,FALSE)</f>
        <v>#REF!</v>
      </c>
      <c r="Q33" t="s">
        <v>835</v>
      </c>
      <c r="R33" s="345">
        <v>-14.34</v>
      </c>
    </row>
    <row r="34" spans="1:18" ht="16.149999999999999" customHeight="1" x14ac:dyDescent="0.2">
      <c r="A34" s="344" t="s">
        <v>757</v>
      </c>
      <c r="B34" t="s">
        <v>827</v>
      </c>
      <c r="C34" t="s">
        <v>823</v>
      </c>
      <c r="D34" t="s">
        <v>744</v>
      </c>
      <c r="E34" t="s">
        <v>829</v>
      </c>
      <c r="F34" t="s">
        <v>803</v>
      </c>
      <c r="G34" t="s">
        <v>830</v>
      </c>
      <c r="H34" t="s">
        <v>831</v>
      </c>
      <c r="I34" t="s">
        <v>722</v>
      </c>
      <c r="J34" t="s">
        <v>721</v>
      </c>
      <c r="K34"/>
      <c r="L34"/>
      <c r="M34" t="s">
        <v>763</v>
      </c>
      <c r="N34" t="s">
        <v>764</v>
      </c>
      <c r="O34"/>
      <c r="P34" t="e">
        <f>VLOOKUP(N34,#REF!,2,FALSE)</f>
        <v>#REF!</v>
      </c>
      <c r="Q34" t="s">
        <v>836</v>
      </c>
      <c r="R34" s="345">
        <v>-4282.5200000000004</v>
      </c>
    </row>
    <row r="35" spans="1:18" ht="16.149999999999999" customHeight="1" x14ac:dyDescent="0.2">
      <c r="A35" s="344" t="s">
        <v>743</v>
      </c>
      <c r="B35" t="s">
        <v>827</v>
      </c>
      <c r="C35" t="s">
        <v>823</v>
      </c>
      <c r="D35" t="s">
        <v>744</v>
      </c>
      <c r="E35" t="s">
        <v>829</v>
      </c>
      <c r="F35" t="s">
        <v>803</v>
      </c>
      <c r="G35" t="s">
        <v>830</v>
      </c>
      <c r="H35" t="s">
        <v>831</v>
      </c>
      <c r="I35" t="s">
        <v>722</v>
      </c>
      <c r="J35" t="s">
        <v>721</v>
      </c>
      <c r="K35"/>
      <c r="L35"/>
      <c r="M35" t="s">
        <v>763</v>
      </c>
      <c r="N35" t="s">
        <v>764</v>
      </c>
      <c r="O35"/>
      <c r="P35" t="e">
        <f>VLOOKUP(N35,#REF!,2,FALSE)</f>
        <v>#REF!</v>
      </c>
      <c r="Q35" t="s">
        <v>835</v>
      </c>
      <c r="R35" s="345">
        <v>3068.89</v>
      </c>
    </row>
    <row r="36" spans="1:18" ht="16.149999999999999" customHeight="1" x14ac:dyDescent="0.2">
      <c r="A36" s="344" t="s">
        <v>749</v>
      </c>
      <c r="B36" t="s">
        <v>827</v>
      </c>
      <c r="C36" t="s">
        <v>823</v>
      </c>
      <c r="D36" t="s">
        <v>744</v>
      </c>
      <c r="E36" t="s">
        <v>829</v>
      </c>
      <c r="F36" t="s">
        <v>803</v>
      </c>
      <c r="G36" t="s">
        <v>830</v>
      </c>
      <c r="H36" t="s">
        <v>831</v>
      </c>
      <c r="I36" t="s">
        <v>722</v>
      </c>
      <c r="J36" t="s">
        <v>721</v>
      </c>
      <c r="K36"/>
      <c r="L36"/>
      <c r="M36" t="s">
        <v>843</v>
      </c>
      <c r="N36" t="s">
        <v>844</v>
      </c>
      <c r="O36"/>
      <c r="P36" t="e">
        <f>VLOOKUP(N36,#REF!,2,FALSE)</f>
        <v>#REF!</v>
      </c>
      <c r="Q36" t="s">
        <v>836</v>
      </c>
      <c r="R36" s="345">
        <v>-1045.47</v>
      </c>
    </row>
    <row r="37" spans="1:18" ht="16.149999999999999" customHeight="1" x14ac:dyDescent="0.2">
      <c r="A37" s="344" t="s">
        <v>753</v>
      </c>
      <c r="B37" t="s">
        <v>827</v>
      </c>
      <c r="C37" t="s">
        <v>823</v>
      </c>
      <c r="D37" t="s">
        <v>744</v>
      </c>
      <c r="E37" t="s">
        <v>829</v>
      </c>
      <c r="F37" t="s">
        <v>803</v>
      </c>
      <c r="G37" t="s">
        <v>830</v>
      </c>
      <c r="H37" t="s">
        <v>831</v>
      </c>
      <c r="I37" t="s">
        <v>722</v>
      </c>
      <c r="J37" t="s">
        <v>721</v>
      </c>
      <c r="K37"/>
      <c r="L37"/>
      <c r="M37" t="s">
        <v>843</v>
      </c>
      <c r="N37" t="s">
        <v>844</v>
      </c>
      <c r="O37"/>
      <c r="P37" t="e">
        <f>VLOOKUP(N37,#REF!,2,FALSE)</f>
        <v>#REF!</v>
      </c>
      <c r="Q37" t="s">
        <v>836</v>
      </c>
      <c r="R37" s="345">
        <v>-71.13</v>
      </c>
    </row>
    <row r="38" spans="1:18" ht="16.149999999999999" customHeight="1" x14ac:dyDescent="0.2">
      <c r="A38" s="344" t="s">
        <v>754</v>
      </c>
      <c r="B38" t="s">
        <v>827</v>
      </c>
      <c r="C38" t="s">
        <v>823</v>
      </c>
      <c r="D38" t="s">
        <v>744</v>
      </c>
      <c r="E38" t="s">
        <v>829</v>
      </c>
      <c r="F38" t="s">
        <v>803</v>
      </c>
      <c r="G38" t="s">
        <v>830</v>
      </c>
      <c r="H38" t="s">
        <v>831</v>
      </c>
      <c r="I38" t="s">
        <v>722</v>
      </c>
      <c r="J38" t="s">
        <v>721</v>
      </c>
      <c r="K38"/>
      <c r="L38"/>
      <c r="M38" t="s">
        <v>843</v>
      </c>
      <c r="N38" t="s">
        <v>844</v>
      </c>
      <c r="O38"/>
      <c r="P38" t="e">
        <f>VLOOKUP(N38,#REF!,2,FALSE)</f>
        <v>#REF!</v>
      </c>
      <c r="Q38" t="s">
        <v>836</v>
      </c>
      <c r="R38" s="345">
        <v>-108.42</v>
      </c>
    </row>
    <row r="39" spans="1:18" ht="16.149999999999999" customHeight="1" x14ac:dyDescent="0.2">
      <c r="A39" s="344" t="s">
        <v>755</v>
      </c>
      <c r="B39" t="s">
        <v>827</v>
      </c>
      <c r="C39" t="s">
        <v>823</v>
      </c>
      <c r="D39" t="s">
        <v>744</v>
      </c>
      <c r="E39" t="s">
        <v>829</v>
      </c>
      <c r="F39" t="s">
        <v>803</v>
      </c>
      <c r="G39" t="s">
        <v>830</v>
      </c>
      <c r="H39" t="s">
        <v>831</v>
      </c>
      <c r="I39" t="s">
        <v>722</v>
      </c>
      <c r="J39" t="s">
        <v>721</v>
      </c>
      <c r="K39"/>
      <c r="L39"/>
      <c r="M39" t="s">
        <v>843</v>
      </c>
      <c r="N39" t="s">
        <v>844</v>
      </c>
      <c r="O39"/>
      <c r="P39" t="e">
        <f>VLOOKUP(N39,#REF!,2,FALSE)</f>
        <v>#REF!</v>
      </c>
      <c r="Q39" t="s">
        <v>836</v>
      </c>
      <c r="R39" s="345">
        <v>-4118.62</v>
      </c>
    </row>
    <row r="40" spans="1:18" ht="16.149999999999999" customHeight="1" x14ac:dyDescent="0.2">
      <c r="A40" s="344" t="s">
        <v>756</v>
      </c>
      <c r="B40" t="s">
        <v>827</v>
      </c>
      <c r="C40" t="s">
        <v>823</v>
      </c>
      <c r="D40" t="s">
        <v>744</v>
      </c>
      <c r="E40" t="s">
        <v>829</v>
      </c>
      <c r="F40" t="s">
        <v>803</v>
      </c>
      <c r="G40" t="s">
        <v>830</v>
      </c>
      <c r="H40" t="s">
        <v>831</v>
      </c>
      <c r="I40" t="s">
        <v>722</v>
      </c>
      <c r="J40" t="s">
        <v>721</v>
      </c>
      <c r="K40"/>
      <c r="L40"/>
      <c r="M40" t="s">
        <v>843</v>
      </c>
      <c r="N40" t="s">
        <v>844</v>
      </c>
      <c r="O40"/>
      <c r="P40" t="e">
        <f>VLOOKUP(N40,#REF!,2,FALSE)</f>
        <v>#REF!</v>
      </c>
      <c r="Q40" t="s">
        <v>836</v>
      </c>
      <c r="R40" s="345">
        <v>-20864.45</v>
      </c>
    </row>
    <row r="41" spans="1:18" ht="16.149999999999999" customHeight="1" x14ac:dyDescent="0.2">
      <c r="A41" s="344" t="s">
        <v>757</v>
      </c>
      <c r="B41" t="s">
        <v>827</v>
      </c>
      <c r="C41" t="s">
        <v>823</v>
      </c>
      <c r="D41" t="s">
        <v>744</v>
      </c>
      <c r="E41" t="s">
        <v>829</v>
      </c>
      <c r="F41" t="s">
        <v>803</v>
      </c>
      <c r="G41" t="s">
        <v>830</v>
      </c>
      <c r="H41" t="s">
        <v>831</v>
      </c>
      <c r="I41" t="s">
        <v>722</v>
      </c>
      <c r="J41" t="s">
        <v>721</v>
      </c>
      <c r="K41"/>
      <c r="L41"/>
      <c r="M41" t="s">
        <v>843</v>
      </c>
      <c r="N41" t="s">
        <v>844</v>
      </c>
      <c r="O41"/>
      <c r="P41" t="e">
        <f>VLOOKUP(N41,#REF!,2,FALSE)</f>
        <v>#REF!</v>
      </c>
      <c r="Q41" t="s">
        <v>836</v>
      </c>
      <c r="R41" s="345">
        <v>-29060.87</v>
      </c>
    </row>
    <row r="42" spans="1:18" ht="16.149999999999999" customHeight="1" x14ac:dyDescent="0.2">
      <c r="A42" s="344" t="s">
        <v>758</v>
      </c>
      <c r="B42" t="s">
        <v>827</v>
      </c>
      <c r="C42" t="s">
        <v>823</v>
      </c>
      <c r="D42" t="s">
        <v>744</v>
      </c>
      <c r="E42" t="s">
        <v>829</v>
      </c>
      <c r="F42" t="s">
        <v>803</v>
      </c>
      <c r="G42" t="s">
        <v>830</v>
      </c>
      <c r="H42" t="s">
        <v>831</v>
      </c>
      <c r="I42" t="s">
        <v>722</v>
      </c>
      <c r="J42" t="s">
        <v>721</v>
      </c>
      <c r="K42"/>
      <c r="L42"/>
      <c r="M42" t="s">
        <v>843</v>
      </c>
      <c r="N42" t="s">
        <v>844</v>
      </c>
      <c r="O42"/>
      <c r="P42" t="e">
        <f>VLOOKUP(N42,#REF!,2,FALSE)</f>
        <v>#REF!</v>
      </c>
      <c r="Q42" t="s">
        <v>836</v>
      </c>
      <c r="R42" s="345">
        <v>-13786.02</v>
      </c>
    </row>
    <row r="43" spans="1:18" ht="16.149999999999999" customHeight="1" x14ac:dyDescent="0.2">
      <c r="A43" s="344" t="s">
        <v>759</v>
      </c>
      <c r="B43" t="s">
        <v>827</v>
      </c>
      <c r="C43" t="s">
        <v>823</v>
      </c>
      <c r="D43" t="s">
        <v>744</v>
      </c>
      <c r="E43" t="s">
        <v>829</v>
      </c>
      <c r="F43" t="s">
        <v>803</v>
      </c>
      <c r="G43" t="s">
        <v>830</v>
      </c>
      <c r="H43" t="s">
        <v>831</v>
      </c>
      <c r="I43" t="s">
        <v>722</v>
      </c>
      <c r="J43" t="s">
        <v>721</v>
      </c>
      <c r="K43"/>
      <c r="L43"/>
      <c r="M43" t="s">
        <v>843</v>
      </c>
      <c r="N43" t="s">
        <v>844</v>
      </c>
      <c r="O43"/>
      <c r="P43" t="e">
        <f>VLOOKUP(N43,#REF!,2,FALSE)</f>
        <v>#REF!</v>
      </c>
      <c r="Q43" t="s">
        <v>836</v>
      </c>
      <c r="R43" s="345">
        <v>-5038.29</v>
      </c>
    </row>
    <row r="44" spans="1:18" ht="16.149999999999999" customHeight="1" x14ac:dyDescent="0.2">
      <c r="A44" s="344" t="s">
        <v>743</v>
      </c>
      <c r="B44" t="s">
        <v>827</v>
      </c>
      <c r="C44" t="s">
        <v>823</v>
      </c>
      <c r="D44" t="s">
        <v>744</v>
      </c>
      <c r="E44" t="s">
        <v>829</v>
      </c>
      <c r="F44" t="s">
        <v>803</v>
      </c>
      <c r="G44" t="s">
        <v>830</v>
      </c>
      <c r="H44" t="s">
        <v>831</v>
      </c>
      <c r="I44" t="s">
        <v>722</v>
      </c>
      <c r="J44" t="s">
        <v>721</v>
      </c>
      <c r="K44"/>
      <c r="L44"/>
      <c r="M44" t="s">
        <v>843</v>
      </c>
      <c r="N44" t="s">
        <v>844</v>
      </c>
      <c r="O44"/>
      <c r="P44" t="e">
        <f>VLOOKUP(N44,#REF!,2,FALSE)</f>
        <v>#REF!</v>
      </c>
      <c r="Q44" t="s">
        <v>836</v>
      </c>
      <c r="R44" s="345">
        <v>-6593.71</v>
      </c>
    </row>
    <row r="45" spans="1:18" ht="16.149999999999999" customHeight="1" x14ac:dyDescent="0.2">
      <c r="A45" s="344" t="s">
        <v>760</v>
      </c>
      <c r="B45" t="s">
        <v>827</v>
      </c>
      <c r="C45" t="s">
        <v>823</v>
      </c>
      <c r="D45" t="s">
        <v>744</v>
      </c>
      <c r="E45" t="s">
        <v>829</v>
      </c>
      <c r="F45" t="s">
        <v>803</v>
      </c>
      <c r="G45" t="s">
        <v>830</v>
      </c>
      <c r="H45" t="s">
        <v>831</v>
      </c>
      <c r="I45" t="s">
        <v>722</v>
      </c>
      <c r="J45" t="s">
        <v>721</v>
      </c>
      <c r="K45"/>
      <c r="L45"/>
      <c r="M45" t="s">
        <v>843</v>
      </c>
      <c r="N45" t="s">
        <v>844</v>
      </c>
      <c r="O45"/>
      <c r="P45" t="e">
        <f>VLOOKUP(N45,#REF!,2,FALSE)</f>
        <v>#REF!</v>
      </c>
      <c r="Q45" t="s">
        <v>836</v>
      </c>
      <c r="R45" s="345">
        <v>-20685.79</v>
      </c>
    </row>
    <row r="46" spans="1:18" ht="16.149999999999999" customHeight="1" x14ac:dyDescent="0.2">
      <c r="A46" s="344" t="s">
        <v>745</v>
      </c>
      <c r="B46" t="s">
        <v>827</v>
      </c>
      <c r="C46" t="s">
        <v>823</v>
      </c>
      <c r="D46" t="s">
        <v>744</v>
      </c>
      <c r="E46" t="s">
        <v>829</v>
      </c>
      <c r="F46" t="s">
        <v>803</v>
      </c>
      <c r="G46" t="s">
        <v>830</v>
      </c>
      <c r="H46" t="s">
        <v>831</v>
      </c>
      <c r="I46" t="s">
        <v>722</v>
      </c>
      <c r="J46" t="s">
        <v>721</v>
      </c>
      <c r="K46"/>
      <c r="L46"/>
      <c r="M46" t="s">
        <v>843</v>
      </c>
      <c r="N46" t="s">
        <v>844</v>
      </c>
      <c r="O46"/>
      <c r="P46" t="e">
        <f>VLOOKUP(N46,#REF!,2,FALSE)</f>
        <v>#REF!</v>
      </c>
      <c r="Q46" t="s">
        <v>836</v>
      </c>
      <c r="R46" s="345">
        <v>-23198.47</v>
      </c>
    </row>
    <row r="47" spans="1:18" ht="16.149999999999999" customHeight="1" x14ac:dyDescent="0.2">
      <c r="A47" s="344" t="s">
        <v>759</v>
      </c>
      <c r="B47" t="s">
        <v>827</v>
      </c>
      <c r="C47" t="s">
        <v>823</v>
      </c>
      <c r="D47" t="s">
        <v>744</v>
      </c>
      <c r="E47" t="s">
        <v>829</v>
      </c>
      <c r="F47" t="s">
        <v>803</v>
      </c>
      <c r="G47" t="s">
        <v>830</v>
      </c>
      <c r="H47" t="s">
        <v>831</v>
      </c>
      <c r="I47" t="s">
        <v>722</v>
      </c>
      <c r="J47" t="s">
        <v>721</v>
      </c>
      <c r="K47"/>
      <c r="L47"/>
      <c r="M47" t="s">
        <v>843</v>
      </c>
      <c r="N47" t="s">
        <v>844</v>
      </c>
      <c r="O47"/>
      <c r="P47" t="e">
        <f>VLOOKUP(N47,#REF!,2,FALSE)</f>
        <v>#REF!</v>
      </c>
      <c r="Q47" t="s">
        <v>835</v>
      </c>
      <c r="R47" s="345">
        <v>-5.65</v>
      </c>
    </row>
    <row r="48" spans="1:18" ht="16.149999999999999" customHeight="1" x14ac:dyDescent="0.2">
      <c r="A48" s="344" t="s">
        <v>743</v>
      </c>
      <c r="B48" t="s">
        <v>827</v>
      </c>
      <c r="C48" t="s">
        <v>823</v>
      </c>
      <c r="D48" t="s">
        <v>744</v>
      </c>
      <c r="E48" t="s">
        <v>829</v>
      </c>
      <c r="F48" t="s">
        <v>803</v>
      </c>
      <c r="G48" t="s">
        <v>830</v>
      </c>
      <c r="H48" t="s">
        <v>831</v>
      </c>
      <c r="I48" t="s">
        <v>722</v>
      </c>
      <c r="J48" t="s">
        <v>721</v>
      </c>
      <c r="K48"/>
      <c r="L48"/>
      <c r="M48" t="s">
        <v>843</v>
      </c>
      <c r="N48" t="s">
        <v>844</v>
      </c>
      <c r="O48"/>
      <c r="P48" t="e">
        <f>VLOOKUP(N48,#REF!,2,FALSE)</f>
        <v>#REF!</v>
      </c>
      <c r="Q48" t="s">
        <v>835</v>
      </c>
      <c r="R48" s="345">
        <v>-218.83</v>
      </c>
    </row>
    <row r="49" spans="1:18" ht="16.149999999999999" customHeight="1" x14ac:dyDescent="0.2">
      <c r="A49" s="344" t="s">
        <v>760</v>
      </c>
      <c r="B49" t="s">
        <v>827</v>
      </c>
      <c r="C49" t="s">
        <v>823</v>
      </c>
      <c r="D49" t="s">
        <v>744</v>
      </c>
      <c r="E49" t="s">
        <v>829</v>
      </c>
      <c r="F49" t="s">
        <v>803</v>
      </c>
      <c r="G49" t="s">
        <v>830</v>
      </c>
      <c r="H49" t="s">
        <v>831</v>
      </c>
      <c r="I49" t="s">
        <v>722</v>
      </c>
      <c r="J49" t="s">
        <v>721</v>
      </c>
      <c r="K49"/>
      <c r="L49"/>
      <c r="M49" t="s">
        <v>843</v>
      </c>
      <c r="N49" t="s">
        <v>844</v>
      </c>
      <c r="O49"/>
      <c r="P49" t="e">
        <f>VLOOKUP(N49,#REF!,2,FALSE)</f>
        <v>#REF!</v>
      </c>
      <c r="Q49" t="s">
        <v>835</v>
      </c>
      <c r="R49" s="345">
        <v>-2302.34</v>
      </c>
    </row>
    <row r="50" spans="1:18" ht="16.149999999999999" customHeight="1" x14ac:dyDescent="0.2">
      <c r="A50" s="344" t="s">
        <v>752</v>
      </c>
      <c r="B50" t="s">
        <v>827</v>
      </c>
      <c r="C50" t="s">
        <v>823</v>
      </c>
      <c r="D50" t="s">
        <v>744</v>
      </c>
      <c r="E50" t="s">
        <v>829</v>
      </c>
      <c r="F50" t="s">
        <v>803</v>
      </c>
      <c r="G50" t="s">
        <v>830</v>
      </c>
      <c r="H50" t="s">
        <v>831</v>
      </c>
      <c r="I50" t="s">
        <v>722</v>
      </c>
      <c r="J50" t="s">
        <v>721</v>
      </c>
      <c r="K50"/>
      <c r="L50"/>
      <c r="M50" t="s">
        <v>845</v>
      </c>
      <c r="N50" t="s">
        <v>846</v>
      </c>
      <c r="O50"/>
      <c r="P50" t="e">
        <f>VLOOKUP(N50,#REF!,2,FALSE)</f>
        <v>#REF!</v>
      </c>
      <c r="Q50" t="s">
        <v>836</v>
      </c>
      <c r="R50" s="345">
        <v>-3565.9</v>
      </c>
    </row>
    <row r="51" spans="1:18" ht="16.149999999999999" customHeight="1" x14ac:dyDescent="0.2">
      <c r="A51" s="344" t="s">
        <v>753</v>
      </c>
      <c r="B51" t="s">
        <v>827</v>
      </c>
      <c r="C51" t="s">
        <v>823</v>
      </c>
      <c r="D51" t="s">
        <v>744</v>
      </c>
      <c r="E51" t="s">
        <v>829</v>
      </c>
      <c r="F51" t="s">
        <v>803</v>
      </c>
      <c r="G51" t="s">
        <v>830</v>
      </c>
      <c r="H51" t="s">
        <v>831</v>
      </c>
      <c r="I51" t="s">
        <v>722</v>
      </c>
      <c r="J51" t="s">
        <v>721</v>
      </c>
      <c r="K51"/>
      <c r="L51"/>
      <c r="M51" t="s">
        <v>845</v>
      </c>
      <c r="N51" t="s">
        <v>846</v>
      </c>
      <c r="O51"/>
      <c r="P51" t="e">
        <f>VLOOKUP(N51,#REF!,2,FALSE)</f>
        <v>#REF!</v>
      </c>
      <c r="Q51" t="s">
        <v>836</v>
      </c>
      <c r="R51" s="345">
        <v>-3080.01</v>
      </c>
    </row>
    <row r="52" spans="1:18" ht="16.149999999999999" customHeight="1" x14ac:dyDescent="0.2">
      <c r="A52" s="344" t="s">
        <v>754</v>
      </c>
      <c r="B52" t="s">
        <v>827</v>
      </c>
      <c r="C52" t="s">
        <v>823</v>
      </c>
      <c r="D52" t="s">
        <v>744</v>
      </c>
      <c r="E52" t="s">
        <v>829</v>
      </c>
      <c r="F52" t="s">
        <v>803</v>
      </c>
      <c r="G52" t="s">
        <v>830</v>
      </c>
      <c r="H52" t="s">
        <v>831</v>
      </c>
      <c r="I52" t="s">
        <v>722</v>
      </c>
      <c r="J52" t="s">
        <v>721</v>
      </c>
      <c r="K52"/>
      <c r="L52"/>
      <c r="M52" t="s">
        <v>845</v>
      </c>
      <c r="N52" t="s">
        <v>846</v>
      </c>
      <c r="O52"/>
      <c r="P52" t="e">
        <f>VLOOKUP(N52,#REF!,2,FALSE)</f>
        <v>#REF!</v>
      </c>
      <c r="Q52" t="s">
        <v>836</v>
      </c>
      <c r="R52" s="345">
        <v>-301.75</v>
      </c>
    </row>
    <row r="53" spans="1:18" ht="16.149999999999999" customHeight="1" x14ac:dyDescent="0.2">
      <c r="A53" s="344" t="s">
        <v>755</v>
      </c>
      <c r="B53" t="s">
        <v>827</v>
      </c>
      <c r="C53" t="s">
        <v>823</v>
      </c>
      <c r="D53" t="s">
        <v>744</v>
      </c>
      <c r="E53" t="s">
        <v>829</v>
      </c>
      <c r="F53" t="s">
        <v>803</v>
      </c>
      <c r="G53" t="s">
        <v>830</v>
      </c>
      <c r="H53" t="s">
        <v>831</v>
      </c>
      <c r="I53" t="s">
        <v>722</v>
      </c>
      <c r="J53" t="s">
        <v>721</v>
      </c>
      <c r="K53"/>
      <c r="L53"/>
      <c r="M53" t="s">
        <v>845</v>
      </c>
      <c r="N53" t="s">
        <v>846</v>
      </c>
      <c r="O53"/>
      <c r="P53" t="e">
        <f>VLOOKUP(N53,#REF!,2,FALSE)</f>
        <v>#REF!</v>
      </c>
      <c r="Q53" t="s">
        <v>836</v>
      </c>
      <c r="R53" s="345">
        <v>-6477.45</v>
      </c>
    </row>
    <row r="54" spans="1:18" ht="16.149999999999999" customHeight="1" x14ac:dyDescent="0.2">
      <c r="A54" s="344" t="s">
        <v>756</v>
      </c>
      <c r="B54" t="s">
        <v>827</v>
      </c>
      <c r="C54" t="s">
        <v>823</v>
      </c>
      <c r="D54" t="s">
        <v>744</v>
      </c>
      <c r="E54" t="s">
        <v>829</v>
      </c>
      <c r="F54" t="s">
        <v>803</v>
      </c>
      <c r="G54" t="s">
        <v>830</v>
      </c>
      <c r="H54" t="s">
        <v>831</v>
      </c>
      <c r="I54" t="s">
        <v>722</v>
      </c>
      <c r="J54" t="s">
        <v>721</v>
      </c>
      <c r="K54"/>
      <c r="L54"/>
      <c r="M54" t="s">
        <v>845</v>
      </c>
      <c r="N54" t="s">
        <v>846</v>
      </c>
      <c r="O54"/>
      <c r="P54" t="e">
        <f>VLOOKUP(N54,#REF!,2,FALSE)</f>
        <v>#REF!</v>
      </c>
      <c r="Q54" t="s">
        <v>836</v>
      </c>
      <c r="R54" s="345">
        <v>-4301.4399999999996</v>
      </c>
    </row>
    <row r="55" spans="1:18" ht="16.149999999999999" customHeight="1" x14ac:dyDescent="0.2">
      <c r="A55" s="344" t="s">
        <v>757</v>
      </c>
      <c r="B55" t="s">
        <v>827</v>
      </c>
      <c r="C55" t="s">
        <v>823</v>
      </c>
      <c r="D55" t="s">
        <v>744</v>
      </c>
      <c r="E55" t="s">
        <v>829</v>
      </c>
      <c r="F55" t="s">
        <v>803</v>
      </c>
      <c r="G55" t="s">
        <v>830</v>
      </c>
      <c r="H55" t="s">
        <v>831</v>
      </c>
      <c r="I55" t="s">
        <v>722</v>
      </c>
      <c r="J55" t="s">
        <v>721</v>
      </c>
      <c r="K55"/>
      <c r="L55"/>
      <c r="M55" t="s">
        <v>845</v>
      </c>
      <c r="N55" t="s">
        <v>846</v>
      </c>
      <c r="O55"/>
      <c r="P55" t="e">
        <f>VLOOKUP(N55,#REF!,2,FALSE)</f>
        <v>#REF!</v>
      </c>
      <c r="Q55" t="s">
        <v>836</v>
      </c>
      <c r="R55" s="345">
        <v>-24503.599999999999</v>
      </c>
    </row>
    <row r="56" spans="1:18" ht="16.149999999999999" customHeight="1" x14ac:dyDescent="0.2">
      <c r="A56" s="344" t="s">
        <v>758</v>
      </c>
      <c r="B56" t="s">
        <v>827</v>
      </c>
      <c r="C56" t="s">
        <v>823</v>
      </c>
      <c r="D56" t="s">
        <v>744</v>
      </c>
      <c r="E56" t="s">
        <v>829</v>
      </c>
      <c r="F56" t="s">
        <v>803</v>
      </c>
      <c r="G56" t="s">
        <v>830</v>
      </c>
      <c r="H56" t="s">
        <v>831</v>
      </c>
      <c r="I56" t="s">
        <v>722</v>
      </c>
      <c r="J56" t="s">
        <v>721</v>
      </c>
      <c r="K56"/>
      <c r="L56"/>
      <c r="M56" t="s">
        <v>845</v>
      </c>
      <c r="N56" t="s">
        <v>846</v>
      </c>
      <c r="O56"/>
      <c r="P56" t="e">
        <f>VLOOKUP(N56,#REF!,2,FALSE)</f>
        <v>#REF!</v>
      </c>
      <c r="Q56" t="s">
        <v>836</v>
      </c>
      <c r="R56" s="345">
        <v>-829.79</v>
      </c>
    </row>
    <row r="57" spans="1:18" ht="16.149999999999999" customHeight="1" x14ac:dyDescent="0.2">
      <c r="A57" s="344" t="s">
        <v>759</v>
      </c>
      <c r="B57" t="s">
        <v>827</v>
      </c>
      <c r="C57" t="s">
        <v>823</v>
      </c>
      <c r="D57" t="s">
        <v>744</v>
      </c>
      <c r="E57" t="s">
        <v>829</v>
      </c>
      <c r="F57" t="s">
        <v>803</v>
      </c>
      <c r="G57" t="s">
        <v>830</v>
      </c>
      <c r="H57" t="s">
        <v>831</v>
      </c>
      <c r="I57" t="s">
        <v>722</v>
      </c>
      <c r="J57" t="s">
        <v>721</v>
      </c>
      <c r="K57"/>
      <c r="L57"/>
      <c r="M57" t="s">
        <v>845</v>
      </c>
      <c r="N57" t="s">
        <v>846</v>
      </c>
      <c r="O57"/>
      <c r="P57" t="e">
        <f>VLOOKUP(N57,#REF!,2,FALSE)</f>
        <v>#REF!</v>
      </c>
      <c r="Q57" t="s">
        <v>836</v>
      </c>
      <c r="R57" s="345">
        <v>-31.1</v>
      </c>
    </row>
    <row r="58" spans="1:18" ht="16.149999999999999" customHeight="1" x14ac:dyDescent="0.2">
      <c r="A58" s="344" t="s">
        <v>743</v>
      </c>
      <c r="B58" t="s">
        <v>827</v>
      </c>
      <c r="C58" t="s">
        <v>823</v>
      </c>
      <c r="D58" t="s">
        <v>744</v>
      </c>
      <c r="E58" t="s">
        <v>829</v>
      </c>
      <c r="F58" t="s">
        <v>803</v>
      </c>
      <c r="G58" t="s">
        <v>830</v>
      </c>
      <c r="H58" t="s">
        <v>831</v>
      </c>
      <c r="I58" t="s">
        <v>722</v>
      </c>
      <c r="J58" t="s">
        <v>721</v>
      </c>
      <c r="K58"/>
      <c r="L58"/>
      <c r="M58" t="s">
        <v>845</v>
      </c>
      <c r="N58" t="s">
        <v>846</v>
      </c>
      <c r="O58"/>
      <c r="P58" t="e">
        <f>VLOOKUP(N58,#REF!,2,FALSE)</f>
        <v>#REF!</v>
      </c>
      <c r="Q58" t="s">
        <v>836</v>
      </c>
      <c r="R58" s="345">
        <v>-508.3</v>
      </c>
    </row>
    <row r="59" spans="1:18" ht="16.149999999999999" customHeight="1" x14ac:dyDescent="0.2">
      <c r="A59" s="344" t="s">
        <v>760</v>
      </c>
      <c r="B59" t="s">
        <v>827</v>
      </c>
      <c r="C59" t="s">
        <v>823</v>
      </c>
      <c r="D59" t="s">
        <v>744</v>
      </c>
      <c r="E59" t="s">
        <v>829</v>
      </c>
      <c r="F59" t="s">
        <v>803</v>
      </c>
      <c r="G59" t="s">
        <v>830</v>
      </c>
      <c r="H59" t="s">
        <v>831</v>
      </c>
      <c r="I59" t="s">
        <v>722</v>
      </c>
      <c r="J59" t="s">
        <v>721</v>
      </c>
      <c r="K59"/>
      <c r="L59"/>
      <c r="M59" t="s">
        <v>845</v>
      </c>
      <c r="N59" t="s">
        <v>846</v>
      </c>
      <c r="O59"/>
      <c r="P59" t="e">
        <f>VLOOKUP(N59,#REF!,2,FALSE)</f>
        <v>#REF!</v>
      </c>
      <c r="Q59" t="s">
        <v>836</v>
      </c>
      <c r="R59" s="345">
        <v>-1658.95</v>
      </c>
    </row>
    <row r="60" spans="1:18" ht="16.149999999999999" customHeight="1" x14ac:dyDescent="0.2">
      <c r="A60" s="344" t="s">
        <v>759</v>
      </c>
      <c r="B60" t="s">
        <v>827</v>
      </c>
      <c r="C60" t="s">
        <v>823</v>
      </c>
      <c r="D60" t="s">
        <v>744</v>
      </c>
      <c r="E60" t="s">
        <v>829</v>
      </c>
      <c r="F60" t="s">
        <v>803</v>
      </c>
      <c r="G60" t="s">
        <v>830</v>
      </c>
      <c r="H60" t="s">
        <v>831</v>
      </c>
      <c r="I60" t="s">
        <v>722</v>
      </c>
      <c r="J60" t="s">
        <v>721</v>
      </c>
      <c r="K60"/>
      <c r="L60"/>
      <c r="M60" t="s">
        <v>845</v>
      </c>
      <c r="N60" t="s">
        <v>846</v>
      </c>
      <c r="O60"/>
      <c r="P60" t="e">
        <f>VLOOKUP(N60,#REF!,2,FALSE)</f>
        <v>#REF!</v>
      </c>
      <c r="Q60" t="s">
        <v>835</v>
      </c>
      <c r="R60" s="345">
        <v>-6055.53</v>
      </c>
    </row>
    <row r="61" spans="1:18" x14ac:dyDescent="0.2">
      <c r="A61" s="344" t="s">
        <v>743</v>
      </c>
      <c r="B61" t="s">
        <v>827</v>
      </c>
      <c r="C61" t="s">
        <v>823</v>
      </c>
      <c r="D61" t="s">
        <v>744</v>
      </c>
      <c r="E61" t="s">
        <v>829</v>
      </c>
      <c r="F61" t="s">
        <v>803</v>
      </c>
      <c r="G61" t="s">
        <v>830</v>
      </c>
      <c r="H61" t="s">
        <v>831</v>
      </c>
      <c r="I61" t="s">
        <v>722</v>
      </c>
      <c r="J61" t="s">
        <v>721</v>
      </c>
      <c r="K61"/>
      <c r="L61"/>
      <c r="M61" t="s">
        <v>845</v>
      </c>
      <c r="N61" t="s">
        <v>846</v>
      </c>
      <c r="O61"/>
      <c r="P61" t="e">
        <f>VLOOKUP(N61,#REF!,2,FALSE)</f>
        <v>#REF!</v>
      </c>
      <c r="Q61" t="s">
        <v>835</v>
      </c>
      <c r="R61" s="345">
        <v>-1189.73</v>
      </c>
    </row>
    <row r="62" spans="1:18" x14ac:dyDescent="0.2">
      <c r="A62" s="344" t="s">
        <v>749</v>
      </c>
      <c r="B62" t="s">
        <v>827</v>
      </c>
      <c r="C62" t="s">
        <v>823</v>
      </c>
      <c r="D62" t="s">
        <v>744</v>
      </c>
      <c r="E62" t="s">
        <v>829</v>
      </c>
      <c r="F62" t="s">
        <v>803</v>
      </c>
      <c r="G62" t="s">
        <v>830</v>
      </c>
      <c r="H62" t="s">
        <v>831</v>
      </c>
      <c r="I62" t="s">
        <v>722</v>
      </c>
      <c r="J62" t="s">
        <v>721</v>
      </c>
      <c r="K62"/>
      <c r="L62"/>
      <c r="M62" t="s">
        <v>847</v>
      </c>
      <c r="N62" t="s">
        <v>848</v>
      </c>
      <c r="O62"/>
      <c r="P62" t="e">
        <f>VLOOKUP(N62,#REF!,2,FALSE)</f>
        <v>#REF!</v>
      </c>
      <c r="Q62" t="s">
        <v>836</v>
      </c>
      <c r="R62" s="345">
        <v>-7622.29</v>
      </c>
    </row>
    <row r="63" spans="1:18" x14ac:dyDescent="0.2">
      <c r="A63" s="344" t="s">
        <v>752</v>
      </c>
      <c r="B63" t="s">
        <v>827</v>
      </c>
      <c r="C63" t="s">
        <v>823</v>
      </c>
      <c r="D63" t="s">
        <v>744</v>
      </c>
      <c r="E63" t="s">
        <v>829</v>
      </c>
      <c r="F63" t="s">
        <v>803</v>
      </c>
      <c r="G63" t="s">
        <v>830</v>
      </c>
      <c r="H63" t="s">
        <v>831</v>
      </c>
      <c r="I63" t="s">
        <v>722</v>
      </c>
      <c r="J63" t="s">
        <v>721</v>
      </c>
      <c r="K63"/>
      <c r="L63"/>
      <c r="M63" t="s">
        <v>847</v>
      </c>
      <c r="N63" t="s">
        <v>848</v>
      </c>
      <c r="O63"/>
      <c r="P63" t="e">
        <f>VLOOKUP(N63,#REF!,2,FALSE)</f>
        <v>#REF!</v>
      </c>
      <c r="Q63" t="s">
        <v>836</v>
      </c>
      <c r="R63" s="345">
        <v>-5170.76</v>
      </c>
    </row>
    <row r="64" spans="1:18" x14ac:dyDescent="0.2">
      <c r="A64" s="344" t="s">
        <v>753</v>
      </c>
      <c r="B64" t="s">
        <v>827</v>
      </c>
      <c r="C64" t="s">
        <v>823</v>
      </c>
      <c r="D64" t="s">
        <v>744</v>
      </c>
      <c r="E64" t="s">
        <v>829</v>
      </c>
      <c r="F64" t="s">
        <v>803</v>
      </c>
      <c r="G64" t="s">
        <v>830</v>
      </c>
      <c r="H64" t="s">
        <v>831</v>
      </c>
      <c r="I64" t="s">
        <v>722</v>
      </c>
      <c r="J64" t="s">
        <v>721</v>
      </c>
      <c r="K64"/>
      <c r="L64"/>
      <c r="M64" t="s">
        <v>847</v>
      </c>
      <c r="N64" t="s">
        <v>848</v>
      </c>
      <c r="O64"/>
      <c r="P64" t="e">
        <f>VLOOKUP(N64,#REF!,2,FALSE)</f>
        <v>#REF!</v>
      </c>
      <c r="Q64" t="s">
        <v>836</v>
      </c>
      <c r="R64" s="345">
        <v>-4211.3</v>
      </c>
    </row>
    <row r="65" spans="1:18" x14ac:dyDescent="0.2">
      <c r="A65" s="344" t="s">
        <v>754</v>
      </c>
      <c r="B65" t="s">
        <v>827</v>
      </c>
      <c r="C65" t="s">
        <v>823</v>
      </c>
      <c r="D65" t="s">
        <v>744</v>
      </c>
      <c r="E65" t="s">
        <v>829</v>
      </c>
      <c r="F65" t="s">
        <v>803</v>
      </c>
      <c r="G65" t="s">
        <v>830</v>
      </c>
      <c r="H65" t="s">
        <v>831</v>
      </c>
      <c r="I65" t="s">
        <v>722</v>
      </c>
      <c r="J65" t="s">
        <v>721</v>
      </c>
      <c r="K65"/>
      <c r="L65"/>
      <c r="M65" t="s">
        <v>847</v>
      </c>
      <c r="N65" t="s">
        <v>848</v>
      </c>
      <c r="O65"/>
      <c r="P65" t="e">
        <f>VLOOKUP(N65,#REF!,2,FALSE)</f>
        <v>#REF!</v>
      </c>
      <c r="Q65" t="s">
        <v>836</v>
      </c>
      <c r="R65" s="345">
        <v>-4820.01</v>
      </c>
    </row>
    <row r="66" spans="1:18" x14ac:dyDescent="0.2">
      <c r="A66" s="344" t="s">
        <v>755</v>
      </c>
      <c r="B66" t="s">
        <v>827</v>
      </c>
      <c r="C66" t="s">
        <v>823</v>
      </c>
      <c r="D66" t="s">
        <v>744</v>
      </c>
      <c r="E66" t="s">
        <v>829</v>
      </c>
      <c r="F66" t="s">
        <v>803</v>
      </c>
      <c r="G66" t="s">
        <v>830</v>
      </c>
      <c r="H66" t="s">
        <v>831</v>
      </c>
      <c r="I66" t="s">
        <v>722</v>
      </c>
      <c r="J66" t="s">
        <v>721</v>
      </c>
      <c r="K66"/>
      <c r="L66"/>
      <c r="M66" t="s">
        <v>847</v>
      </c>
      <c r="N66" t="s">
        <v>848</v>
      </c>
      <c r="O66"/>
      <c r="P66" t="e">
        <f>VLOOKUP(N66,#REF!,2,FALSE)</f>
        <v>#REF!</v>
      </c>
      <c r="Q66" t="s">
        <v>836</v>
      </c>
      <c r="R66" s="345">
        <v>-4832.53</v>
      </c>
    </row>
    <row r="67" spans="1:18" x14ac:dyDescent="0.2">
      <c r="A67" s="344" t="s">
        <v>756</v>
      </c>
      <c r="B67" t="s">
        <v>827</v>
      </c>
      <c r="C67" t="s">
        <v>823</v>
      </c>
      <c r="D67" t="s">
        <v>744</v>
      </c>
      <c r="E67" t="s">
        <v>829</v>
      </c>
      <c r="F67" t="s">
        <v>803</v>
      </c>
      <c r="G67" t="s">
        <v>830</v>
      </c>
      <c r="H67" t="s">
        <v>831</v>
      </c>
      <c r="I67" t="s">
        <v>722</v>
      </c>
      <c r="J67" t="s">
        <v>721</v>
      </c>
      <c r="K67"/>
      <c r="L67"/>
      <c r="M67" t="s">
        <v>847</v>
      </c>
      <c r="N67" t="s">
        <v>848</v>
      </c>
      <c r="O67"/>
      <c r="P67" t="e">
        <f>VLOOKUP(N67,#REF!,2,FALSE)</f>
        <v>#REF!</v>
      </c>
      <c r="Q67" t="s">
        <v>836</v>
      </c>
      <c r="R67" s="345">
        <v>-5589.23</v>
      </c>
    </row>
    <row r="68" spans="1:18" x14ac:dyDescent="0.2">
      <c r="A68" s="344" t="s">
        <v>757</v>
      </c>
      <c r="B68" t="s">
        <v>827</v>
      </c>
      <c r="C68" t="s">
        <v>823</v>
      </c>
      <c r="D68" t="s">
        <v>744</v>
      </c>
      <c r="E68" t="s">
        <v>829</v>
      </c>
      <c r="F68" t="s">
        <v>803</v>
      </c>
      <c r="G68" t="s">
        <v>830</v>
      </c>
      <c r="H68" t="s">
        <v>831</v>
      </c>
      <c r="I68" t="s">
        <v>722</v>
      </c>
      <c r="J68" t="s">
        <v>721</v>
      </c>
      <c r="K68"/>
      <c r="L68"/>
      <c r="M68" t="s">
        <v>847</v>
      </c>
      <c r="N68" t="s">
        <v>848</v>
      </c>
      <c r="O68"/>
      <c r="P68" t="e">
        <f>VLOOKUP(N68,#REF!,2,FALSE)</f>
        <v>#REF!</v>
      </c>
      <c r="Q68" t="s">
        <v>836</v>
      </c>
      <c r="R68" s="345">
        <v>-7039.55</v>
      </c>
    </row>
    <row r="69" spans="1:18" x14ac:dyDescent="0.2">
      <c r="A69" s="344" t="s">
        <v>758</v>
      </c>
      <c r="B69" t="s">
        <v>827</v>
      </c>
      <c r="C69" t="s">
        <v>823</v>
      </c>
      <c r="D69" t="s">
        <v>744</v>
      </c>
      <c r="E69" t="s">
        <v>829</v>
      </c>
      <c r="F69" t="s">
        <v>803</v>
      </c>
      <c r="G69" t="s">
        <v>830</v>
      </c>
      <c r="H69" t="s">
        <v>831</v>
      </c>
      <c r="I69" t="s">
        <v>722</v>
      </c>
      <c r="J69" t="s">
        <v>721</v>
      </c>
      <c r="K69"/>
      <c r="L69"/>
      <c r="M69" t="s">
        <v>847</v>
      </c>
      <c r="N69" t="s">
        <v>848</v>
      </c>
      <c r="O69"/>
      <c r="P69" t="e">
        <f>VLOOKUP(N69,#REF!,2,FALSE)</f>
        <v>#REF!</v>
      </c>
      <c r="Q69" t="s">
        <v>836</v>
      </c>
      <c r="R69" s="345">
        <v>-4326.8900000000003</v>
      </c>
    </row>
    <row r="70" spans="1:18" x14ac:dyDescent="0.2">
      <c r="A70" s="344" t="s">
        <v>759</v>
      </c>
      <c r="B70" t="s">
        <v>827</v>
      </c>
      <c r="C70" t="s">
        <v>823</v>
      </c>
      <c r="D70" t="s">
        <v>744</v>
      </c>
      <c r="E70" t="s">
        <v>829</v>
      </c>
      <c r="F70" t="s">
        <v>803</v>
      </c>
      <c r="G70" t="s">
        <v>830</v>
      </c>
      <c r="H70" t="s">
        <v>831</v>
      </c>
      <c r="I70" t="s">
        <v>722</v>
      </c>
      <c r="J70" t="s">
        <v>721</v>
      </c>
      <c r="K70"/>
      <c r="L70"/>
      <c r="M70" t="s">
        <v>847</v>
      </c>
      <c r="N70" t="s">
        <v>848</v>
      </c>
      <c r="O70"/>
      <c r="P70" t="e">
        <f>VLOOKUP(N70,#REF!,2,FALSE)</f>
        <v>#REF!</v>
      </c>
      <c r="Q70" t="s">
        <v>836</v>
      </c>
      <c r="R70" s="345">
        <v>-3620.6</v>
      </c>
    </row>
    <row r="71" spans="1:18" x14ac:dyDescent="0.2">
      <c r="A71" s="344" t="s">
        <v>743</v>
      </c>
      <c r="B71" t="s">
        <v>827</v>
      </c>
      <c r="C71" t="s">
        <v>823</v>
      </c>
      <c r="D71" t="s">
        <v>744</v>
      </c>
      <c r="E71" t="s">
        <v>829</v>
      </c>
      <c r="F71" t="s">
        <v>803</v>
      </c>
      <c r="G71" t="s">
        <v>830</v>
      </c>
      <c r="H71" t="s">
        <v>831</v>
      </c>
      <c r="I71" t="s">
        <v>722</v>
      </c>
      <c r="J71" t="s">
        <v>721</v>
      </c>
      <c r="K71"/>
      <c r="L71"/>
      <c r="M71" t="s">
        <v>847</v>
      </c>
      <c r="N71" t="s">
        <v>848</v>
      </c>
      <c r="O71"/>
      <c r="P71" t="e">
        <f>VLOOKUP(N71,#REF!,2,FALSE)</f>
        <v>#REF!</v>
      </c>
      <c r="Q71" t="s">
        <v>836</v>
      </c>
      <c r="R71" s="345">
        <v>-4080.96</v>
      </c>
    </row>
    <row r="72" spans="1:18" x14ac:dyDescent="0.2">
      <c r="A72" s="344" t="s">
        <v>760</v>
      </c>
      <c r="B72" t="s">
        <v>827</v>
      </c>
      <c r="C72" t="s">
        <v>823</v>
      </c>
      <c r="D72" t="s">
        <v>744</v>
      </c>
      <c r="E72" t="s">
        <v>829</v>
      </c>
      <c r="F72" t="s">
        <v>803</v>
      </c>
      <c r="G72" t="s">
        <v>830</v>
      </c>
      <c r="H72" t="s">
        <v>831</v>
      </c>
      <c r="I72" t="s">
        <v>722</v>
      </c>
      <c r="J72" t="s">
        <v>721</v>
      </c>
      <c r="K72"/>
      <c r="L72"/>
      <c r="M72" t="s">
        <v>847</v>
      </c>
      <c r="N72" t="s">
        <v>848</v>
      </c>
      <c r="O72"/>
      <c r="P72" t="e">
        <f>VLOOKUP(N72,#REF!,2,FALSE)</f>
        <v>#REF!</v>
      </c>
      <c r="Q72" t="s">
        <v>836</v>
      </c>
      <c r="R72" s="345">
        <v>-4336.71</v>
      </c>
    </row>
    <row r="73" spans="1:18" x14ac:dyDescent="0.2">
      <c r="A73" s="344" t="s">
        <v>745</v>
      </c>
      <c r="B73" t="s">
        <v>827</v>
      </c>
      <c r="C73" t="s">
        <v>823</v>
      </c>
      <c r="D73" t="s">
        <v>744</v>
      </c>
      <c r="E73" t="s">
        <v>829</v>
      </c>
      <c r="F73" t="s">
        <v>803</v>
      </c>
      <c r="G73" t="s">
        <v>830</v>
      </c>
      <c r="H73" t="s">
        <v>831</v>
      </c>
      <c r="I73" t="s">
        <v>722</v>
      </c>
      <c r="J73" t="s">
        <v>721</v>
      </c>
      <c r="K73"/>
      <c r="L73"/>
      <c r="M73" t="s">
        <v>847</v>
      </c>
      <c r="N73" t="s">
        <v>848</v>
      </c>
      <c r="O73"/>
      <c r="P73" t="e">
        <f>VLOOKUP(N73,#REF!,2,FALSE)</f>
        <v>#REF!</v>
      </c>
      <c r="Q73" t="s">
        <v>836</v>
      </c>
      <c r="R73" s="345">
        <v>-6693.31</v>
      </c>
    </row>
    <row r="74" spans="1:18" x14ac:dyDescent="0.2">
      <c r="A74" s="344" t="s">
        <v>749</v>
      </c>
      <c r="B74" t="s">
        <v>827</v>
      </c>
      <c r="C74" t="s">
        <v>823</v>
      </c>
      <c r="D74" t="s">
        <v>744</v>
      </c>
      <c r="E74" t="s">
        <v>829</v>
      </c>
      <c r="F74" t="s">
        <v>803</v>
      </c>
      <c r="G74" t="s">
        <v>830</v>
      </c>
      <c r="H74" t="s">
        <v>831</v>
      </c>
      <c r="I74" t="s">
        <v>722</v>
      </c>
      <c r="J74" t="s">
        <v>721</v>
      </c>
      <c r="K74"/>
      <c r="L74"/>
      <c r="M74" t="s">
        <v>849</v>
      </c>
      <c r="N74" t="s">
        <v>850</v>
      </c>
      <c r="O74"/>
      <c r="P74" s="373" t="s">
        <v>34</v>
      </c>
      <c r="Q74" t="s">
        <v>851</v>
      </c>
      <c r="R74" s="345">
        <v>-99109</v>
      </c>
    </row>
    <row r="75" spans="1:18" x14ac:dyDescent="0.2">
      <c r="A75" s="344" t="s">
        <v>749</v>
      </c>
      <c r="B75" t="s">
        <v>827</v>
      </c>
      <c r="C75" t="s">
        <v>823</v>
      </c>
      <c r="D75" t="s">
        <v>744</v>
      </c>
      <c r="E75" t="s">
        <v>829</v>
      </c>
      <c r="F75" t="s">
        <v>803</v>
      </c>
      <c r="G75" t="s">
        <v>830</v>
      </c>
      <c r="H75" t="s">
        <v>831</v>
      </c>
      <c r="I75" t="s">
        <v>832</v>
      </c>
      <c r="J75" t="s">
        <v>824</v>
      </c>
      <c r="K75"/>
      <c r="L75"/>
      <c r="M75" t="s">
        <v>852</v>
      </c>
      <c r="N75" t="s">
        <v>853</v>
      </c>
      <c r="O75"/>
      <c r="P75" t="e">
        <f>VLOOKUP(N75,#REF!,2,FALSE)</f>
        <v>#REF!</v>
      </c>
      <c r="Q75" t="s">
        <v>854</v>
      </c>
      <c r="R75" s="345">
        <v>-12918.76</v>
      </c>
    </row>
    <row r="76" spans="1:18" x14ac:dyDescent="0.2">
      <c r="A76" s="344" t="s">
        <v>752</v>
      </c>
      <c r="B76" t="s">
        <v>827</v>
      </c>
      <c r="C76" t="s">
        <v>823</v>
      </c>
      <c r="D76" t="s">
        <v>744</v>
      </c>
      <c r="E76" t="s">
        <v>829</v>
      </c>
      <c r="F76" t="s">
        <v>803</v>
      </c>
      <c r="G76" t="s">
        <v>830</v>
      </c>
      <c r="H76" t="s">
        <v>831</v>
      </c>
      <c r="I76" t="s">
        <v>832</v>
      </c>
      <c r="J76" t="s">
        <v>824</v>
      </c>
      <c r="K76"/>
      <c r="L76"/>
      <c r="M76" t="s">
        <v>852</v>
      </c>
      <c r="N76" t="s">
        <v>853</v>
      </c>
      <c r="O76"/>
      <c r="P76" t="e">
        <f>VLOOKUP(N76,#REF!,2,FALSE)</f>
        <v>#REF!</v>
      </c>
      <c r="Q76" t="s">
        <v>854</v>
      </c>
      <c r="R76" s="345">
        <v>-14759.1</v>
      </c>
    </row>
    <row r="77" spans="1:18" x14ac:dyDescent="0.2">
      <c r="A77" s="344" t="s">
        <v>753</v>
      </c>
      <c r="B77" t="s">
        <v>827</v>
      </c>
      <c r="C77" t="s">
        <v>823</v>
      </c>
      <c r="D77" t="s">
        <v>744</v>
      </c>
      <c r="E77" t="s">
        <v>829</v>
      </c>
      <c r="F77" t="s">
        <v>803</v>
      </c>
      <c r="G77" t="s">
        <v>830</v>
      </c>
      <c r="H77" t="s">
        <v>831</v>
      </c>
      <c r="I77" t="s">
        <v>832</v>
      </c>
      <c r="J77" t="s">
        <v>824</v>
      </c>
      <c r="K77"/>
      <c r="L77"/>
      <c r="M77" t="s">
        <v>852</v>
      </c>
      <c r="N77" t="s">
        <v>853</v>
      </c>
      <c r="O77"/>
      <c r="P77" t="e">
        <f>VLOOKUP(N77,#REF!,2,FALSE)</f>
        <v>#REF!</v>
      </c>
      <c r="Q77" t="s">
        <v>854</v>
      </c>
      <c r="R77" s="345">
        <v>-17774.400000000001</v>
      </c>
    </row>
    <row r="78" spans="1:18" x14ac:dyDescent="0.2">
      <c r="A78" s="344" t="s">
        <v>754</v>
      </c>
      <c r="B78" t="s">
        <v>827</v>
      </c>
      <c r="C78" t="s">
        <v>823</v>
      </c>
      <c r="D78" t="s">
        <v>744</v>
      </c>
      <c r="E78" t="s">
        <v>829</v>
      </c>
      <c r="F78" t="s">
        <v>803</v>
      </c>
      <c r="G78" t="s">
        <v>830</v>
      </c>
      <c r="H78" t="s">
        <v>831</v>
      </c>
      <c r="I78" t="s">
        <v>832</v>
      </c>
      <c r="J78" t="s">
        <v>824</v>
      </c>
      <c r="K78"/>
      <c r="L78"/>
      <c r="M78" t="s">
        <v>852</v>
      </c>
      <c r="N78" t="s">
        <v>853</v>
      </c>
      <c r="O78"/>
      <c r="P78" t="e">
        <f>VLOOKUP(N78,#REF!,2,FALSE)</f>
        <v>#REF!</v>
      </c>
      <c r="Q78" t="s">
        <v>854</v>
      </c>
      <c r="R78" s="345">
        <v>-16875.099999999999</v>
      </c>
    </row>
    <row r="79" spans="1:18" x14ac:dyDescent="0.2">
      <c r="A79" s="344" t="s">
        <v>755</v>
      </c>
      <c r="B79" t="s">
        <v>827</v>
      </c>
      <c r="C79" t="s">
        <v>823</v>
      </c>
      <c r="D79" t="s">
        <v>744</v>
      </c>
      <c r="E79" t="s">
        <v>829</v>
      </c>
      <c r="F79" t="s">
        <v>803</v>
      </c>
      <c r="G79" t="s">
        <v>830</v>
      </c>
      <c r="H79" t="s">
        <v>831</v>
      </c>
      <c r="I79" t="s">
        <v>832</v>
      </c>
      <c r="J79" t="s">
        <v>824</v>
      </c>
      <c r="K79"/>
      <c r="L79"/>
      <c r="M79" t="s">
        <v>852</v>
      </c>
      <c r="N79" t="s">
        <v>853</v>
      </c>
      <c r="O79"/>
      <c r="P79" t="e">
        <f>VLOOKUP(N79,#REF!,2,FALSE)</f>
        <v>#REF!</v>
      </c>
      <c r="Q79" t="s">
        <v>854</v>
      </c>
      <c r="R79" s="345">
        <v>-14124.3</v>
      </c>
    </row>
    <row r="80" spans="1:18" x14ac:dyDescent="0.2">
      <c r="A80" s="344" t="s">
        <v>756</v>
      </c>
      <c r="B80" t="s">
        <v>827</v>
      </c>
      <c r="C80" t="s">
        <v>823</v>
      </c>
      <c r="D80" t="s">
        <v>744</v>
      </c>
      <c r="E80" t="s">
        <v>829</v>
      </c>
      <c r="F80" t="s">
        <v>803</v>
      </c>
      <c r="G80" t="s">
        <v>830</v>
      </c>
      <c r="H80" t="s">
        <v>831</v>
      </c>
      <c r="I80" t="s">
        <v>832</v>
      </c>
      <c r="J80" t="s">
        <v>824</v>
      </c>
      <c r="K80"/>
      <c r="L80"/>
      <c r="M80" t="s">
        <v>852</v>
      </c>
      <c r="N80" t="s">
        <v>853</v>
      </c>
      <c r="O80"/>
      <c r="P80" t="e">
        <f>VLOOKUP(N80,#REF!,2,FALSE)</f>
        <v>#REF!</v>
      </c>
      <c r="Q80" t="s">
        <v>854</v>
      </c>
      <c r="R80" s="345">
        <v>-15975.8</v>
      </c>
    </row>
    <row r="81" spans="1:18" x14ac:dyDescent="0.2">
      <c r="A81" s="344" t="s">
        <v>757</v>
      </c>
      <c r="B81" t="s">
        <v>827</v>
      </c>
      <c r="C81" t="s">
        <v>823</v>
      </c>
      <c r="D81" t="s">
        <v>744</v>
      </c>
      <c r="E81" t="s">
        <v>829</v>
      </c>
      <c r="F81" t="s">
        <v>803</v>
      </c>
      <c r="G81" t="s">
        <v>830</v>
      </c>
      <c r="H81" t="s">
        <v>831</v>
      </c>
      <c r="I81" t="s">
        <v>832</v>
      </c>
      <c r="J81" t="s">
        <v>824</v>
      </c>
      <c r="K81"/>
      <c r="L81"/>
      <c r="M81" t="s">
        <v>852</v>
      </c>
      <c r="N81" t="s">
        <v>853</v>
      </c>
      <c r="O81"/>
      <c r="P81" t="e">
        <f>VLOOKUP(N81,#REF!,2,FALSE)</f>
        <v>#REF!</v>
      </c>
      <c r="Q81" t="s">
        <v>854</v>
      </c>
      <c r="R81" s="345">
        <v>-10897.4</v>
      </c>
    </row>
    <row r="82" spans="1:18" x14ac:dyDescent="0.2">
      <c r="A82" s="344" t="s">
        <v>758</v>
      </c>
      <c r="B82" t="s">
        <v>827</v>
      </c>
      <c r="C82" t="s">
        <v>823</v>
      </c>
      <c r="D82" t="s">
        <v>744</v>
      </c>
      <c r="E82" t="s">
        <v>829</v>
      </c>
      <c r="F82" t="s">
        <v>803</v>
      </c>
      <c r="G82" t="s">
        <v>830</v>
      </c>
      <c r="H82" t="s">
        <v>831</v>
      </c>
      <c r="I82" t="s">
        <v>832</v>
      </c>
      <c r="J82" t="s">
        <v>824</v>
      </c>
      <c r="K82"/>
      <c r="L82"/>
      <c r="M82" t="s">
        <v>852</v>
      </c>
      <c r="N82" t="s">
        <v>853</v>
      </c>
      <c r="O82"/>
      <c r="P82" t="e">
        <f>VLOOKUP(N82,#REF!,2,FALSE)</f>
        <v>#REF!</v>
      </c>
      <c r="Q82" t="s">
        <v>854</v>
      </c>
      <c r="R82" s="345">
        <v>-10897.4</v>
      </c>
    </row>
    <row r="83" spans="1:18" x14ac:dyDescent="0.2">
      <c r="A83" s="344" t="s">
        <v>759</v>
      </c>
      <c r="B83" t="s">
        <v>827</v>
      </c>
      <c r="C83" t="s">
        <v>823</v>
      </c>
      <c r="D83" t="s">
        <v>744</v>
      </c>
      <c r="E83" t="s">
        <v>829</v>
      </c>
      <c r="F83" t="s">
        <v>803</v>
      </c>
      <c r="G83" t="s">
        <v>830</v>
      </c>
      <c r="H83" t="s">
        <v>831</v>
      </c>
      <c r="I83" t="s">
        <v>832</v>
      </c>
      <c r="J83" t="s">
        <v>824</v>
      </c>
      <c r="K83"/>
      <c r="L83"/>
      <c r="M83" t="s">
        <v>852</v>
      </c>
      <c r="N83" t="s">
        <v>853</v>
      </c>
      <c r="O83"/>
      <c r="P83" t="e">
        <f>VLOOKUP(N83,#REF!,2,FALSE)</f>
        <v>#REF!</v>
      </c>
      <c r="Q83" t="s">
        <v>854</v>
      </c>
      <c r="R83" s="345">
        <v>-13172.1</v>
      </c>
    </row>
    <row r="84" spans="1:18" x14ac:dyDescent="0.2">
      <c r="A84" s="344" t="s">
        <v>743</v>
      </c>
      <c r="B84" t="s">
        <v>827</v>
      </c>
      <c r="C84" t="s">
        <v>823</v>
      </c>
      <c r="D84" t="s">
        <v>744</v>
      </c>
      <c r="E84" t="s">
        <v>829</v>
      </c>
      <c r="F84" t="s">
        <v>803</v>
      </c>
      <c r="G84" t="s">
        <v>830</v>
      </c>
      <c r="H84" t="s">
        <v>831</v>
      </c>
      <c r="I84" t="s">
        <v>832</v>
      </c>
      <c r="J84" t="s">
        <v>824</v>
      </c>
      <c r="K84"/>
      <c r="L84"/>
      <c r="M84" t="s">
        <v>852</v>
      </c>
      <c r="N84" t="s">
        <v>853</v>
      </c>
      <c r="O84"/>
      <c r="P84" t="e">
        <f>VLOOKUP(N84,#REF!,2,FALSE)</f>
        <v>#REF!</v>
      </c>
      <c r="Q84" t="s">
        <v>854</v>
      </c>
      <c r="R84" s="345">
        <v>-15182.3</v>
      </c>
    </row>
    <row r="85" spans="1:18" x14ac:dyDescent="0.2">
      <c r="A85" s="344" t="s">
        <v>760</v>
      </c>
      <c r="B85" t="s">
        <v>827</v>
      </c>
      <c r="C85" t="s">
        <v>823</v>
      </c>
      <c r="D85" t="s">
        <v>744</v>
      </c>
      <c r="E85" t="s">
        <v>829</v>
      </c>
      <c r="F85" t="s">
        <v>803</v>
      </c>
      <c r="G85" t="s">
        <v>830</v>
      </c>
      <c r="H85" t="s">
        <v>831</v>
      </c>
      <c r="I85" t="s">
        <v>832</v>
      </c>
      <c r="J85" t="s">
        <v>824</v>
      </c>
      <c r="K85"/>
      <c r="L85"/>
      <c r="M85" t="s">
        <v>852</v>
      </c>
      <c r="N85" t="s">
        <v>853</v>
      </c>
      <c r="O85"/>
      <c r="P85" t="e">
        <f>VLOOKUP(N85,#REF!,2,FALSE)</f>
        <v>#REF!</v>
      </c>
      <c r="Q85" t="s">
        <v>854</v>
      </c>
      <c r="R85" s="345">
        <v>-14759.1</v>
      </c>
    </row>
    <row r="86" spans="1:18" x14ac:dyDescent="0.2">
      <c r="A86" s="344" t="s">
        <v>745</v>
      </c>
      <c r="B86" t="s">
        <v>827</v>
      </c>
      <c r="C86" t="s">
        <v>823</v>
      </c>
      <c r="D86" t="s">
        <v>744</v>
      </c>
      <c r="E86" t="s">
        <v>829</v>
      </c>
      <c r="F86" t="s">
        <v>803</v>
      </c>
      <c r="G86" t="s">
        <v>830</v>
      </c>
      <c r="H86" t="s">
        <v>831</v>
      </c>
      <c r="I86" t="s">
        <v>832</v>
      </c>
      <c r="J86" t="s">
        <v>824</v>
      </c>
      <c r="K86"/>
      <c r="L86"/>
      <c r="M86" t="s">
        <v>852</v>
      </c>
      <c r="N86" t="s">
        <v>853</v>
      </c>
      <c r="O86"/>
      <c r="P86" t="e">
        <f>VLOOKUP(N86,#REF!,2,FALSE)</f>
        <v>#REF!</v>
      </c>
      <c r="Q86" t="s">
        <v>854</v>
      </c>
      <c r="R86" s="345">
        <v>-14071.4</v>
      </c>
    </row>
    <row r="87" spans="1:18" x14ac:dyDescent="0.2">
      <c r="A87" s="344" t="s">
        <v>757</v>
      </c>
      <c r="B87" t="s">
        <v>827</v>
      </c>
      <c r="C87" t="s">
        <v>823</v>
      </c>
      <c r="D87" t="s">
        <v>855</v>
      </c>
      <c r="E87" t="s">
        <v>829</v>
      </c>
      <c r="F87" t="s">
        <v>803</v>
      </c>
      <c r="G87" t="s">
        <v>830</v>
      </c>
      <c r="H87" t="s">
        <v>831</v>
      </c>
      <c r="I87" t="s">
        <v>722</v>
      </c>
      <c r="J87" t="s">
        <v>721</v>
      </c>
      <c r="K87"/>
      <c r="L87"/>
      <c r="M87" t="s">
        <v>747</v>
      </c>
      <c r="N87" t="s">
        <v>748</v>
      </c>
      <c r="O87"/>
      <c r="P87" t="e">
        <f>VLOOKUP(N87,#REF!,2,FALSE)</f>
        <v>#REF!</v>
      </c>
      <c r="Q87" t="s">
        <v>835</v>
      </c>
      <c r="R87" s="345">
        <v>-994.83</v>
      </c>
    </row>
    <row r="88" spans="1:18" x14ac:dyDescent="0.2">
      <c r="A88" s="344" t="s">
        <v>758</v>
      </c>
      <c r="B88" t="s">
        <v>827</v>
      </c>
      <c r="C88" t="s">
        <v>823</v>
      </c>
      <c r="D88" t="s">
        <v>855</v>
      </c>
      <c r="E88" t="s">
        <v>829</v>
      </c>
      <c r="F88" t="s">
        <v>803</v>
      </c>
      <c r="G88" t="s">
        <v>830</v>
      </c>
      <c r="H88" t="s">
        <v>831</v>
      </c>
      <c r="I88" t="s">
        <v>722</v>
      </c>
      <c r="J88" t="s">
        <v>721</v>
      </c>
      <c r="K88"/>
      <c r="L88"/>
      <c r="M88" t="s">
        <v>747</v>
      </c>
      <c r="N88" t="s">
        <v>748</v>
      </c>
      <c r="O88"/>
      <c r="P88" t="e">
        <f>VLOOKUP(N88,#REF!,2,FALSE)</f>
        <v>#REF!</v>
      </c>
      <c r="Q88" t="s">
        <v>835</v>
      </c>
      <c r="R88" s="345">
        <v>994.83</v>
      </c>
    </row>
    <row r="89" spans="1:18" x14ac:dyDescent="0.2">
      <c r="A89" s="344" t="s">
        <v>759</v>
      </c>
      <c r="B89" t="s">
        <v>827</v>
      </c>
      <c r="C89" t="s">
        <v>823</v>
      </c>
      <c r="D89" t="s">
        <v>855</v>
      </c>
      <c r="E89" t="s">
        <v>829</v>
      </c>
      <c r="F89" t="s">
        <v>803</v>
      </c>
      <c r="G89" t="s">
        <v>830</v>
      </c>
      <c r="H89" t="s">
        <v>831</v>
      </c>
      <c r="I89" t="s">
        <v>722</v>
      </c>
      <c r="J89" t="s">
        <v>721</v>
      </c>
      <c r="K89"/>
      <c r="L89"/>
      <c r="M89" t="s">
        <v>747</v>
      </c>
      <c r="N89" t="s">
        <v>748</v>
      </c>
      <c r="O89"/>
      <c r="P89" t="e">
        <f>VLOOKUP(N89,#REF!,2,FALSE)</f>
        <v>#REF!</v>
      </c>
      <c r="Q89" t="s">
        <v>835</v>
      </c>
      <c r="R89" s="345">
        <v>-994.83</v>
      </c>
    </row>
    <row r="90" spans="1:18" x14ac:dyDescent="0.2">
      <c r="A90" s="344" t="s">
        <v>743</v>
      </c>
      <c r="B90" t="s">
        <v>827</v>
      </c>
      <c r="C90" t="s">
        <v>823</v>
      </c>
      <c r="D90" t="s">
        <v>855</v>
      </c>
      <c r="E90" t="s">
        <v>829</v>
      </c>
      <c r="F90" t="s">
        <v>803</v>
      </c>
      <c r="G90" t="s">
        <v>830</v>
      </c>
      <c r="H90" t="s">
        <v>831</v>
      </c>
      <c r="I90" t="s">
        <v>722</v>
      </c>
      <c r="J90" t="s">
        <v>721</v>
      </c>
      <c r="K90"/>
      <c r="L90"/>
      <c r="M90" t="s">
        <v>747</v>
      </c>
      <c r="N90" t="s">
        <v>748</v>
      </c>
      <c r="O90"/>
      <c r="P90" t="e">
        <f>VLOOKUP(N90,#REF!,2,FALSE)</f>
        <v>#REF!</v>
      </c>
      <c r="Q90" t="s">
        <v>835</v>
      </c>
      <c r="R90" s="345">
        <v>994.83</v>
      </c>
    </row>
    <row r="91" spans="1:18" x14ac:dyDescent="0.2">
      <c r="A91" s="344" t="s">
        <v>745</v>
      </c>
      <c r="B91" t="s">
        <v>827</v>
      </c>
      <c r="C91" t="s">
        <v>823</v>
      </c>
      <c r="D91" t="s">
        <v>855</v>
      </c>
      <c r="E91" t="s">
        <v>829</v>
      </c>
      <c r="F91" t="s">
        <v>803</v>
      </c>
      <c r="G91" t="s">
        <v>830</v>
      </c>
      <c r="H91" t="s">
        <v>831</v>
      </c>
      <c r="I91" t="s">
        <v>722</v>
      </c>
      <c r="J91" t="s">
        <v>721</v>
      </c>
      <c r="K91"/>
      <c r="L91"/>
      <c r="M91" t="s">
        <v>747</v>
      </c>
      <c r="N91" t="s">
        <v>748</v>
      </c>
      <c r="O91"/>
      <c r="P91" t="e">
        <f>VLOOKUP(N91,#REF!,2,FALSE)</f>
        <v>#REF!</v>
      </c>
      <c r="Q91" t="s">
        <v>835</v>
      </c>
      <c r="R91" s="345">
        <v>-1004.1</v>
      </c>
    </row>
    <row r="92" spans="1:18" x14ac:dyDescent="0.2">
      <c r="A92" s="344" t="s">
        <v>749</v>
      </c>
      <c r="B92" t="s">
        <v>827</v>
      </c>
      <c r="C92" t="s">
        <v>823</v>
      </c>
      <c r="D92" t="s">
        <v>855</v>
      </c>
      <c r="E92" t="s">
        <v>829</v>
      </c>
      <c r="F92" t="s">
        <v>803</v>
      </c>
      <c r="G92" t="s">
        <v>830</v>
      </c>
      <c r="H92" t="s">
        <v>831</v>
      </c>
      <c r="I92" t="s">
        <v>722</v>
      </c>
      <c r="J92" t="s">
        <v>721</v>
      </c>
      <c r="K92"/>
      <c r="L92"/>
      <c r="M92" t="s">
        <v>750</v>
      </c>
      <c r="N92" t="s">
        <v>751</v>
      </c>
      <c r="O92"/>
      <c r="P92" t="e">
        <f>VLOOKUP(N92,#REF!,2,FALSE)</f>
        <v>#REF!</v>
      </c>
      <c r="Q92" t="s">
        <v>836</v>
      </c>
      <c r="R92" s="345">
        <v>-2119.44</v>
      </c>
    </row>
    <row r="93" spans="1:18" x14ac:dyDescent="0.2">
      <c r="A93" s="344" t="s">
        <v>752</v>
      </c>
      <c r="B93" t="s">
        <v>827</v>
      </c>
      <c r="C93" t="s">
        <v>823</v>
      </c>
      <c r="D93" t="s">
        <v>855</v>
      </c>
      <c r="E93" t="s">
        <v>829</v>
      </c>
      <c r="F93" t="s">
        <v>803</v>
      </c>
      <c r="G93" t="s">
        <v>830</v>
      </c>
      <c r="H93" t="s">
        <v>831</v>
      </c>
      <c r="I93" t="s">
        <v>722</v>
      </c>
      <c r="J93" t="s">
        <v>721</v>
      </c>
      <c r="K93"/>
      <c r="L93"/>
      <c r="M93" t="s">
        <v>750</v>
      </c>
      <c r="N93" t="s">
        <v>751</v>
      </c>
      <c r="O93"/>
      <c r="P93" t="e">
        <f>VLOOKUP(N93,#REF!,2,FALSE)</f>
        <v>#REF!</v>
      </c>
      <c r="Q93" t="s">
        <v>836</v>
      </c>
      <c r="R93" s="345">
        <v>0</v>
      </c>
    </row>
    <row r="94" spans="1:18" x14ac:dyDescent="0.2">
      <c r="A94" s="344" t="s">
        <v>753</v>
      </c>
      <c r="B94" t="s">
        <v>827</v>
      </c>
      <c r="C94" t="s">
        <v>823</v>
      </c>
      <c r="D94" t="s">
        <v>855</v>
      </c>
      <c r="E94" t="s">
        <v>829</v>
      </c>
      <c r="F94" t="s">
        <v>803</v>
      </c>
      <c r="G94" t="s">
        <v>830</v>
      </c>
      <c r="H94" t="s">
        <v>831</v>
      </c>
      <c r="I94" t="s">
        <v>722</v>
      </c>
      <c r="J94" t="s">
        <v>721</v>
      </c>
      <c r="K94"/>
      <c r="L94"/>
      <c r="M94" t="s">
        <v>750</v>
      </c>
      <c r="N94" t="s">
        <v>751</v>
      </c>
      <c r="O94"/>
      <c r="P94" t="e">
        <f>VLOOKUP(N94,#REF!,2,FALSE)</f>
        <v>#REF!</v>
      </c>
      <c r="Q94" t="s">
        <v>836</v>
      </c>
      <c r="R94" s="345">
        <v>1627.05</v>
      </c>
    </row>
    <row r="95" spans="1:18" x14ac:dyDescent="0.2">
      <c r="A95" s="344" t="s">
        <v>754</v>
      </c>
      <c r="B95" t="s">
        <v>827</v>
      </c>
      <c r="C95" t="s">
        <v>823</v>
      </c>
      <c r="D95" t="s">
        <v>855</v>
      </c>
      <c r="E95" t="s">
        <v>829</v>
      </c>
      <c r="F95" t="s">
        <v>803</v>
      </c>
      <c r="G95" t="s">
        <v>830</v>
      </c>
      <c r="H95" t="s">
        <v>831</v>
      </c>
      <c r="I95" t="s">
        <v>722</v>
      </c>
      <c r="J95" t="s">
        <v>721</v>
      </c>
      <c r="K95"/>
      <c r="L95"/>
      <c r="M95" t="s">
        <v>750</v>
      </c>
      <c r="N95" t="s">
        <v>751</v>
      </c>
      <c r="O95"/>
      <c r="P95" t="e">
        <f>VLOOKUP(N95,#REF!,2,FALSE)</f>
        <v>#REF!</v>
      </c>
      <c r="Q95" t="s">
        <v>836</v>
      </c>
      <c r="R95" s="345">
        <v>-1736.04</v>
      </c>
    </row>
    <row r="96" spans="1:18" x14ac:dyDescent="0.2">
      <c r="A96" s="344" t="s">
        <v>755</v>
      </c>
      <c r="B96" t="s">
        <v>827</v>
      </c>
      <c r="C96" t="s">
        <v>823</v>
      </c>
      <c r="D96" t="s">
        <v>855</v>
      </c>
      <c r="E96" t="s">
        <v>829</v>
      </c>
      <c r="F96" t="s">
        <v>803</v>
      </c>
      <c r="G96" t="s">
        <v>830</v>
      </c>
      <c r="H96" t="s">
        <v>831</v>
      </c>
      <c r="I96" t="s">
        <v>722</v>
      </c>
      <c r="J96" t="s">
        <v>721</v>
      </c>
      <c r="K96"/>
      <c r="L96"/>
      <c r="M96" t="s">
        <v>750</v>
      </c>
      <c r="N96" t="s">
        <v>751</v>
      </c>
      <c r="O96"/>
      <c r="P96" t="e">
        <f>VLOOKUP(N96,#REF!,2,FALSE)</f>
        <v>#REF!</v>
      </c>
      <c r="Q96" t="s">
        <v>836</v>
      </c>
      <c r="R96" s="345">
        <v>1630.56</v>
      </c>
    </row>
    <row r="97" spans="1:18" x14ac:dyDescent="0.2">
      <c r="A97" s="344" t="s">
        <v>756</v>
      </c>
      <c r="B97" t="s">
        <v>827</v>
      </c>
      <c r="C97" t="s">
        <v>823</v>
      </c>
      <c r="D97" t="s">
        <v>855</v>
      </c>
      <c r="E97" t="s">
        <v>829</v>
      </c>
      <c r="F97" t="s">
        <v>803</v>
      </c>
      <c r="G97" t="s">
        <v>830</v>
      </c>
      <c r="H97" t="s">
        <v>831</v>
      </c>
      <c r="I97" t="s">
        <v>722</v>
      </c>
      <c r="J97" t="s">
        <v>721</v>
      </c>
      <c r="K97"/>
      <c r="L97"/>
      <c r="M97" t="s">
        <v>750</v>
      </c>
      <c r="N97" t="s">
        <v>751</v>
      </c>
      <c r="O97"/>
      <c r="P97" t="e">
        <f>VLOOKUP(N97,#REF!,2,FALSE)</f>
        <v>#REF!</v>
      </c>
      <c r="Q97" t="s">
        <v>836</v>
      </c>
      <c r="R97" s="345">
        <v>-1630.56</v>
      </c>
    </row>
    <row r="98" spans="1:18" x14ac:dyDescent="0.2">
      <c r="A98" s="344" t="s">
        <v>757</v>
      </c>
      <c r="B98" t="s">
        <v>827</v>
      </c>
      <c r="C98" t="s">
        <v>823</v>
      </c>
      <c r="D98" t="s">
        <v>855</v>
      </c>
      <c r="E98" t="s">
        <v>829</v>
      </c>
      <c r="F98" t="s">
        <v>803</v>
      </c>
      <c r="G98" t="s">
        <v>830</v>
      </c>
      <c r="H98" t="s">
        <v>831</v>
      </c>
      <c r="I98" t="s">
        <v>722</v>
      </c>
      <c r="J98" t="s">
        <v>721</v>
      </c>
      <c r="K98"/>
      <c r="L98"/>
      <c r="M98" t="s">
        <v>750</v>
      </c>
      <c r="N98" t="s">
        <v>751</v>
      </c>
      <c r="O98"/>
      <c r="P98" t="e">
        <f>VLOOKUP(N98,#REF!,2,FALSE)</f>
        <v>#REF!</v>
      </c>
      <c r="Q98" t="s">
        <v>836</v>
      </c>
      <c r="R98" s="345">
        <v>-109</v>
      </c>
    </row>
    <row r="99" spans="1:18" x14ac:dyDescent="0.2">
      <c r="A99" s="344" t="s">
        <v>758</v>
      </c>
      <c r="B99" t="s">
        <v>827</v>
      </c>
      <c r="C99" t="s">
        <v>823</v>
      </c>
      <c r="D99" t="s">
        <v>855</v>
      </c>
      <c r="E99" t="s">
        <v>829</v>
      </c>
      <c r="F99" t="s">
        <v>803</v>
      </c>
      <c r="G99" t="s">
        <v>830</v>
      </c>
      <c r="H99" t="s">
        <v>831</v>
      </c>
      <c r="I99" t="s">
        <v>722</v>
      </c>
      <c r="J99" t="s">
        <v>721</v>
      </c>
      <c r="K99"/>
      <c r="L99"/>
      <c r="M99" t="s">
        <v>750</v>
      </c>
      <c r="N99" t="s">
        <v>751</v>
      </c>
      <c r="O99"/>
      <c r="P99" t="e">
        <f>VLOOKUP(N99,#REF!,2,FALSE)</f>
        <v>#REF!</v>
      </c>
      <c r="Q99" t="s">
        <v>836</v>
      </c>
      <c r="R99" s="345">
        <v>4902.2299999999996</v>
      </c>
    </row>
    <row r="100" spans="1:18" x14ac:dyDescent="0.2">
      <c r="A100" s="344" t="s">
        <v>759</v>
      </c>
      <c r="B100" t="s">
        <v>827</v>
      </c>
      <c r="C100" t="s">
        <v>823</v>
      </c>
      <c r="D100" t="s">
        <v>855</v>
      </c>
      <c r="E100" t="s">
        <v>829</v>
      </c>
      <c r="F100" t="s">
        <v>803</v>
      </c>
      <c r="G100" t="s">
        <v>830</v>
      </c>
      <c r="H100" t="s">
        <v>831</v>
      </c>
      <c r="I100" t="s">
        <v>722</v>
      </c>
      <c r="J100" t="s">
        <v>721</v>
      </c>
      <c r="K100"/>
      <c r="L100"/>
      <c r="M100" t="s">
        <v>750</v>
      </c>
      <c r="N100" t="s">
        <v>751</v>
      </c>
      <c r="O100"/>
      <c r="P100" t="e">
        <f>VLOOKUP(N100,#REF!,2,FALSE)</f>
        <v>#REF!</v>
      </c>
      <c r="Q100" t="s">
        <v>836</v>
      </c>
      <c r="R100" s="345">
        <v>-4902.2299999999996</v>
      </c>
    </row>
    <row r="101" spans="1:18" x14ac:dyDescent="0.2">
      <c r="A101" s="344" t="s">
        <v>743</v>
      </c>
      <c r="B101" t="s">
        <v>827</v>
      </c>
      <c r="C101" t="s">
        <v>823</v>
      </c>
      <c r="D101" t="s">
        <v>855</v>
      </c>
      <c r="E101" t="s">
        <v>829</v>
      </c>
      <c r="F101" t="s">
        <v>803</v>
      </c>
      <c r="G101" t="s">
        <v>830</v>
      </c>
      <c r="H101" t="s">
        <v>831</v>
      </c>
      <c r="I101" t="s">
        <v>722</v>
      </c>
      <c r="J101" t="s">
        <v>721</v>
      </c>
      <c r="K101"/>
      <c r="L101"/>
      <c r="M101" t="s">
        <v>750</v>
      </c>
      <c r="N101" t="s">
        <v>751</v>
      </c>
      <c r="O101"/>
      <c r="P101" t="e">
        <f>VLOOKUP(N101,#REF!,2,FALSE)</f>
        <v>#REF!</v>
      </c>
      <c r="Q101" t="s">
        <v>836</v>
      </c>
      <c r="R101" s="345">
        <v>1176.8800000000001</v>
      </c>
    </row>
    <row r="102" spans="1:18" x14ac:dyDescent="0.2">
      <c r="A102" s="344" t="s">
        <v>760</v>
      </c>
      <c r="B102" t="s">
        <v>827</v>
      </c>
      <c r="C102" t="s">
        <v>823</v>
      </c>
      <c r="D102" t="s">
        <v>855</v>
      </c>
      <c r="E102" t="s">
        <v>829</v>
      </c>
      <c r="F102" t="s">
        <v>803</v>
      </c>
      <c r="G102" t="s">
        <v>830</v>
      </c>
      <c r="H102" t="s">
        <v>831</v>
      </c>
      <c r="I102" t="s">
        <v>722</v>
      </c>
      <c r="J102" t="s">
        <v>721</v>
      </c>
      <c r="K102"/>
      <c r="L102"/>
      <c r="M102" t="s">
        <v>750</v>
      </c>
      <c r="N102" t="s">
        <v>751</v>
      </c>
      <c r="O102"/>
      <c r="P102" t="e">
        <f>VLOOKUP(N102,#REF!,2,FALSE)</f>
        <v>#REF!</v>
      </c>
      <c r="Q102" t="s">
        <v>836</v>
      </c>
      <c r="R102" s="345">
        <v>-1649.32</v>
      </c>
    </row>
    <row r="103" spans="1:18" x14ac:dyDescent="0.2">
      <c r="A103" s="344" t="s">
        <v>745</v>
      </c>
      <c r="B103" t="s">
        <v>827</v>
      </c>
      <c r="C103" t="s">
        <v>823</v>
      </c>
      <c r="D103" t="s">
        <v>855</v>
      </c>
      <c r="E103" t="s">
        <v>829</v>
      </c>
      <c r="F103" t="s">
        <v>803</v>
      </c>
      <c r="G103" t="s">
        <v>830</v>
      </c>
      <c r="H103" t="s">
        <v>831</v>
      </c>
      <c r="I103" t="s">
        <v>722</v>
      </c>
      <c r="J103" t="s">
        <v>721</v>
      </c>
      <c r="K103"/>
      <c r="L103"/>
      <c r="M103" t="s">
        <v>750</v>
      </c>
      <c r="N103" t="s">
        <v>751</v>
      </c>
      <c r="O103"/>
      <c r="P103" t="e">
        <f>VLOOKUP(N103,#REF!,2,FALSE)</f>
        <v>#REF!</v>
      </c>
      <c r="Q103" t="s">
        <v>836</v>
      </c>
      <c r="R103" s="345">
        <v>1649.32</v>
      </c>
    </row>
    <row r="104" spans="1:18" x14ac:dyDescent="0.2">
      <c r="A104" s="344" t="s">
        <v>758</v>
      </c>
      <c r="B104" t="s">
        <v>827</v>
      </c>
      <c r="C104" t="s">
        <v>823</v>
      </c>
      <c r="D104" t="s">
        <v>855</v>
      </c>
      <c r="E104" t="s">
        <v>829</v>
      </c>
      <c r="F104" t="s">
        <v>803</v>
      </c>
      <c r="G104" t="s">
        <v>830</v>
      </c>
      <c r="H104" t="s">
        <v>831</v>
      </c>
      <c r="I104" t="s">
        <v>722</v>
      </c>
      <c r="J104" t="s">
        <v>721</v>
      </c>
      <c r="K104"/>
      <c r="L104"/>
      <c r="M104" t="s">
        <v>750</v>
      </c>
      <c r="N104" t="s">
        <v>751</v>
      </c>
      <c r="O104"/>
      <c r="P104" t="e">
        <f>VLOOKUP(N104,#REF!,2,FALSE)</f>
        <v>#REF!</v>
      </c>
      <c r="Q104" t="s">
        <v>835</v>
      </c>
      <c r="R104" s="345">
        <v>-8806.0499999999993</v>
      </c>
    </row>
    <row r="105" spans="1:18" x14ac:dyDescent="0.2">
      <c r="A105" s="344" t="s">
        <v>759</v>
      </c>
      <c r="B105" t="s">
        <v>827</v>
      </c>
      <c r="C105" t="s">
        <v>823</v>
      </c>
      <c r="D105" t="s">
        <v>855</v>
      </c>
      <c r="E105" t="s">
        <v>829</v>
      </c>
      <c r="F105" t="s">
        <v>803</v>
      </c>
      <c r="G105" t="s">
        <v>830</v>
      </c>
      <c r="H105" t="s">
        <v>831</v>
      </c>
      <c r="I105" t="s">
        <v>722</v>
      </c>
      <c r="J105" t="s">
        <v>721</v>
      </c>
      <c r="K105"/>
      <c r="L105"/>
      <c r="M105" t="s">
        <v>750</v>
      </c>
      <c r="N105" t="s">
        <v>751</v>
      </c>
      <c r="O105"/>
      <c r="P105" t="e">
        <f>VLOOKUP(N105,#REF!,2,FALSE)</f>
        <v>#REF!</v>
      </c>
      <c r="Q105" t="s">
        <v>835</v>
      </c>
      <c r="R105" s="345">
        <v>-943.51</v>
      </c>
    </row>
    <row r="106" spans="1:18" x14ac:dyDescent="0.2">
      <c r="A106" s="344" t="s">
        <v>743</v>
      </c>
      <c r="B106" t="s">
        <v>827</v>
      </c>
      <c r="C106" t="s">
        <v>823</v>
      </c>
      <c r="D106" t="s">
        <v>855</v>
      </c>
      <c r="E106" t="s">
        <v>829</v>
      </c>
      <c r="F106" t="s">
        <v>803</v>
      </c>
      <c r="G106" t="s">
        <v>830</v>
      </c>
      <c r="H106" t="s">
        <v>831</v>
      </c>
      <c r="I106" t="s">
        <v>722</v>
      </c>
      <c r="J106" t="s">
        <v>721</v>
      </c>
      <c r="K106"/>
      <c r="L106"/>
      <c r="M106" t="s">
        <v>750</v>
      </c>
      <c r="N106" t="s">
        <v>751</v>
      </c>
      <c r="O106"/>
      <c r="P106" t="e">
        <f>VLOOKUP(N106,#REF!,2,FALSE)</f>
        <v>#REF!</v>
      </c>
      <c r="Q106" t="s">
        <v>835</v>
      </c>
      <c r="R106" s="345">
        <v>226.51</v>
      </c>
    </row>
    <row r="107" spans="1:18" x14ac:dyDescent="0.2">
      <c r="A107" s="344" t="s">
        <v>760</v>
      </c>
      <c r="B107" t="s">
        <v>827</v>
      </c>
      <c r="C107" t="s">
        <v>823</v>
      </c>
      <c r="D107" t="s">
        <v>855</v>
      </c>
      <c r="E107" t="s">
        <v>829</v>
      </c>
      <c r="F107" t="s">
        <v>803</v>
      </c>
      <c r="G107" t="s">
        <v>830</v>
      </c>
      <c r="H107" t="s">
        <v>831</v>
      </c>
      <c r="I107" t="s">
        <v>722</v>
      </c>
      <c r="J107" t="s">
        <v>721</v>
      </c>
      <c r="K107"/>
      <c r="L107"/>
      <c r="M107" t="s">
        <v>750</v>
      </c>
      <c r="N107" t="s">
        <v>751</v>
      </c>
      <c r="O107"/>
      <c r="P107" t="e">
        <f>VLOOKUP(N107,#REF!,2,FALSE)</f>
        <v>#REF!</v>
      </c>
      <c r="Q107" t="s">
        <v>835</v>
      </c>
      <c r="R107" s="345">
        <v>-317.44</v>
      </c>
    </row>
    <row r="108" spans="1:18" x14ac:dyDescent="0.2">
      <c r="A108" s="344" t="s">
        <v>745</v>
      </c>
      <c r="B108" t="s">
        <v>827</v>
      </c>
      <c r="C108" t="s">
        <v>823</v>
      </c>
      <c r="D108" t="s">
        <v>855</v>
      </c>
      <c r="E108" t="s">
        <v>829</v>
      </c>
      <c r="F108" t="s">
        <v>803</v>
      </c>
      <c r="G108" t="s">
        <v>830</v>
      </c>
      <c r="H108" t="s">
        <v>831</v>
      </c>
      <c r="I108" t="s">
        <v>722</v>
      </c>
      <c r="J108" t="s">
        <v>721</v>
      </c>
      <c r="K108"/>
      <c r="L108"/>
      <c r="M108" t="s">
        <v>750</v>
      </c>
      <c r="N108" t="s">
        <v>751</v>
      </c>
      <c r="O108"/>
      <c r="P108" t="e">
        <f>VLOOKUP(N108,#REF!,2,FALSE)</f>
        <v>#REF!</v>
      </c>
      <c r="Q108" t="s">
        <v>835</v>
      </c>
      <c r="R108" s="345">
        <v>9840.49</v>
      </c>
    </row>
    <row r="109" spans="1:18" x14ac:dyDescent="0.2">
      <c r="A109" s="344" t="s">
        <v>749</v>
      </c>
      <c r="B109" t="s">
        <v>827</v>
      </c>
      <c r="C109" t="s">
        <v>823</v>
      </c>
      <c r="D109" t="s">
        <v>855</v>
      </c>
      <c r="E109" t="s">
        <v>829</v>
      </c>
      <c r="F109" t="s">
        <v>803</v>
      </c>
      <c r="G109" t="s">
        <v>830</v>
      </c>
      <c r="H109" t="s">
        <v>831</v>
      </c>
      <c r="I109" t="s">
        <v>722</v>
      </c>
      <c r="J109" t="s">
        <v>721</v>
      </c>
      <c r="K109"/>
      <c r="L109"/>
      <c r="M109" t="s">
        <v>839</v>
      </c>
      <c r="N109" t="s">
        <v>840</v>
      </c>
      <c r="O109"/>
      <c r="P109" t="e">
        <f>VLOOKUP(N109,#REF!,2,FALSE)</f>
        <v>#REF!</v>
      </c>
      <c r="Q109" t="s">
        <v>836</v>
      </c>
      <c r="R109" s="345">
        <v>-262.66000000000003</v>
      </c>
    </row>
    <row r="110" spans="1:18" x14ac:dyDescent="0.2">
      <c r="A110" s="344" t="s">
        <v>752</v>
      </c>
      <c r="B110" t="s">
        <v>827</v>
      </c>
      <c r="C110" t="s">
        <v>823</v>
      </c>
      <c r="D110" t="s">
        <v>855</v>
      </c>
      <c r="E110" t="s">
        <v>829</v>
      </c>
      <c r="F110" t="s">
        <v>803</v>
      </c>
      <c r="G110" t="s">
        <v>830</v>
      </c>
      <c r="H110" t="s">
        <v>831</v>
      </c>
      <c r="I110" t="s">
        <v>722</v>
      </c>
      <c r="J110" t="s">
        <v>721</v>
      </c>
      <c r="K110"/>
      <c r="L110"/>
      <c r="M110" t="s">
        <v>839</v>
      </c>
      <c r="N110" t="s">
        <v>840</v>
      </c>
      <c r="O110"/>
      <c r="P110" t="e">
        <f>VLOOKUP(N110,#REF!,2,FALSE)</f>
        <v>#REF!</v>
      </c>
      <c r="Q110" t="s">
        <v>836</v>
      </c>
      <c r="R110" s="345">
        <v>262.66000000000003</v>
      </c>
    </row>
    <row r="111" spans="1:18" x14ac:dyDescent="0.2">
      <c r="A111" s="344" t="s">
        <v>759</v>
      </c>
      <c r="B111" t="s">
        <v>827</v>
      </c>
      <c r="C111" t="s">
        <v>823</v>
      </c>
      <c r="D111" t="s">
        <v>855</v>
      </c>
      <c r="E111" t="s">
        <v>829</v>
      </c>
      <c r="F111" t="s">
        <v>803</v>
      </c>
      <c r="G111" t="s">
        <v>830</v>
      </c>
      <c r="H111" t="s">
        <v>831</v>
      </c>
      <c r="I111" t="s">
        <v>722</v>
      </c>
      <c r="J111" t="s">
        <v>721</v>
      </c>
      <c r="K111"/>
      <c r="L111"/>
      <c r="M111" t="s">
        <v>841</v>
      </c>
      <c r="N111" t="s">
        <v>842</v>
      </c>
      <c r="O111"/>
      <c r="P111" t="e">
        <f>VLOOKUP(N111,#REF!,2,FALSE)</f>
        <v>#REF!</v>
      </c>
      <c r="Q111" t="s">
        <v>835</v>
      </c>
      <c r="R111" s="345">
        <v>-1087.57</v>
      </c>
    </row>
    <row r="112" spans="1:18" x14ac:dyDescent="0.2">
      <c r="A112" s="344" t="s">
        <v>743</v>
      </c>
      <c r="B112" t="s">
        <v>827</v>
      </c>
      <c r="C112" t="s">
        <v>823</v>
      </c>
      <c r="D112" t="s">
        <v>855</v>
      </c>
      <c r="E112" t="s">
        <v>829</v>
      </c>
      <c r="F112" t="s">
        <v>803</v>
      </c>
      <c r="G112" t="s">
        <v>830</v>
      </c>
      <c r="H112" t="s">
        <v>831</v>
      </c>
      <c r="I112" t="s">
        <v>722</v>
      </c>
      <c r="J112" t="s">
        <v>721</v>
      </c>
      <c r="K112"/>
      <c r="L112"/>
      <c r="M112" t="s">
        <v>841</v>
      </c>
      <c r="N112" t="s">
        <v>842</v>
      </c>
      <c r="O112"/>
      <c r="P112" t="e">
        <f>VLOOKUP(N112,#REF!,2,FALSE)</f>
        <v>#REF!</v>
      </c>
      <c r="Q112" t="s">
        <v>835</v>
      </c>
      <c r="R112" s="345">
        <v>-79.77</v>
      </c>
    </row>
    <row r="113" spans="1:18" x14ac:dyDescent="0.2">
      <c r="A113" s="344" t="s">
        <v>760</v>
      </c>
      <c r="B113" t="s">
        <v>827</v>
      </c>
      <c r="C113" t="s">
        <v>823</v>
      </c>
      <c r="D113" t="s">
        <v>855</v>
      </c>
      <c r="E113" t="s">
        <v>829</v>
      </c>
      <c r="F113" t="s">
        <v>803</v>
      </c>
      <c r="G113" t="s">
        <v>830</v>
      </c>
      <c r="H113" t="s">
        <v>831</v>
      </c>
      <c r="I113" t="s">
        <v>722</v>
      </c>
      <c r="J113" t="s">
        <v>721</v>
      </c>
      <c r="K113"/>
      <c r="L113"/>
      <c r="M113" t="s">
        <v>841</v>
      </c>
      <c r="N113" t="s">
        <v>842</v>
      </c>
      <c r="O113"/>
      <c r="P113" t="e">
        <f>VLOOKUP(N113,#REF!,2,FALSE)</f>
        <v>#REF!</v>
      </c>
      <c r="Q113" t="s">
        <v>835</v>
      </c>
      <c r="R113" s="345">
        <v>1167.3399999999999</v>
      </c>
    </row>
    <row r="114" spans="1:18" x14ac:dyDescent="0.2">
      <c r="A114" s="344" t="s">
        <v>756</v>
      </c>
      <c r="B114" t="s">
        <v>827</v>
      </c>
      <c r="C114" t="s">
        <v>823</v>
      </c>
      <c r="D114" t="s">
        <v>855</v>
      </c>
      <c r="E114" t="s">
        <v>829</v>
      </c>
      <c r="F114" t="s">
        <v>803</v>
      </c>
      <c r="G114" t="s">
        <v>830</v>
      </c>
      <c r="H114" t="s">
        <v>831</v>
      </c>
      <c r="I114" t="s">
        <v>722</v>
      </c>
      <c r="J114" t="s">
        <v>721</v>
      </c>
      <c r="K114"/>
      <c r="L114"/>
      <c r="M114" t="s">
        <v>763</v>
      </c>
      <c r="N114" t="s">
        <v>764</v>
      </c>
      <c r="O114"/>
      <c r="P114" t="e">
        <f>VLOOKUP(N114,#REF!,2,FALSE)</f>
        <v>#REF!</v>
      </c>
      <c r="Q114" t="s">
        <v>836</v>
      </c>
      <c r="R114" s="345">
        <v>-4282.5200000000004</v>
      </c>
    </row>
    <row r="115" spans="1:18" x14ac:dyDescent="0.2">
      <c r="A115" s="344" t="s">
        <v>757</v>
      </c>
      <c r="B115" t="s">
        <v>827</v>
      </c>
      <c r="C115" t="s">
        <v>823</v>
      </c>
      <c r="D115" t="s">
        <v>855</v>
      </c>
      <c r="E115" t="s">
        <v>829</v>
      </c>
      <c r="F115" t="s">
        <v>803</v>
      </c>
      <c r="G115" t="s">
        <v>830</v>
      </c>
      <c r="H115" t="s">
        <v>831</v>
      </c>
      <c r="I115" t="s">
        <v>722</v>
      </c>
      <c r="J115" t="s">
        <v>721</v>
      </c>
      <c r="K115"/>
      <c r="L115"/>
      <c r="M115" t="s">
        <v>763</v>
      </c>
      <c r="N115" t="s">
        <v>764</v>
      </c>
      <c r="O115"/>
      <c r="P115" t="e">
        <f>VLOOKUP(N115,#REF!,2,FALSE)</f>
        <v>#REF!</v>
      </c>
      <c r="Q115" t="s">
        <v>836</v>
      </c>
      <c r="R115" s="345">
        <v>4282.5200000000004</v>
      </c>
    </row>
    <row r="116" spans="1:18" x14ac:dyDescent="0.2">
      <c r="A116" s="344" t="s">
        <v>758</v>
      </c>
      <c r="B116" t="s">
        <v>827</v>
      </c>
      <c r="C116" t="s">
        <v>823</v>
      </c>
      <c r="D116" t="s">
        <v>855</v>
      </c>
      <c r="E116" t="s">
        <v>829</v>
      </c>
      <c r="F116" t="s">
        <v>803</v>
      </c>
      <c r="G116" t="s">
        <v>830</v>
      </c>
      <c r="H116" t="s">
        <v>831</v>
      </c>
      <c r="I116" t="s">
        <v>722</v>
      </c>
      <c r="J116" t="s">
        <v>721</v>
      </c>
      <c r="K116"/>
      <c r="L116"/>
      <c r="M116" t="s">
        <v>763</v>
      </c>
      <c r="N116" t="s">
        <v>764</v>
      </c>
      <c r="O116"/>
      <c r="P116" t="e">
        <f>VLOOKUP(N116,#REF!,2,FALSE)</f>
        <v>#REF!</v>
      </c>
      <c r="Q116" t="s">
        <v>835</v>
      </c>
      <c r="R116" s="345">
        <v>-2504.69</v>
      </c>
    </row>
    <row r="117" spans="1:18" x14ac:dyDescent="0.2">
      <c r="A117" s="344" t="s">
        <v>759</v>
      </c>
      <c r="B117" t="s">
        <v>827</v>
      </c>
      <c r="C117" t="s">
        <v>823</v>
      </c>
      <c r="D117" t="s">
        <v>855</v>
      </c>
      <c r="E117" t="s">
        <v>829</v>
      </c>
      <c r="F117" t="s">
        <v>803</v>
      </c>
      <c r="G117" t="s">
        <v>830</v>
      </c>
      <c r="H117" t="s">
        <v>831</v>
      </c>
      <c r="I117" t="s">
        <v>722</v>
      </c>
      <c r="J117" t="s">
        <v>721</v>
      </c>
      <c r="K117"/>
      <c r="L117"/>
      <c r="M117" t="s">
        <v>763</v>
      </c>
      <c r="N117" t="s">
        <v>764</v>
      </c>
      <c r="O117"/>
      <c r="P117" t="e">
        <f>VLOOKUP(N117,#REF!,2,FALSE)</f>
        <v>#REF!</v>
      </c>
      <c r="Q117" t="s">
        <v>835</v>
      </c>
      <c r="R117" s="345">
        <v>5573.58</v>
      </c>
    </row>
    <row r="118" spans="1:18" x14ac:dyDescent="0.2">
      <c r="A118" s="344" t="s">
        <v>743</v>
      </c>
      <c r="B118" t="s">
        <v>827</v>
      </c>
      <c r="C118" t="s">
        <v>823</v>
      </c>
      <c r="D118" t="s">
        <v>855</v>
      </c>
      <c r="E118" t="s">
        <v>829</v>
      </c>
      <c r="F118" t="s">
        <v>803</v>
      </c>
      <c r="G118" t="s">
        <v>830</v>
      </c>
      <c r="H118" t="s">
        <v>831</v>
      </c>
      <c r="I118" t="s">
        <v>722</v>
      </c>
      <c r="J118" t="s">
        <v>721</v>
      </c>
      <c r="K118"/>
      <c r="L118"/>
      <c r="M118" t="s">
        <v>763</v>
      </c>
      <c r="N118" t="s">
        <v>764</v>
      </c>
      <c r="O118"/>
      <c r="P118" t="e">
        <f>VLOOKUP(N118,#REF!,2,FALSE)</f>
        <v>#REF!</v>
      </c>
      <c r="Q118" t="s">
        <v>835</v>
      </c>
      <c r="R118" s="345">
        <v>-5138.9799999999996</v>
      </c>
    </row>
    <row r="119" spans="1:18" x14ac:dyDescent="0.2">
      <c r="A119" s="344" t="s">
        <v>760</v>
      </c>
      <c r="B119" t="s">
        <v>827</v>
      </c>
      <c r="C119" t="s">
        <v>823</v>
      </c>
      <c r="D119" t="s">
        <v>855</v>
      </c>
      <c r="E119" t="s">
        <v>829</v>
      </c>
      <c r="F119" t="s">
        <v>803</v>
      </c>
      <c r="G119" t="s">
        <v>830</v>
      </c>
      <c r="H119" t="s">
        <v>831</v>
      </c>
      <c r="I119" t="s">
        <v>722</v>
      </c>
      <c r="J119" t="s">
        <v>721</v>
      </c>
      <c r="K119"/>
      <c r="L119"/>
      <c r="M119" t="s">
        <v>763</v>
      </c>
      <c r="N119" t="s">
        <v>764</v>
      </c>
      <c r="O119"/>
      <c r="P119" t="e">
        <f>VLOOKUP(N119,#REF!,2,FALSE)</f>
        <v>#REF!</v>
      </c>
      <c r="Q119" t="s">
        <v>835</v>
      </c>
      <c r="R119" s="345">
        <v>2070.09</v>
      </c>
    </row>
    <row r="120" spans="1:18" x14ac:dyDescent="0.2">
      <c r="A120" s="344" t="s">
        <v>749</v>
      </c>
      <c r="B120" t="s">
        <v>827</v>
      </c>
      <c r="C120" t="s">
        <v>823</v>
      </c>
      <c r="D120" t="s">
        <v>855</v>
      </c>
      <c r="E120" t="s">
        <v>829</v>
      </c>
      <c r="F120" t="s">
        <v>803</v>
      </c>
      <c r="G120" t="s">
        <v>830</v>
      </c>
      <c r="H120" t="s">
        <v>831</v>
      </c>
      <c r="I120" t="s">
        <v>722</v>
      </c>
      <c r="J120" t="s">
        <v>721</v>
      </c>
      <c r="K120"/>
      <c r="L120"/>
      <c r="M120" t="s">
        <v>843</v>
      </c>
      <c r="N120" t="s">
        <v>844</v>
      </c>
      <c r="O120"/>
      <c r="P120" t="e">
        <f>VLOOKUP(N120,#REF!,2,FALSE)</f>
        <v>#REF!</v>
      </c>
      <c r="Q120" t="s">
        <v>836</v>
      </c>
      <c r="R120" s="345">
        <v>-4466.88</v>
      </c>
    </row>
    <row r="121" spans="1:18" x14ac:dyDescent="0.2">
      <c r="A121" s="344" t="s">
        <v>752</v>
      </c>
      <c r="B121" t="s">
        <v>827</v>
      </c>
      <c r="C121" t="s">
        <v>823</v>
      </c>
      <c r="D121" t="s">
        <v>855</v>
      </c>
      <c r="E121" t="s">
        <v>829</v>
      </c>
      <c r="F121" t="s">
        <v>803</v>
      </c>
      <c r="G121" t="s">
        <v>830</v>
      </c>
      <c r="H121" t="s">
        <v>831</v>
      </c>
      <c r="I121" t="s">
        <v>722</v>
      </c>
      <c r="J121" t="s">
        <v>721</v>
      </c>
      <c r="K121"/>
      <c r="L121"/>
      <c r="M121" t="s">
        <v>843</v>
      </c>
      <c r="N121" t="s">
        <v>844</v>
      </c>
      <c r="O121"/>
      <c r="P121" t="e">
        <f>VLOOKUP(N121,#REF!,2,FALSE)</f>
        <v>#REF!</v>
      </c>
      <c r="Q121" t="s">
        <v>836</v>
      </c>
      <c r="R121" s="345">
        <v>5245.6</v>
      </c>
    </row>
    <row r="122" spans="1:18" x14ac:dyDescent="0.2">
      <c r="A122" s="344" t="s">
        <v>753</v>
      </c>
      <c r="B122" t="s">
        <v>827</v>
      </c>
      <c r="C122" t="s">
        <v>823</v>
      </c>
      <c r="D122" t="s">
        <v>855</v>
      </c>
      <c r="E122" t="s">
        <v>829</v>
      </c>
      <c r="F122" t="s">
        <v>803</v>
      </c>
      <c r="G122" t="s">
        <v>830</v>
      </c>
      <c r="H122" t="s">
        <v>831</v>
      </c>
      <c r="I122" t="s">
        <v>722</v>
      </c>
      <c r="J122" t="s">
        <v>721</v>
      </c>
      <c r="K122"/>
      <c r="L122"/>
      <c r="M122" t="s">
        <v>843</v>
      </c>
      <c r="N122" t="s">
        <v>844</v>
      </c>
      <c r="O122"/>
      <c r="P122" t="e">
        <f>VLOOKUP(N122,#REF!,2,FALSE)</f>
        <v>#REF!</v>
      </c>
      <c r="Q122" t="s">
        <v>836</v>
      </c>
      <c r="R122" s="345">
        <v>158.33000000000001</v>
      </c>
    </row>
    <row r="123" spans="1:18" x14ac:dyDescent="0.2">
      <c r="A123" s="344" t="s">
        <v>754</v>
      </c>
      <c r="B123" t="s">
        <v>827</v>
      </c>
      <c r="C123" t="s">
        <v>823</v>
      </c>
      <c r="D123" t="s">
        <v>855</v>
      </c>
      <c r="E123" t="s">
        <v>829</v>
      </c>
      <c r="F123" t="s">
        <v>803</v>
      </c>
      <c r="G123" t="s">
        <v>830</v>
      </c>
      <c r="H123" t="s">
        <v>831</v>
      </c>
      <c r="I123" t="s">
        <v>722</v>
      </c>
      <c r="J123" t="s">
        <v>721</v>
      </c>
      <c r="K123"/>
      <c r="L123"/>
      <c r="M123" t="s">
        <v>843</v>
      </c>
      <c r="N123" t="s">
        <v>844</v>
      </c>
      <c r="O123"/>
      <c r="P123" t="e">
        <f>VLOOKUP(N123,#REF!,2,FALSE)</f>
        <v>#REF!</v>
      </c>
      <c r="Q123" t="s">
        <v>836</v>
      </c>
      <c r="R123" s="345">
        <v>-4010.2</v>
      </c>
    </row>
    <row r="124" spans="1:18" x14ac:dyDescent="0.2">
      <c r="A124" s="344" t="s">
        <v>755</v>
      </c>
      <c r="B124" t="s">
        <v>827</v>
      </c>
      <c r="C124" t="s">
        <v>823</v>
      </c>
      <c r="D124" t="s">
        <v>855</v>
      </c>
      <c r="E124" t="s">
        <v>829</v>
      </c>
      <c r="F124" t="s">
        <v>803</v>
      </c>
      <c r="G124" t="s">
        <v>830</v>
      </c>
      <c r="H124" t="s">
        <v>831</v>
      </c>
      <c r="I124" t="s">
        <v>722</v>
      </c>
      <c r="J124" t="s">
        <v>721</v>
      </c>
      <c r="K124"/>
      <c r="L124"/>
      <c r="M124" t="s">
        <v>843</v>
      </c>
      <c r="N124" t="s">
        <v>844</v>
      </c>
      <c r="O124"/>
      <c r="P124" t="e">
        <f>VLOOKUP(N124,#REF!,2,FALSE)</f>
        <v>#REF!</v>
      </c>
      <c r="Q124" t="s">
        <v>836</v>
      </c>
      <c r="R124" s="345">
        <v>-16745.830000000002</v>
      </c>
    </row>
    <row r="125" spans="1:18" x14ac:dyDescent="0.2">
      <c r="A125" s="344" t="s">
        <v>756</v>
      </c>
      <c r="B125" t="s">
        <v>827</v>
      </c>
      <c r="C125" t="s">
        <v>823</v>
      </c>
      <c r="D125" t="s">
        <v>855</v>
      </c>
      <c r="E125" t="s">
        <v>829</v>
      </c>
      <c r="F125" t="s">
        <v>803</v>
      </c>
      <c r="G125" t="s">
        <v>830</v>
      </c>
      <c r="H125" t="s">
        <v>831</v>
      </c>
      <c r="I125" t="s">
        <v>722</v>
      </c>
      <c r="J125" t="s">
        <v>721</v>
      </c>
      <c r="K125"/>
      <c r="L125"/>
      <c r="M125" t="s">
        <v>843</v>
      </c>
      <c r="N125" t="s">
        <v>844</v>
      </c>
      <c r="O125"/>
      <c r="P125" t="e">
        <f>VLOOKUP(N125,#REF!,2,FALSE)</f>
        <v>#REF!</v>
      </c>
      <c r="Q125" t="s">
        <v>836</v>
      </c>
      <c r="R125" s="345">
        <v>-8196.42</v>
      </c>
    </row>
    <row r="126" spans="1:18" x14ac:dyDescent="0.2">
      <c r="A126" s="344" t="s">
        <v>757</v>
      </c>
      <c r="B126" t="s">
        <v>827</v>
      </c>
      <c r="C126" t="s">
        <v>823</v>
      </c>
      <c r="D126" t="s">
        <v>855</v>
      </c>
      <c r="E126" t="s">
        <v>829</v>
      </c>
      <c r="F126" t="s">
        <v>803</v>
      </c>
      <c r="G126" t="s">
        <v>830</v>
      </c>
      <c r="H126" t="s">
        <v>831</v>
      </c>
      <c r="I126" t="s">
        <v>722</v>
      </c>
      <c r="J126" t="s">
        <v>721</v>
      </c>
      <c r="K126"/>
      <c r="L126"/>
      <c r="M126" t="s">
        <v>843</v>
      </c>
      <c r="N126" t="s">
        <v>844</v>
      </c>
      <c r="O126"/>
      <c r="P126" t="e">
        <f>VLOOKUP(N126,#REF!,2,FALSE)</f>
        <v>#REF!</v>
      </c>
      <c r="Q126" t="s">
        <v>836</v>
      </c>
      <c r="R126" s="345">
        <v>13936.49</v>
      </c>
    </row>
    <row r="127" spans="1:18" x14ac:dyDescent="0.2">
      <c r="A127" s="344" t="s">
        <v>758</v>
      </c>
      <c r="B127" t="s">
        <v>827</v>
      </c>
      <c r="C127" t="s">
        <v>823</v>
      </c>
      <c r="D127" t="s">
        <v>855</v>
      </c>
      <c r="E127" t="s">
        <v>829</v>
      </c>
      <c r="F127" t="s">
        <v>803</v>
      </c>
      <c r="G127" t="s">
        <v>830</v>
      </c>
      <c r="H127" t="s">
        <v>831</v>
      </c>
      <c r="I127" t="s">
        <v>722</v>
      </c>
      <c r="J127" t="s">
        <v>721</v>
      </c>
      <c r="K127"/>
      <c r="L127"/>
      <c r="M127" t="s">
        <v>843</v>
      </c>
      <c r="N127" t="s">
        <v>844</v>
      </c>
      <c r="O127"/>
      <c r="P127" t="e">
        <f>VLOOKUP(N127,#REF!,2,FALSE)</f>
        <v>#REF!</v>
      </c>
      <c r="Q127" t="s">
        <v>836</v>
      </c>
      <c r="R127" s="345">
        <v>10086.09</v>
      </c>
    </row>
    <row r="128" spans="1:18" x14ac:dyDescent="0.2">
      <c r="A128" s="344" t="s">
        <v>759</v>
      </c>
      <c r="B128" t="s">
        <v>827</v>
      </c>
      <c r="C128" t="s">
        <v>823</v>
      </c>
      <c r="D128" t="s">
        <v>855</v>
      </c>
      <c r="E128" t="s">
        <v>829</v>
      </c>
      <c r="F128" t="s">
        <v>803</v>
      </c>
      <c r="G128" t="s">
        <v>830</v>
      </c>
      <c r="H128" t="s">
        <v>831</v>
      </c>
      <c r="I128" t="s">
        <v>722</v>
      </c>
      <c r="J128" t="s">
        <v>721</v>
      </c>
      <c r="K128"/>
      <c r="L128"/>
      <c r="M128" t="s">
        <v>843</v>
      </c>
      <c r="N128" t="s">
        <v>844</v>
      </c>
      <c r="O128"/>
      <c r="P128" t="e">
        <f>VLOOKUP(N128,#REF!,2,FALSE)</f>
        <v>#REF!</v>
      </c>
      <c r="Q128" t="s">
        <v>836</v>
      </c>
      <c r="R128" s="345">
        <v>-471.55</v>
      </c>
    </row>
    <row r="129" spans="1:18" x14ac:dyDescent="0.2">
      <c r="A129" s="344" t="s">
        <v>743</v>
      </c>
      <c r="B129" t="s">
        <v>827</v>
      </c>
      <c r="C129" t="s">
        <v>823</v>
      </c>
      <c r="D129" t="s">
        <v>855</v>
      </c>
      <c r="E129" t="s">
        <v>829</v>
      </c>
      <c r="F129" t="s">
        <v>803</v>
      </c>
      <c r="G129" t="s">
        <v>830</v>
      </c>
      <c r="H129" t="s">
        <v>831</v>
      </c>
      <c r="I129" t="s">
        <v>722</v>
      </c>
      <c r="J129" t="s">
        <v>721</v>
      </c>
      <c r="K129"/>
      <c r="L129"/>
      <c r="M129" t="s">
        <v>843</v>
      </c>
      <c r="N129" t="s">
        <v>844</v>
      </c>
      <c r="O129"/>
      <c r="P129" t="e">
        <f>VLOOKUP(N129,#REF!,2,FALSE)</f>
        <v>#REF!</v>
      </c>
      <c r="Q129" t="s">
        <v>836</v>
      </c>
      <c r="R129" s="345">
        <v>-15175.95</v>
      </c>
    </row>
    <row r="130" spans="1:18" x14ac:dyDescent="0.2">
      <c r="A130" s="344" t="s">
        <v>760</v>
      </c>
      <c r="B130" t="s">
        <v>827</v>
      </c>
      <c r="C130" t="s">
        <v>823</v>
      </c>
      <c r="D130" t="s">
        <v>855</v>
      </c>
      <c r="E130" t="s">
        <v>829</v>
      </c>
      <c r="F130" t="s">
        <v>803</v>
      </c>
      <c r="G130" t="s">
        <v>830</v>
      </c>
      <c r="H130" t="s">
        <v>831</v>
      </c>
      <c r="I130" t="s">
        <v>722</v>
      </c>
      <c r="J130" t="s">
        <v>721</v>
      </c>
      <c r="K130"/>
      <c r="L130"/>
      <c r="M130" t="s">
        <v>843</v>
      </c>
      <c r="N130" t="s">
        <v>844</v>
      </c>
      <c r="O130"/>
      <c r="P130" t="e">
        <f>VLOOKUP(N130,#REF!,2,FALSE)</f>
        <v>#REF!</v>
      </c>
      <c r="Q130" t="s">
        <v>836</v>
      </c>
      <c r="R130" s="345">
        <v>-2512.6799999999998</v>
      </c>
    </row>
    <row r="131" spans="1:18" x14ac:dyDescent="0.2">
      <c r="A131" s="344" t="s">
        <v>745</v>
      </c>
      <c r="B131" t="s">
        <v>827</v>
      </c>
      <c r="C131" t="s">
        <v>823</v>
      </c>
      <c r="D131" t="s">
        <v>855</v>
      </c>
      <c r="E131" t="s">
        <v>829</v>
      </c>
      <c r="F131" t="s">
        <v>803</v>
      </c>
      <c r="G131" t="s">
        <v>830</v>
      </c>
      <c r="H131" t="s">
        <v>831</v>
      </c>
      <c r="I131" t="s">
        <v>722</v>
      </c>
      <c r="J131" t="s">
        <v>721</v>
      </c>
      <c r="K131"/>
      <c r="L131"/>
      <c r="M131" t="s">
        <v>843</v>
      </c>
      <c r="N131" t="s">
        <v>844</v>
      </c>
      <c r="O131"/>
      <c r="P131" t="e">
        <f>VLOOKUP(N131,#REF!,2,FALSE)</f>
        <v>#REF!</v>
      </c>
      <c r="Q131" t="s">
        <v>836</v>
      </c>
      <c r="R131" s="345">
        <v>12792.23</v>
      </c>
    </row>
    <row r="132" spans="1:18" x14ac:dyDescent="0.2">
      <c r="A132" s="344" t="s">
        <v>758</v>
      </c>
      <c r="B132" t="s">
        <v>827</v>
      </c>
      <c r="C132" t="s">
        <v>823</v>
      </c>
      <c r="D132" t="s">
        <v>855</v>
      </c>
      <c r="E132" t="s">
        <v>829</v>
      </c>
      <c r="F132" t="s">
        <v>803</v>
      </c>
      <c r="G132" t="s">
        <v>830</v>
      </c>
      <c r="H132" t="s">
        <v>831</v>
      </c>
      <c r="I132" t="s">
        <v>722</v>
      </c>
      <c r="J132" t="s">
        <v>721</v>
      </c>
      <c r="K132"/>
      <c r="L132"/>
      <c r="M132" t="s">
        <v>843</v>
      </c>
      <c r="N132" t="s">
        <v>844</v>
      </c>
      <c r="O132"/>
      <c r="P132" t="e">
        <f>VLOOKUP(N132,#REF!,2,FALSE)</f>
        <v>#REF!</v>
      </c>
      <c r="Q132" t="s">
        <v>835</v>
      </c>
      <c r="R132" s="345">
        <v>-59.37</v>
      </c>
    </row>
    <row r="133" spans="1:18" x14ac:dyDescent="0.2">
      <c r="A133" s="344" t="s">
        <v>759</v>
      </c>
      <c r="B133" t="s">
        <v>827</v>
      </c>
      <c r="C133" t="s">
        <v>823</v>
      </c>
      <c r="D133" t="s">
        <v>855</v>
      </c>
      <c r="E133" t="s">
        <v>829</v>
      </c>
      <c r="F133" t="s">
        <v>803</v>
      </c>
      <c r="G133" t="s">
        <v>830</v>
      </c>
      <c r="H133" t="s">
        <v>831</v>
      </c>
      <c r="I133" t="s">
        <v>722</v>
      </c>
      <c r="J133" t="s">
        <v>721</v>
      </c>
      <c r="K133"/>
      <c r="L133"/>
      <c r="M133" t="s">
        <v>843</v>
      </c>
      <c r="N133" t="s">
        <v>844</v>
      </c>
      <c r="O133"/>
      <c r="P133" t="e">
        <f>VLOOKUP(N133,#REF!,2,FALSE)</f>
        <v>#REF!</v>
      </c>
      <c r="Q133" t="s">
        <v>835</v>
      </c>
      <c r="R133" s="345">
        <v>-1371.25</v>
      </c>
    </row>
    <row r="134" spans="1:18" x14ac:dyDescent="0.2">
      <c r="A134" s="344" t="s">
        <v>743</v>
      </c>
      <c r="B134" t="s">
        <v>827</v>
      </c>
      <c r="C134" t="s">
        <v>823</v>
      </c>
      <c r="D134" t="s">
        <v>855</v>
      </c>
      <c r="E134" t="s">
        <v>829</v>
      </c>
      <c r="F134" t="s">
        <v>803</v>
      </c>
      <c r="G134" t="s">
        <v>830</v>
      </c>
      <c r="H134" t="s">
        <v>831</v>
      </c>
      <c r="I134" t="s">
        <v>722</v>
      </c>
      <c r="J134" t="s">
        <v>721</v>
      </c>
      <c r="K134"/>
      <c r="L134"/>
      <c r="M134" t="s">
        <v>843</v>
      </c>
      <c r="N134" t="s">
        <v>844</v>
      </c>
      <c r="O134"/>
      <c r="P134" t="e">
        <f>VLOOKUP(N134,#REF!,2,FALSE)</f>
        <v>#REF!</v>
      </c>
      <c r="Q134" t="s">
        <v>835</v>
      </c>
      <c r="R134" s="345">
        <v>1430.62</v>
      </c>
    </row>
    <row r="135" spans="1:18" x14ac:dyDescent="0.2">
      <c r="A135" s="344" t="s">
        <v>745</v>
      </c>
      <c r="B135" t="s">
        <v>827</v>
      </c>
      <c r="C135" t="s">
        <v>823</v>
      </c>
      <c r="D135" t="s">
        <v>855</v>
      </c>
      <c r="E135" t="s">
        <v>829</v>
      </c>
      <c r="F135" t="s">
        <v>803</v>
      </c>
      <c r="G135" t="s">
        <v>830</v>
      </c>
      <c r="H135" t="s">
        <v>831</v>
      </c>
      <c r="I135" t="s">
        <v>722</v>
      </c>
      <c r="J135" t="s">
        <v>721</v>
      </c>
      <c r="K135"/>
      <c r="L135"/>
      <c r="M135" t="s">
        <v>843</v>
      </c>
      <c r="N135" t="s">
        <v>844</v>
      </c>
      <c r="O135"/>
      <c r="P135" t="e">
        <f>VLOOKUP(N135,#REF!,2,FALSE)</f>
        <v>#REF!</v>
      </c>
      <c r="Q135" t="s">
        <v>835</v>
      </c>
      <c r="R135" s="345">
        <v>-7.42</v>
      </c>
    </row>
    <row r="136" spans="1:18" x14ac:dyDescent="0.2">
      <c r="A136" s="344" t="s">
        <v>749</v>
      </c>
      <c r="B136" t="s">
        <v>827</v>
      </c>
      <c r="C136" t="s">
        <v>823</v>
      </c>
      <c r="D136" t="s">
        <v>855</v>
      </c>
      <c r="E136" t="s">
        <v>829</v>
      </c>
      <c r="F136" t="s">
        <v>803</v>
      </c>
      <c r="G136" t="s">
        <v>830</v>
      </c>
      <c r="H136" t="s">
        <v>831</v>
      </c>
      <c r="I136" t="s">
        <v>722</v>
      </c>
      <c r="J136" t="s">
        <v>721</v>
      </c>
      <c r="K136"/>
      <c r="L136"/>
      <c r="M136" t="s">
        <v>845</v>
      </c>
      <c r="N136" t="s">
        <v>846</v>
      </c>
      <c r="O136"/>
      <c r="P136" t="e">
        <f>VLOOKUP(N136,#REF!,2,FALSE)</f>
        <v>#REF!</v>
      </c>
      <c r="Q136" t="s">
        <v>836</v>
      </c>
      <c r="R136" s="345">
        <v>-6681.48</v>
      </c>
    </row>
    <row r="137" spans="1:18" x14ac:dyDescent="0.2">
      <c r="A137" s="344" t="s">
        <v>752</v>
      </c>
      <c r="B137" t="s">
        <v>827</v>
      </c>
      <c r="C137" t="s">
        <v>823</v>
      </c>
      <c r="D137" t="s">
        <v>855</v>
      </c>
      <c r="E137" t="s">
        <v>829</v>
      </c>
      <c r="F137" t="s">
        <v>803</v>
      </c>
      <c r="G137" t="s">
        <v>830</v>
      </c>
      <c r="H137" t="s">
        <v>831</v>
      </c>
      <c r="I137" t="s">
        <v>722</v>
      </c>
      <c r="J137" t="s">
        <v>721</v>
      </c>
      <c r="K137"/>
      <c r="L137"/>
      <c r="M137" t="s">
        <v>845</v>
      </c>
      <c r="N137" t="s">
        <v>846</v>
      </c>
      <c r="O137"/>
      <c r="P137" t="e">
        <f>VLOOKUP(N137,#REF!,2,FALSE)</f>
        <v>#REF!</v>
      </c>
      <c r="Q137" t="s">
        <v>836</v>
      </c>
      <c r="R137" s="345">
        <v>3601.47</v>
      </c>
    </row>
    <row r="138" spans="1:18" x14ac:dyDescent="0.2">
      <c r="A138" s="344" t="s">
        <v>753</v>
      </c>
      <c r="B138" t="s">
        <v>827</v>
      </c>
      <c r="C138" t="s">
        <v>823</v>
      </c>
      <c r="D138" t="s">
        <v>855</v>
      </c>
      <c r="E138" t="s">
        <v>829</v>
      </c>
      <c r="F138" t="s">
        <v>803</v>
      </c>
      <c r="G138" t="s">
        <v>830</v>
      </c>
      <c r="H138" t="s">
        <v>831</v>
      </c>
      <c r="I138" t="s">
        <v>722</v>
      </c>
      <c r="J138" t="s">
        <v>721</v>
      </c>
      <c r="K138"/>
      <c r="L138"/>
      <c r="M138" t="s">
        <v>845</v>
      </c>
      <c r="N138" t="s">
        <v>846</v>
      </c>
      <c r="O138"/>
      <c r="P138" t="e">
        <f>VLOOKUP(N138,#REF!,2,FALSE)</f>
        <v>#REF!</v>
      </c>
      <c r="Q138" t="s">
        <v>836</v>
      </c>
      <c r="R138" s="345">
        <v>2778.26</v>
      </c>
    </row>
    <row r="139" spans="1:18" x14ac:dyDescent="0.2">
      <c r="A139" s="344" t="s">
        <v>754</v>
      </c>
      <c r="B139" t="s">
        <v>827</v>
      </c>
      <c r="C139" t="s">
        <v>823</v>
      </c>
      <c r="D139" t="s">
        <v>855</v>
      </c>
      <c r="E139" t="s">
        <v>829</v>
      </c>
      <c r="F139" t="s">
        <v>803</v>
      </c>
      <c r="G139" t="s">
        <v>830</v>
      </c>
      <c r="H139" t="s">
        <v>831</v>
      </c>
      <c r="I139" t="s">
        <v>722</v>
      </c>
      <c r="J139" t="s">
        <v>721</v>
      </c>
      <c r="K139"/>
      <c r="L139"/>
      <c r="M139" t="s">
        <v>845</v>
      </c>
      <c r="N139" t="s">
        <v>846</v>
      </c>
      <c r="O139"/>
      <c r="P139" t="e">
        <f>VLOOKUP(N139,#REF!,2,FALSE)</f>
        <v>#REF!</v>
      </c>
      <c r="Q139" t="s">
        <v>836</v>
      </c>
      <c r="R139" s="345">
        <v>-6175.7</v>
      </c>
    </row>
    <row r="140" spans="1:18" x14ac:dyDescent="0.2">
      <c r="A140" s="344" t="s">
        <v>755</v>
      </c>
      <c r="B140" t="s">
        <v>827</v>
      </c>
      <c r="C140" t="s">
        <v>823</v>
      </c>
      <c r="D140" t="s">
        <v>855</v>
      </c>
      <c r="E140" t="s">
        <v>829</v>
      </c>
      <c r="F140" t="s">
        <v>803</v>
      </c>
      <c r="G140" t="s">
        <v>830</v>
      </c>
      <c r="H140" t="s">
        <v>831</v>
      </c>
      <c r="I140" t="s">
        <v>722</v>
      </c>
      <c r="J140" t="s">
        <v>721</v>
      </c>
      <c r="K140"/>
      <c r="L140"/>
      <c r="M140" t="s">
        <v>845</v>
      </c>
      <c r="N140" t="s">
        <v>846</v>
      </c>
      <c r="O140"/>
      <c r="P140" t="e">
        <f>VLOOKUP(N140,#REF!,2,FALSE)</f>
        <v>#REF!</v>
      </c>
      <c r="Q140" t="s">
        <v>836</v>
      </c>
      <c r="R140" s="345">
        <v>2176.0100000000002</v>
      </c>
    </row>
    <row r="141" spans="1:18" x14ac:dyDescent="0.2">
      <c r="A141" s="344" t="s">
        <v>756</v>
      </c>
      <c r="B141" t="s">
        <v>827</v>
      </c>
      <c r="C141" t="s">
        <v>823</v>
      </c>
      <c r="D141" t="s">
        <v>855</v>
      </c>
      <c r="E141" t="s">
        <v>829</v>
      </c>
      <c r="F141" t="s">
        <v>803</v>
      </c>
      <c r="G141" t="s">
        <v>830</v>
      </c>
      <c r="H141" t="s">
        <v>831</v>
      </c>
      <c r="I141" t="s">
        <v>722</v>
      </c>
      <c r="J141" t="s">
        <v>721</v>
      </c>
      <c r="K141"/>
      <c r="L141"/>
      <c r="M141" t="s">
        <v>845</v>
      </c>
      <c r="N141" t="s">
        <v>846</v>
      </c>
      <c r="O141"/>
      <c r="P141" t="e">
        <f>VLOOKUP(N141,#REF!,2,FALSE)</f>
        <v>#REF!</v>
      </c>
      <c r="Q141" t="s">
        <v>836</v>
      </c>
      <c r="R141" s="345">
        <v>-20202.16</v>
      </c>
    </row>
    <row r="142" spans="1:18" x14ac:dyDescent="0.2">
      <c r="A142" s="344" t="s">
        <v>757</v>
      </c>
      <c r="B142" t="s">
        <v>827</v>
      </c>
      <c r="C142" t="s">
        <v>823</v>
      </c>
      <c r="D142" t="s">
        <v>855</v>
      </c>
      <c r="E142" t="s">
        <v>829</v>
      </c>
      <c r="F142" t="s">
        <v>803</v>
      </c>
      <c r="G142" t="s">
        <v>830</v>
      </c>
      <c r="H142" t="s">
        <v>831</v>
      </c>
      <c r="I142" t="s">
        <v>722</v>
      </c>
      <c r="J142" t="s">
        <v>721</v>
      </c>
      <c r="K142"/>
      <c r="L142"/>
      <c r="M142" t="s">
        <v>845</v>
      </c>
      <c r="N142" t="s">
        <v>846</v>
      </c>
      <c r="O142"/>
      <c r="P142" t="e">
        <f>VLOOKUP(N142,#REF!,2,FALSE)</f>
        <v>#REF!</v>
      </c>
      <c r="Q142" t="s">
        <v>836</v>
      </c>
      <c r="R142" s="345">
        <v>22777.47</v>
      </c>
    </row>
    <row r="143" spans="1:18" x14ac:dyDescent="0.2">
      <c r="A143" s="344" t="s">
        <v>758</v>
      </c>
      <c r="B143" t="s">
        <v>827</v>
      </c>
      <c r="C143" t="s">
        <v>823</v>
      </c>
      <c r="D143" t="s">
        <v>855</v>
      </c>
      <c r="E143" t="s">
        <v>829</v>
      </c>
      <c r="F143" t="s">
        <v>803</v>
      </c>
      <c r="G143" t="s">
        <v>830</v>
      </c>
      <c r="H143" t="s">
        <v>831</v>
      </c>
      <c r="I143" t="s">
        <v>722</v>
      </c>
      <c r="J143" t="s">
        <v>721</v>
      </c>
      <c r="K143"/>
      <c r="L143"/>
      <c r="M143" t="s">
        <v>845</v>
      </c>
      <c r="N143" t="s">
        <v>846</v>
      </c>
      <c r="O143"/>
      <c r="P143" t="e">
        <f>VLOOKUP(N143,#REF!,2,FALSE)</f>
        <v>#REF!</v>
      </c>
      <c r="Q143" t="s">
        <v>836</v>
      </c>
      <c r="R143" s="345">
        <v>1695.03</v>
      </c>
    </row>
    <row r="144" spans="1:18" x14ac:dyDescent="0.2">
      <c r="A144" s="344" t="s">
        <v>759</v>
      </c>
      <c r="B144" t="s">
        <v>827</v>
      </c>
      <c r="C144" t="s">
        <v>823</v>
      </c>
      <c r="D144" t="s">
        <v>855</v>
      </c>
      <c r="E144" t="s">
        <v>829</v>
      </c>
      <c r="F144" t="s">
        <v>803</v>
      </c>
      <c r="G144" t="s">
        <v>830</v>
      </c>
      <c r="H144" t="s">
        <v>831</v>
      </c>
      <c r="I144" t="s">
        <v>722</v>
      </c>
      <c r="J144" t="s">
        <v>721</v>
      </c>
      <c r="K144"/>
      <c r="L144"/>
      <c r="M144" t="s">
        <v>845</v>
      </c>
      <c r="N144" t="s">
        <v>846</v>
      </c>
      <c r="O144"/>
      <c r="P144" t="e">
        <f>VLOOKUP(N144,#REF!,2,FALSE)</f>
        <v>#REF!</v>
      </c>
      <c r="Q144" t="s">
        <v>836</v>
      </c>
      <c r="R144" s="345">
        <v>-477.2</v>
      </c>
    </row>
    <row r="145" spans="1:18" x14ac:dyDescent="0.2">
      <c r="A145" s="344" t="s">
        <v>743</v>
      </c>
      <c r="B145" t="s">
        <v>827</v>
      </c>
      <c r="C145" t="s">
        <v>823</v>
      </c>
      <c r="D145" t="s">
        <v>855</v>
      </c>
      <c r="E145" t="s">
        <v>829</v>
      </c>
      <c r="F145" t="s">
        <v>803</v>
      </c>
      <c r="G145" t="s">
        <v>830</v>
      </c>
      <c r="H145" t="s">
        <v>831</v>
      </c>
      <c r="I145" t="s">
        <v>722</v>
      </c>
      <c r="J145" t="s">
        <v>721</v>
      </c>
      <c r="K145"/>
      <c r="L145"/>
      <c r="M145" t="s">
        <v>845</v>
      </c>
      <c r="N145" t="s">
        <v>846</v>
      </c>
      <c r="O145"/>
      <c r="P145" t="e">
        <f>VLOOKUP(N145,#REF!,2,FALSE)</f>
        <v>#REF!</v>
      </c>
      <c r="Q145" t="s">
        <v>836</v>
      </c>
      <c r="R145" s="345">
        <v>-1150.6500000000001</v>
      </c>
    </row>
    <row r="146" spans="1:18" x14ac:dyDescent="0.2">
      <c r="A146" s="344" t="s">
        <v>760</v>
      </c>
      <c r="B146" t="s">
        <v>827</v>
      </c>
      <c r="C146" t="s">
        <v>823</v>
      </c>
      <c r="D146" t="s">
        <v>855</v>
      </c>
      <c r="E146" t="s">
        <v>829</v>
      </c>
      <c r="F146" t="s">
        <v>803</v>
      </c>
      <c r="G146" t="s">
        <v>830</v>
      </c>
      <c r="H146" t="s">
        <v>831</v>
      </c>
      <c r="I146" t="s">
        <v>722</v>
      </c>
      <c r="J146" t="s">
        <v>721</v>
      </c>
      <c r="K146"/>
      <c r="L146"/>
      <c r="M146" t="s">
        <v>845</v>
      </c>
      <c r="N146" t="s">
        <v>846</v>
      </c>
      <c r="O146"/>
      <c r="P146" t="e">
        <f>VLOOKUP(N146,#REF!,2,FALSE)</f>
        <v>#REF!</v>
      </c>
      <c r="Q146" t="s">
        <v>836</v>
      </c>
      <c r="R146" s="345">
        <v>1658.95</v>
      </c>
    </row>
    <row r="147" spans="1:18" x14ac:dyDescent="0.2">
      <c r="A147" s="344" t="s">
        <v>745</v>
      </c>
      <c r="B147" t="s">
        <v>827</v>
      </c>
      <c r="C147" t="s">
        <v>823</v>
      </c>
      <c r="D147" t="s">
        <v>855</v>
      </c>
      <c r="E147" t="s">
        <v>829</v>
      </c>
      <c r="F147" t="s">
        <v>803</v>
      </c>
      <c r="G147" t="s">
        <v>830</v>
      </c>
      <c r="H147" t="s">
        <v>831</v>
      </c>
      <c r="I147" t="s">
        <v>722</v>
      </c>
      <c r="J147" t="s">
        <v>721</v>
      </c>
      <c r="K147"/>
      <c r="L147"/>
      <c r="M147" t="s">
        <v>845</v>
      </c>
      <c r="N147" t="s">
        <v>846</v>
      </c>
      <c r="O147"/>
      <c r="P147" t="e">
        <f>VLOOKUP(N147,#REF!,2,FALSE)</f>
        <v>#REF!</v>
      </c>
      <c r="Q147" t="s">
        <v>836</v>
      </c>
      <c r="R147" s="345">
        <v>-429.15</v>
      </c>
    </row>
    <row r="148" spans="1:18" x14ac:dyDescent="0.2">
      <c r="A148" s="344" t="s">
        <v>757</v>
      </c>
      <c r="B148" t="s">
        <v>827</v>
      </c>
      <c r="C148" t="s">
        <v>823</v>
      </c>
      <c r="D148" t="s">
        <v>855</v>
      </c>
      <c r="E148" t="s">
        <v>829</v>
      </c>
      <c r="F148" t="s">
        <v>803</v>
      </c>
      <c r="G148" t="s">
        <v>830</v>
      </c>
      <c r="H148" t="s">
        <v>831</v>
      </c>
      <c r="I148" t="s">
        <v>722</v>
      </c>
      <c r="J148" t="s">
        <v>721</v>
      </c>
      <c r="K148"/>
      <c r="L148"/>
      <c r="M148" t="s">
        <v>845</v>
      </c>
      <c r="N148" t="s">
        <v>846</v>
      </c>
      <c r="O148"/>
      <c r="P148" t="e">
        <f>VLOOKUP(N148,#REF!,2,FALSE)</f>
        <v>#REF!</v>
      </c>
      <c r="Q148" t="s">
        <v>835</v>
      </c>
      <c r="R148" s="345">
        <v>-8.48</v>
      </c>
    </row>
    <row r="149" spans="1:18" x14ac:dyDescent="0.2">
      <c r="A149" s="344" t="s">
        <v>758</v>
      </c>
      <c r="B149" t="s">
        <v>827</v>
      </c>
      <c r="C149" t="s">
        <v>823</v>
      </c>
      <c r="D149" t="s">
        <v>855</v>
      </c>
      <c r="E149" t="s">
        <v>829</v>
      </c>
      <c r="F149" t="s">
        <v>803</v>
      </c>
      <c r="G149" t="s">
        <v>830</v>
      </c>
      <c r="H149" t="s">
        <v>831</v>
      </c>
      <c r="I149" t="s">
        <v>722</v>
      </c>
      <c r="J149" t="s">
        <v>721</v>
      </c>
      <c r="K149"/>
      <c r="L149"/>
      <c r="M149" t="s">
        <v>845</v>
      </c>
      <c r="N149" t="s">
        <v>846</v>
      </c>
      <c r="O149"/>
      <c r="P149" t="e">
        <f>VLOOKUP(N149,#REF!,2,FALSE)</f>
        <v>#REF!</v>
      </c>
      <c r="Q149" t="s">
        <v>835</v>
      </c>
      <c r="R149" s="345">
        <v>-17013.62</v>
      </c>
    </row>
    <row r="150" spans="1:18" x14ac:dyDescent="0.2">
      <c r="A150" s="344" t="s">
        <v>759</v>
      </c>
      <c r="B150" t="s">
        <v>827</v>
      </c>
      <c r="C150" t="s">
        <v>823</v>
      </c>
      <c r="D150" t="s">
        <v>855</v>
      </c>
      <c r="E150" t="s">
        <v>829</v>
      </c>
      <c r="F150" t="s">
        <v>803</v>
      </c>
      <c r="G150" t="s">
        <v>830</v>
      </c>
      <c r="H150" t="s">
        <v>831</v>
      </c>
      <c r="I150" t="s">
        <v>722</v>
      </c>
      <c r="J150" t="s">
        <v>721</v>
      </c>
      <c r="K150"/>
      <c r="L150"/>
      <c r="M150" t="s">
        <v>845</v>
      </c>
      <c r="N150" t="s">
        <v>846</v>
      </c>
      <c r="O150"/>
      <c r="P150" t="e">
        <f>VLOOKUP(N150,#REF!,2,FALSE)</f>
        <v>#REF!</v>
      </c>
      <c r="Q150" t="s">
        <v>835</v>
      </c>
      <c r="R150" s="345">
        <v>12213.41</v>
      </c>
    </row>
    <row r="151" spans="1:18" x14ac:dyDescent="0.2">
      <c r="A151" s="344" t="s">
        <v>743</v>
      </c>
      <c r="B151" t="s">
        <v>827</v>
      </c>
      <c r="C151" t="s">
        <v>823</v>
      </c>
      <c r="D151" t="s">
        <v>855</v>
      </c>
      <c r="E151" t="s">
        <v>829</v>
      </c>
      <c r="F151" t="s">
        <v>803</v>
      </c>
      <c r="G151" t="s">
        <v>830</v>
      </c>
      <c r="H151" t="s">
        <v>831</v>
      </c>
      <c r="I151" t="s">
        <v>722</v>
      </c>
      <c r="J151" t="s">
        <v>721</v>
      </c>
      <c r="K151"/>
      <c r="L151"/>
      <c r="M151" t="s">
        <v>845</v>
      </c>
      <c r="N151" t="s">
        <v>846</v>
      </c>
      <c r="O151"/>
      <c r="P151" t="e">
        <f>VLOOKUP(N151,#REF!,2,FALSE)</f>
        <v>#REF!</v>
      </c>
      <c r="Q151" t="s">
        <v>835</v>
      </c>
      <c r="R151" s="345">
        <v>-19302.580000000002</v>
      </c>
    </row>
    <row r="152" spans="1:18" x14ac:dyDescent="0.2">
      <c r="A152" s="344" t="s">
        <v>760</v>
      </c>
      <c r="B152" t="s">
        <v>827</v>
      </c>
      <c r="C152" t="s">
        <v>823</v>
      </c>
      <c r="D152" t="s">
        <v>855</v>
      </c>
      <c r="E152" t="s">
        <v>829</v>
      </c>
      <c r="F152" t="s">
        <v>803</v>
      </c>
      <c r="G152" t="s">
        <v>830</v>
      </c>
      <c r="H152" t="s">
        <v>831</v>
      </c>
      <c r="I152" t="s">
        <v>722</v>
      </c>
      <c r="J152" t="s">
        <v>721</v>
      </c>
      <c r="K152"/>
      <c r="L152"/>
      <c r="M152" t="s">
        <v>845</v>
      </c>
      <c r="N152" t="s">
        <v>846</v>
      </c>
      <c r="O152"/>
      <c r="P152" t="e">
        <f>VLOOKUP(N152,#REF!,2,FALSE)</f>
        <v>#REF!</v>
      </c>
      <c r="Q152" t="s">
        <v>835</v>
      </c>
      <c r="R152" s="345">
        <v>24111.27</v>
      </c>
    </row>
    <row r="153" spans="1:18" x14ac:dyDescent="0.2">
      <c r="A153" s="344" t="s">
        <v>749</v>
      </c>
      <c r="B153" t="s">
        <v>827</v>
      </c>
      <c r="C153" t="s">
        <v>823</v>
      </c>
      <c r="D153" t="s">
        <v>855</v>
      </c>
      <c r="E153" t="s">
        <v>829</v>
      </c>
      <c r="F153" t="s">
        <v>803</v>
      </c>
      <c r="G153" t="s">
        <v>830</v>
      </c>
      <c r="H153" t="s">
        <v>831</v>
      </c>
      <c r="I153" t="s">
        <v>722</v>
      </c>
      <c r="J153" t="s">
        <v>721</v>
      </c>
      <c r="K153"/>
      <c r="L153"/>
      <c r="M153" t="s">
        <v>847</v>
      </c>
      <c r="N153" t="s">
        <v>848</v>
      </c>
      <c r="O153"/>
      <c r="P153" t="e">
        <f>VLOOKUP(N153,#REF!,2,FALSE)</f>
        <v>#REF!</v>
      </c>
      <c r="Q153" t="s">
        <v>836</v>
      </c>
      <c r="R153" s="345">
        <v>2451.39</v>
      </c>
    </row>
    <row r="154" spans="1:18" x14ac:dyDescent="0.2">
      <c r="A154" s="344" t="s">
        <v>752</v>
      </c>
      <c r="B154" t="s">
        <v>827</v>
      </c>
      <c r="C154" t="s">
        <v>823</v>
      </c>
      <c r="D154" t="s">
        <v>855</v>
      </c>
      <c r="E154" t="s">
        <v>829</v>
      </c>
      <c r="F154" t="s">
        <v>803</v>
      </c>
      <c r="G154" t="s">
        <v>830</v>
      </c>
      <c r="H154" t="s">
        <v>831</v>
      </c>
      <c r="I154" t="s">
        <v>722</v>
      </c>
      <c r="J154" t="s">
        <v>721</v>
      </c>
      <c r="K154"/>
      <c r="L154"/>
      <c r="M154" t="s">
        <v>847</v>
      </c>
      <c r="N154" t="s">
        <v>848</v>
      </c>
      <c r="O154"/>
      <c r="P154" t="e">
        <f>VLOOKUP(N154,#REF!,2,FALSE)</f>
        <v>#REF!</v>
      </c>
      <c r="Q154" t="s">
        <v>836</v>
      </c>
      <c r="R154" s="345">
        <v>960.66</v>
      </c>
    </row>
    <row r="155" spans="1:18" x14ac:dyDescent="0.2">
      <c r="A155" s="344" t="s">
        <v>753</v>
      </c>
      <c r="B155" t="s">
        <v>827</v>
      </c>
      <c r="C155" t="s">
        <v>823</v>
      </c>
      <c r="D155" t="s">
        <v>855</v>
      </c>
      <c r="E155" t="s">
        <v>829</v>
      </c>
      <c r="F155" t="s">
        <v>803</v>
      </c>
      <c r="G155" t="s">
        <v>830</v>
      </c>
      <c r="H155" t="s">
        <v>831</v>
      </c>
      <c r="I155" t="s">
        <v>722</v>
      </c>
      <c r="J155" t="s">
        <v>721</v>
      </c>
      <c r="K155"/>
      <c r="L155"/>
      <c r="M155" t="s">
        <v>847</v>
      </c>
      <c r="N155" t="s">
        <v>848</v>
      </c>
      <c r="O155"/>
      <c r="P155" t="e">
        <f>VLOOKUP(N155,#REF!,2,FALSE)</f>
        <v>#REF!</v>
      </c>
      <c r="Q155" t="s">
        <v>836</v>
      </c>
      <c r="R155" s="345">
        <v>-605.23</v>
      </c>
    </row>
    <row r="156" spans="1:18" x14ac:dyDescent="0.2">
      <c r="A156" s="344" t="s">
        <v>754</v>
      </c>
      <c r="B156" t="s">
        <v>827</v>
      </c>
      <c r="C156" t="s">
        <v>823</v>
      </c>
      <c r="D156" t="s">
        <v>855</v>
      </c>
      <c r="E156" t="s">
        <v>829</v>
      </c>
      <c r="F156" t="s">
        <v>803</v>
      </c>
      <c r="G156" t="s">
        <v>830</v>
      </c>
      <c r="H156" t="s">
        <v>831</v>
      </c>
      <c r="I156" t="s">
        <v>722</v>
      </c>
      <c r="J156" t="s">
        <v>721</v>
      </c>
      <c r="K156"/>
      <c r="L156"/>
      <c r="M156" t="s">
        <v>847</v>
      </c>
      <c r="N156" t="s">
        <v>848</v>
      </c>
      <c r="O156"/>
      <c r="P156" t="e">
        <f>VLOOKUP(N156,#REF!,2,FALSE)</f>
        <v>#REF!</v>
      </c>
      <c r="Q156" t="s">
        <v>836</v>
      </c>
      <c r="R156" s="345">
        <v>-17.149999999999999</v>
      </c>
    </row>
    <row r="157" spans="1:18" x14ac:dyDescent="0.2">
      <c r="A157" s="344" t="s">
        <v>755</v>
      </c>
      <c r="B157" t="s">
        <v>827</v>
      </c>
      <c r="C157" t="s">
        <v>823</v>
      </c>
      <c r="D157" t="s">
        <v>855</v>
      </c>
      <c r="E157" t="s">
        <v>829</v>
      </c>
      <c r="F157" t="s">
        <v>803</v>
      </c>
      <c r="G157" t="s">
        <v>830</v>
      </c>
      <c r="H157" t="s">
        <v>831</v>
      </c>
      <c r="I157" t="s">
        <v>722</v>
      </c>
      <c r="J157" t="s">
        <v>721</v>
      </c>
      <c r="K157"/>
      <c r="L157"/>
      <c r="M157" t="s">
        <v>847</v>
      </c>
      <c r="N157" t="s">
        <v>848</v>
      </c>
      <c r="O157"/>
      <c r="P157" t="e">
        <f>VLOOKUP(N157,#REF!,2,FALSE)</f>
        <v>#REF!</v>
      </c>
      <c r="Q157" t="s">
        <v>836</v>
      </c>
      <c r="R157" s="345">
        <v>-756.7</v>
      </c>
    </row>
    <row r="158" spans="1:18" x14ac:dyDescent="0.2">
      <c r="A158" s="344" t="s">
        <v>756</v>
      </c>
      <c r="B158" t="s">
        <v>827</v>
      </c>
      <c r="C158" t="s">
        <v>823</v>
      </c>
      <c r="D158" t="s">
        <v>855</v>
      </c>
      <c r="E158" t="s">
        <v>829</v>
      </c>
      <c r="F158" t="s">
        <v>803</v>
      </c>
      <c r="G158" t="s">
        <v>830</v>
      </c>
      <c r="H158" t="s">
        <v>831</v>
      </c>
      <c r="I158" t="s">
        <v>722</v>
      </c>
      <c r="J158" t="s">
        <v>721</v>
      </c>
      <c r="K158"/>
      <c r="L158"/>
      <c r="M158" t="s">
        <v>847</v>
      </c>
      <c r="N158" t="s">
        <v>848</v>
      </c>
      <c r="O158"/>
      <c r="P158" t="e">
        <f>VLOOKUP(N158,#REF!,2,FALSE)</f>
        <v>#REF!</v>
      </c>
      <c r="Q158" t="s">
        <v>836</v>
      </c>
      <c r="R158" s="345">
        <v>-1450.32</v>
      </c>
    </row>
    <row r="159" spans="1:18" x14ac:dyDescent="0.2">
      <c r="A159" s="344" t="s">
        <v>757</v>
      </c>
      <c r="B159" t="s">
        <v>827</v>
      </c>
      <c r="C159" t="s">
        <v>823</v>
      </c>
      <c r="D159" t="s">
        <v>855</v>
      </c>
      <c r="E159" t="s">
        <v>829</v>
      </c>
      <c r="F159" t="s">
        <v>803</v>
      </c>
      <c r="G159" t="s">
        <v>830</v>
      </c>
      <c r="H159" t="s">
        <v>831</v>
      </c>
      <c r="I159" t="s">
        <v>722</v>
      </c>
      <c r="J159" t="s">
        <v>721</v>
      </c>
      <c r="K159"/>
      <c r="L159"/>
      <c r="M159" t="s">
        <v>847</v>
      </c>
      <c r="N159" t="s">
        <v>848</v>
      </c>
      <c r="O159"/>
      <c r="P159" t="e">
        <f>VLOOKUP(N159,#REF!,2,FALSE)</f>
        <v>#REF!</v>
      </c>
      <c r="Q159" t="s">
        <v>836</v>
      </c>
      <c r="R159" s="345">
        <v>2630.54</v>
      </c>
    </row>
    <row r="160" spans="1:18" x14ac:dyDescent="0.2">
      <c r="A160" s="344" t="s">
        <v>758</v>
      </c>
      <c r="B160" t="s">
        <v>827</v>
      </c>
      <c r="C160" t="s">
        <v>823</v>
      </c>
      <c r="D160" t="s">
        <v>855</v>
      </c>
      <c r="E160" t="s">
        <v>829</v>
      </c>
      <c r="F160" t="s">
        <v>803</v>
      </c>
      <c r="G160" t="s">
        <v>830</v>
      </c>
      <c r="H160" t="s">
        <v>831</v>
      </c>
      <c r="I160" t="s">
        <v>722</v>
      </c>
      <c r="J160" t="s">
        <v>721</v>
      </c>
      <c r="K160"/>
      <c r="L160"/>
      <c r="M160" t="s">
        <v>847</v>
      </c>
      <c r="N160" t="s">
        <v>848</v>
      </c>
      <c r="O160"/>
      <c r="P160" t="e">
        <f>VLOOKUP(N160,#REF!,2,FALSE)</f>
        <v>#REF!</v>
      </c>
      <c r="Q160" t="s">
        <v>836</v>
      </c>
      <c r="R160" s="345">
        <v>788.41</v>
      </c>
    </row>
    <row r="161" spans="1:18" x14ac:dyDescent="0.2">
      <c r="A161" s="344" t="s">
        <v>759</v>
      </c>
      <c r="B161" t="s">
        <v>827</v>
      </c>
      <c r="C161" t="s">
        <v>823</v>
      </c>
      <c r="D161" t="s">
        <v>855</v>
      </c>
      <c r="E161" t="s">
        <v>829</v>
      </c>
      <c r="F161" t="s">
        <v>803</v>
      </c>
      <c r="G161" t="s">
        <v>830</v>
      </c>
      <c r="H161" t="s">
        <v>831</v>
      </c>
      <c r="I161" t="s">
        <v>722</v>
      </c>
      <c r="J161" t="s">
        <v>721</v>
      </c>
      <c r="K161"/>
      <c r="L161"/>
      <c r="M161" t="s">
        <v>847</v>
      </c>
      <c r="N161" t="s">
        <v>848</v>
      </c>
      <c r="O161"/>
      <c r="P161" t="e">
        <f>VLOOKUP(N161,#REF!,2,FALSE)</f>
        <v>#REF!</v>
      </c>
      <c r="Q161" t="s">
        <v>836</v>
      </c>
      <c r="R161" s="345">
        <v>-460.36</v>
      </c>
    </row>
    <row r="162" spans="1:18" x14ac:dyDescent="0.2">
      <c r="A162" s="344" t="s">
        <v>743</v>
      </c>
      <c r="B162" t="s">
        <v>827</v>
      </c>
      <c r="C162" t="s">
        <v>823</v>
      </c>
      <c r="D162" t="s">
        <v>855</v>
      </c>
      <c r="E162" t="s">
        <v>829</v>
      </c>
      <c r="F162" t="s">
        <v>803</v>
      </c>
      <c r="G162" t="s">
        <v>830</v>
      </c>
      <c r="H162" t="s">
        <v>831</v>
      </c>
      <c r="I162" t="s">
        <v>722</v>
      </c>
      <c r="J162" t="s">
        <v>721</v>
      </c>
      <c r="K162"/>
      <c r="L162"/>
      <c r="M162" t="s">
        <v>847</v>
      </c>
      <c r="N162" t="s">
        <v>848</v>
      </c>
      <c r="O162"/>
      <c r="P162" t="e">
        <f>VLOOKUP(N162,#REF!,2,FALSE)</f>
        <v>#REF!</v>
      </c>
      <c r="Q162" t="s">
        <v>836</v>
      </c>
      <c r="R162" s="345">
        <v>-255.75</v>
      </c>
    </row>
    <row r="163" spans="1:18" x14ac:dyDescent="0.2">
      <c r="A163" s="344" t="s">
        <v>760</v>
      </c>
      <c r="B163" t="s">
        <v>827</v>
      </c>
      <c r="C163" t="s">
        <v>823</v>
      </c>
      <c r="D163" t="s">
        <v>855</v>
      </c>
      <c r="E163" t="s">
        <v>829</v>
      </c>
      <c r="F163" t="s">
        <v>803</v>
      </c>
      <c r="G163" t="s">
        <v>830</v>
      </c>
      <c r="H163" t="s">
        <v>831</v>
      </c>
      <c r="I163" t="s">
        <v>722</v>
      </c>
      <c r="J163" t="s">
        <v>721</v>
      </c>
      <c r="K163"/>
      <c r="L163"/>
      <c r="M163" t="s">
        <v>847</v>
      </c>
      <c r="N163" t="s">
        <v>848</v>
      </c>
      <c r="O163"/>
      <c r="P163" t="e">
        <f>VLOOKUP(N163,#REF!,2,FALSE)</f>
        <v>#REF!</v>
      </c>
      <c r="Q163" t="s">
        <v>836</v>
      </c>
      <c r="R163" s="345">
        <v>-2356.6</v>
      </c>
    </row>
    <row r="164" spans="1:18" x14ac:dyDescent="0.2">
      <c r="A164" s="344" t="s">
        <v>745</v>
      </c>
      <c r="B164" t="s">
        <v>827</v>
      </c>
      <c r="C164" t="s">
        <v>823</v>
      </c>
      <c r="D164" t="s">
        <v>855</v>
      </c>
      <c r="E164" t="s">
        <v>829</v>
      </c>
      <c r="F164" t="s">
        <v>803</v>
      </c>
      <c r="G164" t="s">
        <v>830</v>
      </c>
      <c r="H164" t="s">
        <v>831</v>
      </c>
      <c r="I164" t="s">
        <v>722</v>
      </c>
      <c r="J164" t="s">
        <v>721</v>
      </c>
      <c r="K164"/>
      <c r="L164"/>
      <c r="M164" t="s">
        <v>847</v>
      </c>
      <c r="N164" t="s">
        <v>848</v>
      </c>
      <c r="O164"/>
      <c r="P164" t="e">
        <f>VLOOKUP(N164,#REF!,2,FALSE)</f>
        <v>#REF!</v>
      </c>
      <c r="Q164" t="s">
        <v>836</v>
      </c>
      <c r="R164" s="345">
        <v>-2251.77</v>
      </c>
    </row>
    <row r="165" spans="1:18" x14ac:dyDescent="0.2">
      <c r="A165" s="344" t="s">
        <v>756</v>
      </c>
      <c r="B165" t="s">
        <v>827</v>
      </c>
      <c r="C165" t="s">
        <v>823</v>
      </c>
      <c r="D165" t="s">
        <v>746</v>
      </c>
      <c r="E165" t="s">
        <v>829</v>
      </c>
      <c r="F165" t="s">
        <v>803</v>
      </c>
      <c r="G165" t="s">
        <v>830</v>
      </c>
      <c r="H165" t="s">
        <v>831</v>
      </c>
      <c r="I165" t="s">
        <v>722</v>
      </c>
      <c r="J165" t="s">
        <v>721</v>
      </c>
      <c r="K165"/>
      <c r="L165"/>
      <c r="M165" t="s">
        <v>747</v>
      </c>
      <c r="N165" t="s">
        <v>748</v>
      </c>
      <c r="O165"/>
      <c r="P165" t="e">
        <f>VLOOKUP(N165,#REF!,2,FALSE)</f>
        <v>#REF!</v>
      </c>
      <c r="Q165" t="s">
        <v>856</v>
      </c>
      <c r="R165" s="345">
        <v>-2481.71</v>
      </c>
    </row>
    <row r="166" spans="1:18" x14ac:dyDescent="0.2">
      <c r="A166" s="344" t="s">
        <v>757</v>
      </c>
      <c r="B166" t="s">
        <v>827</v>
      </c>
      <c r="C166" t="s">
        <v>823</v>
      </c>
      <c r="D166" t="s">
        <v>746</v>
      </c>
      <c r="E166" t="s">
        <v>829</v>
      </c>
      <c r="F166" t="s">
        <v>803</v>
      </c>
      <c r="G166" t="s">
        <v>830</v>
      </c>
      <c r="H166" t="s">
        <v>831</v>
      </c>
      <c r="I166" t="s">
        <v>722</v>
      </c>
      <c r="J166" t="s">
        <v>721</v>
      </c>
      <c r="K166"/>
      <c r="L166"/>
      <c r="M166" t="s">
        <v>747</v>
      </c>
      <c r="N166" t="s">
        <v>748</v>
      </c>
      <c r="O166"/>
      <c r="P166" t="e">
        <f>VLOOKUP(N166,#REF!,2,FALSE)</f>
        <v>#REF!</v>
      </c>
      <c r="Q166" t="s">
        <v>856</v>
      </c>
      <c r="R166" s="345">
        <v>2481.71</v>
      </c>
    </row>
    <row r="167" spans="1:18" x14ac:dyDescent="0.2">
      <c r="A167" s="344" t="s">
        <v>752</v>
      </c>
      <c r="B167" t="s">
        <v>827</v>
      </c>
      <c r="C167" t="s">
        <v>823</v>
      </c>
      <c r="D167" t="s">
        <v>746</v>
      </c>
      <c r="E167" t="s">
        <v>829</v>
      </c>
      <c r="F167" t="s">
        <v>803</v>
      </c>
      <c r="G167" t="s">
        <v>830</v>
      </c>
      <c r="H167" t="s">
        <v>831</v>
      </c>
      <c r="I167" t="s">
        <v>722</v>
      </c>
      <c r="J167" t="s">
        <v>721</v>
      </c>
      <c r="K167"/>
      <c r="L167"/>
      <c r="M167" t="s">
        <v>747</v>
      </c>
      <c r="N167" t="s">
        <v>748</v>
      </c>
      <c r="O167"/>
      <c r="P167" t="e">
        <f>VLOOKUP(N167,#REF!,2,FALSE)</f>
        <v>#REF!</v>
      </c>
      <c r="Q167" t="s">
        <v>857</v>
      </c>
      <c r="R167" s="345">
        <v>-447.11</v>
      </c>
    </row>
    <row r="168" spans="1:18" x14ac:dyDescent="0.2">
      <c r="A168" s="344" t="s">
        <v>753</v>
      </c>
      <c r="B168" t="s">
        <v>827</v>
      </c>
      <c r="C168" t="s">
        <v>823</v>
      </c>
      <c r="D168" t="s">
        <v>746</v>
      </c>
      <c r="E168" t="s">
        <v>829</v>
      </c>
      <c r="F168" t="s">
        <v>803</v>
      </c>
      <c r="G168" t="s">
        <v>830</v>
      </c>
      <c r="H168" t="s">
        <v>831</v>
      </c>
      <c r="I168" t="s">
        <v>722</v>
      </c>
      <c r="J168" t="s">
        <v>721</v>
      </c>
      <c r="K168"/>
      <c r="L168"/>
      <c r="M168" t="s">
        <v>747</v>
      </c>
      <c r="N168" t="s">
        <v>748</v>
      </c>
      <c r="O168"/>
      <c r="P168" t="e">
        <f>VLOOKUP(N168,#REF!,2,FALSE)</f>
        <v>#REF!</v>
      </c>
      <c r="Q168" t="s">
        <v>857</v>
      </c>
      <c r="R168" s="345">
        <v>0</v>
      </c>
    </row>
    <row r="169" spans="1:18" x14ac:dyDescent="0.2">
      <c r="A169" s="344" t="s">
        <v>749</v>
      </c>
      <c r="B169" t="s">
        <v>827</v>
      </c>
      <c r="C169" t="s">
        <v>823</v>
      </c>
      <c r="D169" t="s">
        <v>746</v>
      </c>
      <c r="E169" t="s">
        <v>829</v>
      </c>
      <c r="F169" t="s">
        <v>803</v>
      </c>
      <c r="G169" t="s">
        <v>830</v>
      </c>
      <c r="H169" t="s">
        <v>831</v>
      </c>
      <c r="I169" t="s">
        <v>722</v>
      </c>
      <c r="J169" t="s">
        <v>721</v>
      </c>
      <c r="K169"/>
      <c r="L169"/>
      <c r="M169" t="s">
        <v>747</v>
      </c>
      <c r="N169" t="s">
        <v>748</v>
      </c>
      <c r="O169"/>
      <c r="P169" t="e">
        <f>VLOOKUP(N169,#REF!,2,FALSE)</f>
        <v>#REF!</v>
      </c>
      <c r="Q169" t="s">
        <v>858</v>
      </c>
      <c r="R169" s="345">
        <v>-106.03</v>
      </c>
    </row>
    <row r="170" spans="1:18" x14ac:dyDescent="0.2">
      <c r="A170" s="344" t="s">
        <v>752</v>
      </c>
      <c r="B170" t="s">
        <v>827</v>
      </c>
      <c r="C170" t="s">
        <v>823</v>
      </c>
      <c r="D170" t="s">
        <v>746</v>
      </c>
      <c r="E170" t="s">
        <v>829</v>
      </c>
      <c r="F170" t="s">
        <v>803</v>
      </c>
      <c r="G170" t="s">
        <v>830</v>
      </c>
      <c r="H170" t="s">
        <v>831</v>
      </c>
      <c r="I170" t="s">
        <v>722</v>
      </c>
      <c r="J170" t="s">
        <v>721</v>
      </c>
      <c r="K170"/>
      <c r="L170"/>
      <c r="M170" t="s">
        <v>747</v>
      </c>
      <c r="N170" t="s">
        <v>748</v>
      </c>
      <c r="O170"/>
      <c r="P170" t="e">
        <f>VLOOKUP(N170,#REF!,2,FALSE)</f>
        <v>#REF!</v>
      </c>
      <c r="Q170" t="s">
        <v>858</v>
      </c>
      <c r="R170" s="345">
        <v>-24.72</v>
      </c>
    </row>
    <row r="171" spans="1:18" x14ac:dyDescent="0.2">
      <c r="A171" s="344" t="s">
        <v>753</v>
      </c>
      <c r="B171" t="s">
        <v>827</v>
      </c>
      <c r="C171" t="s">
        <v>823</v>
      </c>
      <c r="D171" t="s">
        <v>746</v>
      </c>
      <c r="E171" t="s">
        <v>829</v>
      </c>
      <c r="F171" t="s">
        <v>803</v>
      </c>
      <c r="G171" t="s">
        <v>830</v>
      </c>
      <c r="H171" t="s">
        <v>831</v>
      </c>
      <c r="I171" t="s">
        <v>722</v>
      </c>
      <c r="J171" t="s">
        <v>721</v>
      </c>
      <c r="K171"/>
      <c r="L171"/>
      <c r="M171" t="s">
        <v>747</v>
      </c>
      <c r="N171" t="s">
        <v>748</v>
      </c>
      <c r="O171"/>
      <c r="P171" t="e">
        <f>VLOOKUP(N171,#REF!,2,FALSE)</f>
        <v>#REF!</v>
      </c>
      <c r="Q171" t="s">
        <v>858</v>
      </c>
      <c r="R171" s="345">
        <v>2484.88</v>
      </c>
    </row>
    <row r="172" spans="1:18" x14ac:dyDescent="0.2">
      <c r="A172" s="344" t="s">
        <v>749</v>
      </c>
      <c r="B172" t="s">
        <v>827</v>
      </c>
      <c r="C172" t="s">
        <v>823</v>
      </c>
      <c r="D172" t="s">
        <v>746</v>
      </c>
      <c r="E172" t="s">
        <v>829</v>
      </c>
      <c r="F172" t="s">
        <v>803</v>
      </c>
      <c r="G172" t="s">
        <v>830</v>
      </c>
      <c r="H172" t="s">
        <v>831</v>
      </c>
      <c r="I172" t="s">
        <v>722</v>
      </c>
      <c r="J172" t="s">
        <v>721</v>
      </c>
      <c r="K172"/>
      <c r="L172"/>
      <c r="M172" t="s">
        <v>747</v>
      </c>
      <c r="N172" t="s">
        <v>748</v>
      </c>
      <c r="O172"/>
      <c r="P172" t="e">
        <f>VLOOKUP(N172,#REF!,2,FALSE)</f>
        <v>#REF!</v>
      </c>
      <c r="Q172" t="s">
        <v>835</v>
      </c>
      <c r="R172" s="345">
        <v>-990.54</v>
      </c>
    </row>
    <row r="173" spans="1:18" x14ac:dyDescent="0.2">
      <c r="A173" s="344" t="s">
        <v>752</v>
      </c>
      <c r="B173" t="s">
        <v>827</v>
      </c>
      <c r="C173" t="s">
        <v>823</v>
      </c>
      <c r="D173" t="s">
        <v>746</v>
      </c>
      <c r="E173" t="s">
        <v>829</v>
      </c>
      <c r="F173" t="s">
        <v>803</v>
      </c>
      <c r="G173" t="s">
        <v>830</v>
      </c>
      <c r="H173" t="s">
        <v>831</v>
      </c>
      <c r="I173" t="s">
        <v>722</v>
      </c>
      <c r="J173" t="s">
        <v>721</v>
      </c>
      <c r="K173"/>
      <c r="L173"/>
      <c r="M173" t="s">
        <v>747</v>
      </c>
      <c r="N173" t="s">
        <v>748</v>
      </c>
      <c r="O173"/>
      <c r="P173" t="e">
        <f>VLOOKUP(N173,#REF!,2,FALSE)</f>
        <v>#REF!</v>
      </c>
      <c r="Q173" t="s">
        <v>835</v>
      </c>
      <c r="R173" s="345">
        <v>-990.54</v>
      </c>
    </row>
    <row r="174" spans="1:18" x14ac:dyDescent="0.2">
      <c r="A174" s="344" t="s">
        <v>753</v>
      </c>
      <c r="B174" t="s">
        <v>827</v>
      </c>
      <c r="C174" t="s">
        <v>823</v>
      </c>
      <c r="D174" t="s">
        <v>746</v>
      </c>
      <c r="E174" t="s">
        <v>829</v>
      </c>
      <c r="F174" t="s">
        <v>803</v>
      </c>
      <c r="G174" t="s">
        <v>830</v>
      </c>
      <c r="H174" t="s">
        <v>831</v>
      </c>
      <c r="I174" t="s">
        <v>722</v>
      </c>
      <c r="J174" t="s">
        <v>721</v>
      </c>
      <c r="K174"/>
      <c r="L174"/>
      <c r="M174" t="s">
        <v>747</v>
      </c>
      <c r="N174" t="s">
        <v>748</v>
      </c>
      <c r="O174"/>
      <c r="P174" t="e">
        <f>VLOOKUP(N174,#REF!,2,FALSE)</f>
        <v>#REF!</v>
      </c>
      <c r="Q174" t="s">
        <v>835</v>
      </c>
      <c r="R174" s="345">
        <v>-990.54</v>
      </c>
    </row>
    <row r="175" spans="1:18" x14ac:dyDescent="0.2">
      <c r="A175" s="344" t="s">
        <v>754</v>
      </c>
      <c r="B175" t="s">
        <v>827</v>
      </c>
      <c r="C175" t="s">
        <v>823</v>
      </c>
      <c r="D175" t="s">
        <v>746</v>
      </c>
      <c r="E175" t="s">
        <v>829</v>
      </c>
      <c r="F175" t="s">
        <v>803</v>
      </c>
      <c r="G175" t="s">
        <v>830</v>
      </c>
      <c r="H175" t="s">
        <v>831</v>
      </c>
      <c r="I175" t="s">
        <v>722</v>
      </c>
      <c r="J175" t="s">
        <v>721</v>
      </c>
      <c r="K175"/>
      <c r="L175"/>
      <c r="M175" t="s">
        <v>747</v>
      </c>
      <c r="N175" t="s">
        <v>748</v>
      </c>
      <c r="O175"/>
      <c r="P175" t="e">
        <f>VLOOKUP(N175,#REF!,2,FALSE)</f>
        <v>#REF!</v>
      </c>
      <c r="Q175" t="s">
        <v>835</v>
      </c>
      <c r="R175" s="345">
        <v>-992.68</v>
      </c>
    </row>
    <row r="176" spans="1:18" x14ac:dyDescent="0.2">
      <c r="A176" s="344" t="s">
        <v>755</v>
      </c>
      <c r="B176" t="s">
        <v>827</v>
      </c>
      <c r="C176" t="s">
        <v>823</v>
      </c>
      <c r="D176" t="s">
        <v>746</v>
      </c>
      <c r="E176" t="s">
        <v>829</v>
      </c>
      <c r="F176" t="s">
        <v>803</v>
      </c>
      <c r="G176" t="s">
        <v>830</v>
      </c>
      <c r="H176" t="s">
        <v>831</v>
      </c>
      <c r="I176" t="s">
        <v>722</v>
      </c>
      <c r="J176" t="s">
        <v>721</v>
      </c>
      <c r="K176"/>
      <c r="L176"/>
      <c r="M176" t="s">
        <v>747</v>
      </c>
      <c r="N176" t="s">
        <v>748</v>
      </c>
      <c r="O176"/>
      <c r="P176" t="e">
        <f>VLOOKUP(N176,#REF!,2,FALSE)</f>
        <v>#REF!</v>
      </c>
      <c r="Q176" t="s">
        <v>835</v>
      </c>
      <c r="R176" s="345">
        <v>-992.68</v>
      </c>
    </row>
    <row r="177" spans="1:18" x14ac:dyDescent="0.2">
      <c r="A177" s="344" t="s">
        <v>756</v>
      </c>
      <c r="B177" t="s">
        <v>827</v>
      </c>
      <c r="C177" t="s">
        <v>823</v>
      </c>
      <c r="D177" t="s">
        <v>746</v>
      </c>
      <c r="E177" t="s">
        <v>829</v>
      </c>
      <c r="F177" t="s">
        <v>803</v>
      </c>
      <c r="G177" t="s">
        <v>830</v>
      </c>
      <c r="H177" t="s">
        <v>831</v>
      </c>
      <c r="I177" t="s">
        <v>722</v>
      </c>
      <c r="J177" t="s">
        <v>721</v>
      </c>
      <c r="K177"/>
      <c r="L177"/>
      <c r="M177" t="s">
        <v>747</v>
      </c>
      <c r="N177" t="s">
        <v>748</v>
      </c>
      <c r="O177"/>
      <c r="P177" t="e">
        <f>VLOOKUP(N177,#REF!,2,FALSE)</f>
        <v>#REF!</v>
      </c>
      <c r="Q177" t="s">
        <v>835</v>
      </c>
      <c r="R177" s="345">
        <v>-992.68</v>
      </c>
    </row>
    <row r="178" spans="1:18" x14ac:dyDescent="0.2">
      <c r="A178" s="344" t="s">
        <v>757</v>
      </c>
      <c r="B178" t="s">
        <v>827</v>
      </c>
      <c r="C178" t="s">
        <v>823</v>
      </c>
      <c r="D178" t="s">
        <v>746</v>
      </c>
      <c r="E178" t="s">
        <v>829</v>
      </c>
      <c r="F178" t="s">
        <v>803</v>
      </c>
      <c r="G178" t="s">
        <v>830</v>
      </c>
      <c r="H178" t="s">
        <v>831</v>
      </c>
      <c r="I178" t="s">
        <v>722</v>
      </c>
      <c r="J178" t="s">
        <v>721</v>
      </c>
      <c r="K178"/>
      <c r="L178"/>
      <c r="M178" t="s">
        <v>747</v>
      </c>
      <c r="N178" t="s">
        <v>748</v>
      </c>
      <c r="O178"/>
      <c r="P178" t="e">
        <f>VLOOKUP(N178,#REF!,2,FALSE)</f>
        <v>#REF!</v>
      </c>
      <c r="Q178" t="s">
        <v>835</v>
      </c>
      <c r="R178" s="345">
        <v>-994.83</v>
      </c>
    </row>
    <row r="179" spans="1:18" x14ac:dyDescent="0.2">
      <c r="A179" s="344" t="s">
        <v>758</v>
      </c>
      <c r="B179" t="s">
        <v>827</v>
      </c>
      <c r="C179" t="s">
        <v>823</v>
      </c>
      <c r="D179" t="s">
        <v>746</v>
      </c>
      <c r="E179" t="s">
        <v>829</v>
      </c>
      <c r="F179" t="s">
        <v>803</v>
      </c>
      <c r="G179" t="s">
        <v>830</v>
      </c>
      <c r="H179" t="s">
        <v>831</v>
      </c>
      <c r="I179" t="s">
        <v>722</v>
      </c>
      <c r="J179" t="s">
        <v>721</v>
      </c>
      <c r="K179"/>
      <c r="L179"/>
      <c r="M179" t="s">
        <v>747</v>
      </c>
      <c r="N179" t="s">
        <v>748</v>
      </c>
      <c r="O179"/>
      <c r="P179" t="e">
        <f>VLOOKUP(N179,#REF!,2,FALSE)</f>
        <v>#REF!</v>
      </c>
      <c r="Q179" t="s">
        <v>835</v>
      </c>
      <c r="R179" s="345">
        <v>0</v>
      </c>
    </row>
    <row r="180" spans="1:18" x14ac:dyDescent="0.2">
      <c r="A180" s="344" t="s">
        <v>749</v>
      </c>
      <c r="B180" t="s">
        <v>827</v>
      </c>
      <c r="C180" t="s">
        <v>823</v>
      </c>
      <c r="D180" t="s">
        <v>746</v>
      </c>
      <c r="E180" t="s">
        <v>829</v>
      </c>
      <c r="F180" t="s">
        <v>803</v>
      </c>
      <c r="G180" t="s">
        <v>830</v>
      </c>
      <c r="H180" t="s">
        <v>831</v>
      </c>
      <c r="I180" t="s">
        <v>722</v>
      </c>
      <c r="J180" t="s">
        <v>721</v>
      </c>
      <c r="K180"/>
      <c r="L180"/>
      <c r="M180" t="s">
        <v>747</v>
      </c>
      <c r="N180" t="s">
        <v>748</v>
      </c>
      <c r="O180"/>
      <c r="P180" t="e">
        <f>VLOOKUP(N180,#REF!,2,FALSE)</f>
        <v>#REF!</v>
      </c>
      <c r="Q180" t="s">
        <v>859</v>
      </c>
      <c r="R180" s="345">
        <v>2451.38</v>
      </c>
    </row>
    <row r="181" spans="1:18" x14ac:dyDescent="0.2">
      <c r="A181" s="344" t="s">
        <v>754</v>
      </c>
      <c r="B181" t="s">
        <v>827</v>
      </c>
      <c r="C181" t="s">
        <v>823</v>
      </c>
      <c r="D181" t="s">
        <v>746</v>
      </c>
      <c r="E181" t="s">
        <v>829</v>
      </c>
      <c r="F181" t="s">
        <v>803</v>
      </c>
      <c r="G181" t="s">
        <v>830</v>
      </c>
      <c r="H181" t="s">
        <v>831</v>
      </c>
      <c r="I181" t="s">
        <v>722</v>
      </c>
      <c r="J181" t="s">
        <v>721</v>
      </c>
      <c r="K181"/>
      <c r="L181"/>
      <c r="M181" t="s">
        <v>747</v>
      </c>
      <c r="N181" t="s">
        <v>748</v>
      </c>
      <c r="O181"/>
      <c r="P181" t="e">
        <f>VLOOKUP(N181,#REF!,2,FALSE)</f>
        <v>#REF!</v>
      </c>
      <c r="Q181" t="s">
        <v>859</v>
      </c>
      <c r="R181" s="345">
        <v>-2481.71</v>
      </c>
    </row>
    <row r="182" spans="1:18" x14ac:dyDescent="0.2">
      <c r="A182" s="344" t="s">
        <v>755</v>
      </c>
      <c r="B182" t="s">
        <v>827</v>
      </c>
      <c r="C182" t="s">
        <v>823</v>
      </c>
      <c r="D182" t="s">
        <v>746</v>
      </c>
      <c r="E182" t="s">
        <v>829</v>
      </c>
      <c r="F182" t="s">
        <v>803</v>
      </c>
      <c r="G182" t="s">
        <v>830</v>
      </c>
      <c r="H182" t="s">
        <v>831</v>
      </c>
      <c r="I182" t="s">
        <v>722</v>
      </c>
      <c r="J182" t="s">
        <v>721</v>
      </c>
      <c r="K182"/>
      <c r="L182"/>
      <c r="M182" t="s">
        <v>747</v>
      </c>
      <c r="N182" t="s">
        <v>748</v>
      </c>
      <c r="O182"/>
      <c r="P182" t="e">
        <f>VLOOKUP(N182,#REF!,2,FALSE)</f>
        <v>#REF!</v>
      </c>
      <c r="Q182" t="s">
        <v>859</v>
      </c>
      <c r="R182" s="345">
        <v>-2481.71</v>
      </c>
    </row>
    <row r="183" spans="1:18" x14ac:dyDescent="0.2">
      <c r="A183" s="344" t="s">
        <v>756</v>
      </c>
      <c r="B183" t="s">
        <v>827</v>
      </c>
      <c r="C183" t="s">
        <v>823</v>
      </c>
      <c r="D183" t="s">
        <v>746</v>
      </c>
      <c r="E183" t="s">
        <v>829</v>
      </c>
      <c r="F183" t="s">
        <v>803</v>
      </c>
      <c r="G183" t="s">
        <v>830</v>
      </c>
      <c r="H183" t="s">
        <v>831</v>
      </c>
      <c r="I183" t="s">
        <v>722</v>
      </c>
      <c r="J183" t="s">
        <v>721</v>
      </c>
      <c r="K183"/>
      <c r="L183"/>
      <c r="M183" t="s">
        <v>747</v>
      </c>
      <c r="N183" t="s">
        <v>748</v>
      </c>
      <c r="O183"/>
      <c r="P183" t="e">
        <f>VLOOKUP(N183,#REF!,2,FALSE)</f>
        <v>#REF!</v>
      </c>
      <c r="Q183" t="s">
        <v>859</v>
      </c>
      <c r="R183" s="345">
        <v>-2481.71</v>
      </c>
    </row>
    <row r="184" spans="1:18" x14ac:dyDescent="0.2">
      <c r="A184" s="344" t="s">
        <v>757</v>
      </c>
      <c r="B184" t="s">
        <v>827</v>
      </c>
      <c r="C184" t="s">
        <v>823</v>
      </c>
      <c r="D184" t="s">
        <v>746</v>
      </c>
      <c r="E184" t="s">
        <v>829</v>
      </c>
      <c r="F184" t="s">
        <v>803</v>
      </c>
      <c r="G184" t="s">
        <v>830</v>
      </c>
      <c r="H184" t="s">
        <v>831</v>
      </c>
      <c r="I184" t="s">
        <v>722</v>
      </c>
      <c r="J184" t="s">
        <v>721</v>
      </c>
      <c r="K184"/>
      <c r="L184"/>
      <c r="M184" t="s">
        <v>747</v>
      </c>
      <c r="N184" t="s">
        <v>748</v>
      </c>
      <c r="O184"/>
      <c r="P184" t="e">
        <f>VLOOKUP(N184,#REF!,2,FALSE)</f>
        <v>#REF!</v>
      </c>
      <c r="Q184" t="s">
        <v>859</v>
      </c>
      <c r="R184" s="345">
        <v>0</v>
      </c>
    </row>
    <row r="185" spans="1:18" x14ac:dyDescent="0.2">
      <c r="A185" s="344" t="s">
        <v>749</v>
      </c>
      <c r="B185" t="s">
        <v>827</v>
      </c>
      <c r="C185" t="s">
        <v>823</v>
      </c>
      <c r="D185" t="s">
        <v>746</v>
      </c>
      <c r="E185" t="s">
        <v>829</v>
      </c>
      <c r="F185" t="s">
        <v>803</v>
      </c>
      <c r="G185" t="s">
        <v>830</v>
      </c>
      <c r="H185" t="s">
        <v>831</v>
      </c>
      <c r="I185" t="s">
        <v>722</v>
      </c>
      <c r="J185" t="s">
        <v>721</v>
      </c>
      <c r="K185"/>
      <c r="L185"/>
      <c r="M185" t="s">
        <v>747</v>
      </c>
      <c r="N185" t="s">
        <v>748</v>
      </c>
      <c r="O185"/>
      <c r="P185" t="e">
        <f>VLOOKUP(N185,#REF!,2,FALSE)</f>
        <v>#REF!</v>
      </c>
      <c r="Q185" t="s">
        <v>860</v>
      </c>
      <c r="R185" s="345">
        <v>-2476.36</v>
      </c>
    </row>
    <row r="186" spans="1:18" x14ac:dyDescent="0.2">
      <c r="A186" s="344" t="s">
        <v>752</v>
      </c>
      <c r="B186" t="s">
        <v>827</v>
      </c>
      <c r="C186" t="s">
        <v>823</v>
      </c>
      <c r="D186" t="s">
        <v>746</v>
      </c>
      <c r="E186" t="s">
        <v>829</v>
      </c>
      <c r="F186" t="s">
        <v>803</v>
      </c>
      <c r="G186" t="s">
        <v>830</v>
      </c>
      <c r="H186" t="s">
        <v>831</v>
      </c>
      <c r="I186" t="s">
        <v>722</v>
      </c>
      <c r="J186" t="s">
        <v>721</v>
      </c>
      <c r="K186"/>
      <c r="L186"/>
      <c r="M186" t="s">
        <v>747</v>
      </c>
      <c r="N186" t="s">
        <v>748</v>
      </c>
      <c r="O186"/>
      <c r="P186" t="e">
        <f>VLOOKUP(N186,#REF!,2,FALSE)</f>
        <v>#REF!</v>
      </c>
      <c r="Q186" t="s">
        <v>860</v>
      </c>
      <c r="R186" s="345">
        <v>-2476.36</v>
      </c>
    </row>
    <row r="187" spans="1:18" x14ac:dyDescent="0.2">
      <c r="A187" s="344" t="s">
        <v>753</v>
      </c>
      <c r="B187" t="s">
        <v>827</v>
      </c>
      <c r="C187" t="s">
        <v>823</v>
      </c>
      <c r="D187" t="s">
        <v>746</v>
      </c>
      <c r="E187" t="s">
        <v>829</v>
      </c>
      <c r="F187" t="s">
        <v>803</v>
      </c>
      <c r="G187" t="s">
        <v>830</v>
      </c>
      <c r="H187" t="s">
        <v>831</v>
      </c>
      <c r="I187" t="s">
        <v>722</v>
      </c>
      <c r="J187" t="s">
        <v>721</v>
      </c>
      <c r="K187"/>
      <c r="L187"/>
      <c r="M187" t="s">
        <v>747</v>
      </c>
      <c r="N187" t="s">
        <v>748</v>
      </c>
      <c r="O187"/>
      <c r="P187" t="e">
        <f>VLOOKUP(N187,#REF!,2,FALSE)</f>
        <v>#REF!</v>
      </c>
      <c r="Q187" t="s">
        <v>860</v>
      </c>
      <c r="R187" s="345">
        <v>-2476.36</v>
      </c>
    </row>
    <row r="188" spans="1:18" x14ac:dyDescent="0.2">
      <c r="A188" s="344" t="s">
        <v>754</v>
      </c>
      <c r="B188" t="s">
        <v>827</v>
      </c>
      <c r="C188" t="s">
        <v>823</v>
      </c>
      <c r="D188" t="s">
        <v>746</v>
      </c>
      <c r="E188" t="s">
        <v>829</v>
      </c>
      <c r="F188" t="s">
        <v>803</v>
      </c>
      <c r="G188" t="s">
        <v>830</v>
      </c>
      <c r="H188" t="s">
        <v>831</v>
      </c>
      <c r="I188" t="s">
        <v>722</v>
      </c>
      <c r="J188" t="s">
        <v>721</v>
      </c>
      <c r="K188"/>
      <c r="L188"/>
      <c r="M188" t="s">
        <v>747</v>
      </c>
      <c r="N188" t="s">
        <v>748</v>
      </c>
      <c r="O188"/>
      <c r="P188" t="e">
        <f>VLOOKUP(N188,#REF!,2,FALSE)</f>
        <v>#REF!</v>
      </c>
      <c r="Q188" t="s">
        <v>860</v>
      </c>
      <c r="R188" s="345">
        <v>-2481.71</v>
      </c>
    </row>
    <row r="189" spans="1:18" x14ac:dyDescent="0.2">
      <c r="A189" s="344" t="s">
        <v>755</v>
      </c>
      <c r="B189" t="s">
        <v>827</v>
      </c>
      <c r="C189" t="s">
        <v>823</v>
      </c>
      <c r="D189" t="s">
        <v>746</v>
      </c>
      <c r="E189" t="s">
        <v>829</v>
      </c>
      <c r="F189" t="s">
        <v>803</v>
      </c>
      <c r="G189" t="s">
        <v>830</v>
      </c>
      <c r="H189" t="s">
        <v>831</v>
      </c>
      <c r="I189" t="s">
        <v>722</v>
      </c>
      <c r="J189" t="s">
        <v>721</v>
      </c>
      <c r="K189"/>
      <c r="L189"/>
      <c r="M189" t="s">
        <v>747</v>
      </c>
      <c r="N189" t="s">
        <v>748</v>
      </c>
      <c r="O189"/>
      <c r="P189" t="e">
        <f>VLOOKUP(N189,#REF!,2,FALSE)</f>
        <v>#REF!</v>
      </c>
      <c r="Q189" t="s">
        <v>860</v>
      </c>
      <c r="R189" s="345">
        <v>-2481.71</v>
      </c>
    </row>
    <row r="190" spans="1:18" x14ac:dyDescent="0.2">
      <c r="A190" s="344" t="s">
        <v>756</v>
      </c>
      <c r="B190" t="s">
        <v>827</v>
      </c>
      <c r="C190" t="s">
        <v>823</v>
      </c>
      <c r="D190" t="s">
        <v>746</v>
      </c>
      <c r="E190" t="s">
        <v>829</v>
      </c>
      <c r="F190" t="s">
        <v>803</v>
      </c>
      <c r="G190" t="s">
        <v>830</v>
      </c>
      <c r="H190" t="s">
        <v>831</v>
      </c>
      <c r="I190" t="s">
        <v>722</v>
      </c>
      <c r="J190" t="s">
        <v>721</v>
      </c>
      <c r="K190"/>
      <c r="L190"/>
      <c r="M190" t="s">
        <v>747</v>
      </c>
      <c r="N190" t="s">
        <v>748</v>
      </c>
      <c r="O190"/>
      <c r="P190" t="e">
        <f>VLOOKUP(N190,#REF!,2,FALSE)</f>
        <v>#REF!</v>
      </c>
      <c r="Q190" t="s">
        <v>860</v>
      </c>
      <c r="R190" s="345">
        <v>-2481.71</v>
      </c>
    </row>
    <row r="191" spans="1:18" x14ac:dyDescent="0.2">
      <c r="A191" s="344" t="s">
        <v>757</v>
      </c>
      <c r="B191" t="s">
        <v>827</v>
      </c>
      <c r="C191" t="s">
        <v>823</v>
      </c>
      <c r="D191" t="s">
        <v>746</v>
      </c>
      <c r="E191" t="s">
        <v>829</v>
      </c>
      <c r="F191" t="s">
        <v>803</v>
      </c>
      <c r="G191" t="s">
        <v>830</v>
      </c>
      <c r="H191" t="s">
        <v>831</v>
      </c>
      <c r="I191" t="s">
        <v>722</v>
      </c>
      <c r="J191" t="s">
        <v>721</v>
      </c>
      <c r="K191"/>
      <c r="L191"/>
      <c r="M191" t="s">
        <v>747</v>
      </c>
      <c r="N191" t="s">
        <v>748</v>
      </c>
      <c r="O191"/>
      <c r="P191" t="e">
        <f>VLOOKUP(N191,#REF!,2,FALSE)</f>
        <v>#REF!</v>
      </c>
      <c r="Q191" t="s">
        <v>860</v>
      </c>
      <c r="R191" s="345">
        <v>-2487.06</v>
      </c>
    </row>
    <row r="192" spans="1:18" x14ac:dyDescent="0.2">
      <c r="A192" s="344" t="s">
        <v>758</v>
      </c>
      <c r="B192" t="s">
        <v>827</v>
      </c>
      <c r="C192" t="s">
        <v>823</v>
      </c>
      <c r="D192" t="s">
        <v>746</v>
      </c>
      <c r="E192" t="s">
        <v>829</v>
      </c>
      <c r="F192" t="s">
        <v>803</v>
      </c>
      <c r="G192" t="s">
        <v>830</v>
      </c>
      <c r="H192" t="s">
        <v>831</v>
      </c>
      <c r="I192" t="s">
        <v>722</v>
      </c>
      <c r="J192" t="s">
        <v>721</v>
      </c>
      <c r="K192"/>
      <c r="L192"/>
      <c r="M192" t="s">
        <v>747</v>
      </c>
      <c r="N192" t="s">
        <v>748</v>
      </c>
      <c r="O192"/>
      <c r="P192" t="e">
        <f>VLOOKUP(N192,#REF!,2,FALSE)</f>
        <v>#REF!</v>
      </c>
      <c r="Q192" t="s">
        <v>860</v>
      </c>
      <c r="R192" s="345">
        <v>-2487.06</v>
      </c>
    </row>
    <row r="193" spans="1:18" x14ac:dyDescent="0.2">
      <c r="A193" s="344" t="s">
        <v>759</v>
      </c>
      <c r="B193" t="s">
        <v>827</v>
      </c>
      <c r="C193" t="s">
        <v>823</v>
      </c>
      <c r="D193" t="s">
        <v>746</v>
      </c>
      <c r="E193" t="s">
        <v>829</v>
      </c>
      <c r="F193" t="s">
        <v>803</v>
      </c>
      <c r="G193" t="s">
        <v>830</v>
      </c>
      <c r="H193" t="s">
        <v>831</v>
      </c>
      <c r="I193" t="s">
        <v>722</v>
      </c>
      <c r="J193" t="s">
        <v>721</v>
      </c>
      <c r="K193"/>
      <c r="L193"/>
      <c r="M193" t="s">
        <v>747</v>
      </c>
      <c r="N193" t="s">
        <v>748</v>
      </c>
      <c r="O193"/>
      <c r="P193" t="e">
        <f>VLOOKUP(N193,#REF!,2,FALSE)</f>
        <v>#REF!</v>
      </c>
      <c r="Q193" t="s">
        <v>860</v>
      </c>
      <c r="R193" s="345">
        <v>-2487.06</v>
      </c>
    </row>
    <row r="194" spans="1:18" x14ac:dyDescent="0.2">
      <c r="A194" s="344" t="s">
        <v>743</v>
      </c>
      <c r="B194" t="s">
        <v>827</v>
      </c>
      <c r="C194" t="s">
        <v>823</v>
      </c>
      <c r="D194" t="s">
        <v>746</v>
      </c>
      <c r="E194" t="s">
        <v>829</v>
      </c>
      <c r="F194" t="s">
        <v>803</v>
      </c>
      <c r="G194" t="s">
        <v>830</v>
      </c>
      <c r="H194" t="s">
        <v>831</v>
      </c>
      <c r="I194" t="s">
        <v>722</v>
      </c>
      <c r="J194" t="s">
        <v>721</v>
      </c>
      <c r="K194"/>
      <c r="L194"/>
      <c r="M194" t="s">
        <v>747</v>
      </c>
      <c r="N194" t="s">
        <v>748</v>
      </c>
      <c r="O194"/>
      <c r="P194" t="e">
        <f>VLOOKUP(N194,#REF!,2,FALSE)</f>
        <v>#REF!</v>
      </c>
      <c r="Q194" t="s">
        <v>860</v>
      </c>
      <c r="R194" s="345">
        <v>-2510.2600000000002</v>
      </c>
    </row>
    <row r="195" spans="1:18" x14ac:dyDescent="0.2">
      <c r="A195" s="344" t="s">
        <v>760</v>
      </c>
      <c r="B195" t="s">
        <v>827</v>
      </c>
      <c r="C195" t="s">
        <v>823</v>
      </c>
      <c r="D195" t="s">
        <v>746</v>
      </c>
      <c r="E195" t="s">
        <v>829</v>
      </c>
      <c r="F195" t="s">
        <v>803</v>
      </c>
      <c r="G195" t="s">
        <v>830</v>
      </c>
      <c r="H195" t="s">
        <v>831</v>
      </c>
      <c r="I195" t="s">
        <v>722</v>
      </c>
      <c r="J195" t="s">
        <v>721</v>
      </c>
      <c r="K195"/>
      <c r="L195"/>
      <c r="M195" t="s">
        <v>747</v>
      </c>
      <c r="N195" t="s">
        <v>748</v>
      </c>
      <c r="O195"/>
      <c r="P195" t="e">
        <f>VLOOKUP(N195,#REF!,2,FALSE)</f>
        <v>#REF!</v>
      </c>
      <c r="Q195" t="s">
        <v>860</v>
      </c>
      <c r="R195" s="345">
        <v>-2510.2600000000002</v>
      </c>
    </row>
    <row r="196" spans="1:18" x14ac:dyDescent="0.2">
      <c r="A196" s="344" t="s">
        <v>745</v>
      </c>
      <c r="B196" t="s">
        <v>827</v>
      </c>
      <c r="C196" t="s">
        <v>823</v>
      </c>
      <c r="D196" t="s">
        <v>746</v>
      </c>
      <c r="E196" t="s">
        <v>829</v>
      </c>
      <c r="F196" t="s">
        <v>803</v>
      </c>
      <c r="G196" t="s">
        <v>830</v>
      </c>
      <c r="H196" t="s">
        <v>831</v>
      </c>
      <c r="I196" t="s">
        <v>722</v>
      </c>
      <c r="J196" t="s">
        <v>721</v>
      </c>
      <c r="K196"/>
      <c r="L196"/>
      <c r="M196" t="s">
        <v>747</v>
      </c>
      <c r="N196" t="s">
        <v>748</v>
      </c>
      <c r="O196"/>
      <c r="P196" t="e">
        <f>VLOOKUP(N196,#REF!,2,FALSE)</f>
        <v>#REF!</v>
      </c>
      <c r="Q196" t="s">
        <v>860</v>
      </c>
      <c r="R196" s="345">
        <v>-2510.2600000000002</v>
      </c>
    </row>
    <row r="197" spans="1:18" x14ac:dyDescent="0.2">
      <c r="A197" s="344" t="s">
        <v>749</v>
      </c>
      <c r="B197" t="s">
        <v>827</v>
      </c>
      <c r="C197" t="s">
        <v>823</v>
      </c>
      <c r="D197" t="s">
        <v>746</v>
      </c>
      <c r="E197" t="s">
        <v>829</v>
      </c>
      <c r="F197" t="s">
        <v>803</v>
      </c>
      <c r="G197" t="s">
        <v>830</v>
      </c>
      <c r="H197" t="s">
        <v>831</v>
      </c>
      <c r="I197" t="s">
        <v>722</v>
      </c>
      <c r="J197" t="s">
        <v>721</v>
      </c>
      <c r="K197"/>
      <c r="L197"/>
      <c r="M197" t="s">
        <v>747</v>
      </c>
      <c r="N197" t="s">
        <v>748</v>
      </c>
      <c r="O197"/>
      <c r="P197" t="e">
        <f>VLOOKUP(N197,#REF!,2,FALSE)</f>
        <v>#REF!</v>
      </c>
      <c r="Q197" t="s">
        <v>861</v>
      </c>
      <c r="R197" s="345">
        <v>-2476.36</v>
      </c>
    </row>
    <row r="198" spans="1:18" x14ac:dyDescent="0.2">
      <c r="A198" s="344" t="s">
        <v>752</v>
      </c>
      <c r="B198" t="s">
        <v>827</v>
      </c>
      <c r="C198" t="s">
        <v>823</v>
      </c>
      <c r="D198" t="s">
        <v>746</v>
      </c>
      <c r="E198" t="s">
        <v>829</v>
      </c>
      <c r="F198" t="s">
        <v>803</v>
      </c>
      <c r="G198" t="s">
        <v>830</v>
      </c>
      <c r="H198" t="s">
        <v>831</v>
      </c>
      <c r="I198" t="s">
        <v>722</v>
      </c>
      <c r="J198" t="s">
        <v>721</v>
      </c>
      <c r="K198"/>
      <c r="L198"/>
      <c r="M198" t="s">
        <v>747</v>
      </c>
      <c r="N198" t="s">
        <v>748</v>
      </c>
      <c r="O198"/>
      <c r="P198" t="e">
        <f>VLOOKUP(N198,#REF!,2,FALSE)</f>
        <v>#REF!</v>
      </c>
      <c r="Q198" t="s">
        <v>861</v>
      </c>
      <c r="R198" s="345">
        <v>-2476.36</v>
      </c>
    </row>
    <row r="199" spans="1:18" x14ac:dyDescent="0.2">
      <c r="A199" s="344" t="s">
        <v>753</v>
      </c>
      <c r="B199" t="s">
        <v>827</v>
      </c>
      <c r="C199" t="s">
        <v>823</v>
      </c>
      <c r="D199" t="s">
        <v>746</v>
      </c>
      <c r="E199" t="s">
        <v>829</v>
      </c>
      <c r="F199" t="s">
        <v>803</v>
      </c>
      <c r="G199" t="s">
        <v>830</v>
      </c>
      <c r="H199" t="s">
        <v>831</v>
      </c>
      <c r="I199" t="s">
        <v>722</v>
      </c>
      <c r="J199" t="s">
        <v>721</v>
      </c>
      <c r="K199"/>
      <c r="L199"/>
      <c r="M199" t="s">
        <v>747</v>
      </c>
      <c r="N199" t="s">
        <v>748</v>
      </c>
      <c r="O199"/>
      <c r="P199" t="e">
        <f>VLOOKUP(N199,#REF!,2,FALSE)</f>
        <v>#REF!</v>
      </c>
      <c r="Q199" t="s">
        <v>861</v>
      </c>
      <c r="R199" s="345">
        <v>-2476.36</v>
      </c>
    </row>
    <row r="200" spans="1:18" x14ac:dyDescent="0.2">
      <c r="A200" s="344" t="s">
        <v>754</v>
      </c>
      <c r="B200" t="s">
        <v>827</v>
      </c>
      <c r="C200" t="s">
        <v>823</v>
      </c>
      <c r="D200" t="s">
        <v>746</v>
      </c>
      <c r="E200" t="s">
        <v>829</v>
      </c>
      <c r="F200" t="s">
        <v>803</v>
      </c>
      <c r="G200" t="s">
        <v>830</v>
      </c>
      <c r="H200" t="s">
        <v>831</v>
      </c>
      <c r="I200" t="s">
        <v>722</v>
      </c>
      <c r="J200" t="s">
        <v>721</v>
      </c>
      <c r="K200"/>
      <c r="L200"/>
      <c r="M200" t="s">
        <v>747</v>
      </c>
      <c r="N200" t="s">
        <v>748</v>
      </c>
      <c r="O200"/>
      <c r="P200" t="e">
        <f>VLOOKUP(N200,#REF!,2,FALSE)</f>
        <v>#REF!</v>
      </c>
      <c r="Q200" t="s">
        <v>861</v>
      </c>
      <c r="R200" s="345">
        <v>-2481.71</v>
      </c>
    </row>
    <row r="201" spans="1:18" x14ac:dyDescent="0.2">
      <c r="A201" s="344" t="s">
        <v>755</v>
      </c>
      <c r="B201" t="s">
        <v>827</v>
      </c>
      <c r="C201" t="s">
        <v>823</v>
      </c>
      <c r="D201" t="s">
        <v>746</v>
      </c>
      <c r="E201" t="s">
        <v>829</v>
      </c>
      <c r="F201" t="s">
        <v>803</v>
      </c>
      <c r="G201" t="s">
        <v>830</v>
      </c>
      <c r="H201" t="s">
        <v>831</v>
      </c>
      <c r="I201" t="s">
        <v>722</v>
      </c>
      <c r="J201" t="s">
        <v>721</v>
      </c>
      <c r="K201"/>
      <c r="L201"/>
      <c r="M201" t="s">
        <v>747</v>
      </c>
      <c r="N201" t="s">
        <v>748</v>
      </c>
      <c r="O201"/>
      <c r="P201" t="e">
        <f>VLOOKUP(N201,#REF!,2,FALSE)</f>
        <v>#REF!</v>
      </c>
      <c r="Q201" t="s">
        <v>861</v>
      </c>
      <c r="R201" s="345">
        <v>-2481.71</v>
      </c>
    </row>
    <row r="202" spans="1:18" x14ac:dyDescent="0.2">
      <c r="A202" s="344" t="s">
        <v>756</v>
      </c>
      <c r="B202" t="s">
        <v>827</v>
      </c>
      <c r="C202" t="s">
        <v>823</v>
      </c>
      <c r="D202" t="s">
        <v>746</v>
      </c>
      <c r="E202" t="s">
        <v>829</v>
      </c>
      <c r="F202" t="s">
        <v>803</v>
      </c>
      <c r="G202" t="s">
        <v>830</v>
      </c>
      <c r="H202" t="s">
        <v>831</v>
      </c>
      <c r="I202" t="s">
        <v>722</v>
      </c>
      <c r="J202" t="s">
        <v>721</v>
      </c>
      <c r="K202"/>
      <c r="L202"/>
      <c r="M202" t="s">
        <v>747</v>
      </c>
      <c r="N202" t="s">
        <v>748</v>
      </c>
      <c r="O202"/>
      <c r="P202" t="e">
        <f>VLOOKUP(N202,#REF!,2,FALSE)</f>
        <v>#REF!</v>
      </c>
      <c r="Q202" t="s">
        <v>861</v>
      </c>
      <c r="R202" s="345">
        <v>-2481.71</v>
      </c>
    </row>
    <row r="203" spans="1:18" x14ac:dyDescent="0.2">
      <c r="A203" s="344" t="s">
        <v>757</v>
      </c>
      <c r="B203" t="s">
        <v>827</v>
      </c>
      <c r="C203" t="s">
        <v>823</v>
      </c>
      <c r="D203" t="s">
        <v>746</v>
      </c>
      <c r="E203" t="s">
        <v>829</v>
      </c>
      <c r="F203" t="s">
        <v>803</v>
      </c>
      <c r="G203" t="s">
        <v>830</v>
      </c>
      <c r="H203" t="s">
        <v>831</v>
      </c>
      <c r="I203" t="s">
        <v>722</v>
      </c>
      <c r="J203" t="s">
        <v>721</v>
      </c>
      <c r="K203"/>
      <c r="L203"/>
      <c r="M203" t="s">
        <v>747</v>
      </c>
      <c r="N203" t="s">
        <v>748</v>
      </c>
      <c r="O203"/>
      <c r="P203" t="e">
        <f>VLOOKUP(N203,#REF!,2,FALSE)</f>
        <v>#REF!</v>
      </c>
      <c r="Q203" t="s">
        <v>861</v>
      </c>
      <c r="R203" s="345">
        <v>-2487.06</v>
      </c>
    </row>
    <row r="204" spans="1:18" x14ac:dyDescent="0.2">
      <c r="A204" s="344" t="s">
        <v>758</v>
      </c>
      <c r="B204" t="s">
        <v>827</v>
      </c>
      <c r="C204" t="s">
        <v>823</v>
      </c>
      <c r="D204" t="s">
        <v>746</v>
      </c>
      <c r="E204" t="s">
        <v>829</v>
      </c>
      <c r="F204" t="s">
        <v>803</v>
      </c>
      <c r="G204" t="s">
        <v>830</v>
      </c>
      <c r="H204" t="s">
        <v>831</v>
      </c>
      <c r="I204" t="s">
        <v>722</v>
      </c>
      <c r="J204" t="s">
        <v>721</v>
      </c>
      <c r="K204"/>
      <c r="L204"/>
      <c r="M204" t="s">
        <v>747</v>
      </c>
      <c r="N204" t="s">
        <v>748</v>
      </c>
      <c r="O204"/>
      <c r="P204" t="e">
        <f>VLOOKUP(N204,#REF!,2,FALSE)</f>
        <v>#REF!</v>
      </c>
      <c r="Q204" t="s">
        <v>861</v>
      </c>
      <c r="R204" s="345">
        <v>2487.06</v>
      </c>
    </row>
    <row r="205" spans="1:18" x14ac:dyDescent="0.2">
      <c r="A205" s="344" t="s">
        <v>759</v>
      </c>
      <c r="B205" t="s">
        <v>827</v>
      </c>
      <c r="C205" t="s">
        <v>823</v>
      </c>
      <c r="D205" t="s">
        <v>746</v>
      </c>
      <c r="E205" t="s">
        <v>829</v>
      </c>
      <c r="F205" t="s">
        <v>803</v>
      </c>
      <c r="G205" t="s">
        <v>830</v>
      </c>
      <c r="H205" t="s">
        <v>831</v>
      </c>
      <c r="I205" t="s">
        <v>722</v>
      </c>
      <c r="J205" t="s">
        <v>721</v>
      </c>
      <c r="K205"/>
      <c r="L205"/>
      <c r="M205" t="s">
        <v>747</v>
      </c>
      <c r="N205" t="s">
        <v>748</v>
      </c>
      <c r="O205"/>
      <c r="P205" t="e">
        <f>VLOOKUP(N205,#REF!,2,FALSE)</f>
        <v>#REF!</v>
      </c>
      <c r="Q205" t="s">
        <v>861</v>
      </c>
      <c r="R205" s="345">
        <v>-1598.82</v>
      </c>
    </row>
    <row r="206" spans="1:18" x14ac:dyDescent="0.2">
      <c r="A206" s="344" t="s">
        <v>749</v>
      </c>
      <c r="B206" t="s">
        <v>827</v>
      </c>
      <c r="C206" t="s">
        <v>823</v>
      </c>
      <c r="D206" t="s">
        <v>746</v>
      </c>
      <c r="E206" t="s">
        <v>829</v>
      </c>
      <c r="F206" t="s">
        <v>803</v>
      </c>
      <c r="G206" t="s">
        <v>830</v>
      </c>
      <c r="H206" t="s">
        <v>831</v>
      </c>
      <c r="I206" t="s">
        <v>722</v>
      </c>
      <c r="J206" t="s">
        <v>721</v>
      </c>
      <c r="K206"/>
      <c r="L206"/>
      <c r="M206" t="s">
        <v>747</v>
      </c>
      <c r="N206" t="s">
        <v>748</v>
      </c>
      <c r="O206"/>
      <c r="P206" t="e">
        <f>VLOOKUP(N206,#REF!,2,FALSE)</f>
        <v>#REF!</v>
      </c>
      <c r="Q206" t="s">
        <v>862</v>
      </c>
      <c r="R206" s="345">
        <v>-2476.36</v>
      </c>
    </row>
    <row r="207" spans="1:18" x14ac:dyDescent="0.2">
      <c r="A207" s="344" t="s">
        <v>752</v>
      </c>
      <c r="B207" t="s">
        <v>827</v>
      </c>
      <c r="C207" t="s">
        <v>823</v>
      </c>
      <c r="D207" t="s">
        <v>746</v>
      </c>
      <c r="E207" t="s">
        <v>829</v>
      </c>
      <c r="F207" t="s">
        <v>803</v>
      </c>
      <c r="G207" t="s">
        <v>830</v>
      </c>
      <c r="H207" t="s">
        <v>831</v>
      </c>
      <c r="I207" t="s">
        <v>722</v>
      </c>
      <c r="J207" t="s">
        <v>721</v>
      </c>
      <c r="K207"/>
      <c r="L207"/>
      <c r="M207" t="s">
        <v>747</v>
      </c>
      <c r="N207" t="s">
        <v>748</v>
      </c>
      <c r="O207"/>
      <c r="P207" t="e">
        <f>VLOOKUP(N207,#REF!,2,FALSE)</f>
        <v>#REF!</v>
      </c>
      <c r="Q207" t="s">
        <v>862</v>
      </c>
      <c r="R207" s="345">
        <v>-2476.36</v>
      </c>
    </row>
    <row r="208" spans="1:18" x14ac:dyDescent="0.2">
      <c r="A208" s="344" t="s">
        <v>753</v>
      </c>
      <c r="B208" t="s">
        <v>827</v>
      </c>
      <c r="C208" t="s">
        <v>823</v>
      </c>
      <c r="D208" t="s">
        <v>746</v>
      </c>
      <c r="E208" t="s">
        <v>829</v>
      </c>
      <c r="F208" t="s">
        <v>803</v>
      </c>
      <c r="G208" t="s">
        <v>830</v>
      </c>
      <c r="H208" t="s">
        <v>831</v>
      </c>
      <c r="I208" t="s">
        <v>722</v>
      </c>
      <c r="J208" t="s">
        <v>721</v>
      </c>
      <c r="K208"/>
      <c r="L208"/>
      <c r="M208" t="s">
        <v>747</v>
      </c>
      <c r="N208" t="s">
        <v>748</v>
      </c>
      <c r="O208"/>
      <c r="P208" t="e">
        <f>VLOOKUP(N208,#REF!,2,FALSE)</f>
        <v>#REF!</v>
      </c>
      <c r="Q208" t="s">
        <v>862</v>
      </c>
      <c r="R208" s="345">
        <v>-2476.36</v>
      </c>
    </row>
    <row r="209" spans="1:18" x14ac:dyDescent="0.2">
      <c r="A209" s="344" t="s">
        <v>754</v>
      </c>
      <c r="B209" t="s">
        <v>827</v>
      </c>
      <c r="C209" t="s">
        <v>823</v>
      </c>
      <c r="D209" t="s">
        <v>746</v>
      </c>
      <c r="E209" t="s">
        <v>829</v>
      </c>
      <c r="F209" t="s">
        <v>803</v>
      </c>
      <c r="G209" t="s">
        <v>830</v>
      </c>
      <c r="H209" t="s">
        <v>831</v>
      </c>
      <c r="I209" t="s">
        <v>722</v>
      </c>
      <c r="J209" t="s">
        <v>721</v>
      </c>
      <c r="K209"/>
      <c r="L209"/>
      <c r="M209" t="s">
        <v>747</v>
      </c>
      <c r="N209" t="s">
        <v>748</v>
      </c>
      <c r="O209"/>
      <c r="P209" t="e">
        <f>VLOOKUP(N209,#REF!,2,FALSE)</f>
        <v>#REF!</v>
      </c>
      <c r="Q209" t="s">
        <v>862</v>
      </c>
      <c r="R209" s="345">
        <v>-2481.71</v>
      </c>
    </row>
    <row r="210" spans="1:18" x14ac:dyDescent="0.2">
      <c r="A210" s="344" t="s">
        <v>755</v>
      </c>
      <c r="B210" t="s">
        <v>827</v>
      </c>
      <c r="C210" t="s">
        <v>823</v>
      </c>
      <c r="D210" t="s">
        <v>746</v>
      </c>
      <c r="E210" t="s">
        <v>829</v>
      </c>
      <c r="F210" t="s">
        <v>803</v>
      </c>
      <c r="G210" t="s">
        <v>830</v>
      </c>
      <c r="H210" t="s">
        <v>831</v>
      </c>
      <c r="I210" t="s">
        <v>722</v>
      </c>
      <c r="J210" t="s">
        <v>721</v>
      </c>
      <c r="K210"/>
      <c r="L210"/>
      <c r="M210" t="s">
        <v>747</v>
      </c>
      <c r="N210" t="s">
        <v>748</v>
      </c>
      <c r="O210"/>
      <c r="P210" t="e">
        <f>VLOOKUP(N210,#REF!,2,FALSE)</f>
        <v>#REF!</v>
      </c>
      <c r="Q210" t="s">
        <v>862</v>
      </c>
      <c r="R210" s="345">
        <v>-2481.71</v>
      </c>
    </row>
    <row r="211" spans="1:18" x14ac:dyDescent="0.2">
      <c r="A211" s="344" t="s">
        <v>756</v>
      </c>
      <c r="B211" t="s">
        <v>827</v>
      </c>
      <c r="C211" t="s">
        <v>823</v>
      </c>
      <c r="D211" t="s">
        <v>746</v>
      </c>
      <c r="E211" t="s">
        <v>829</v>
      </c>
      <c r="F211" t="s">
        <v>803</v>
      </c>
      <c r="G211" t="s">
        <v>830</v>
      </c>
      <c r="H211" t="s">
        <v>831</v>
      </c>
      <c r="I211" t="s">
        <v>722</v>
      </c>
      <c r="J211" t="s">
        <v>721</v>
      </c>
      <c r="K211"/>
      <c r="L211"/>
      <c r="M211" t="s">
        <v>747</v>
      </c>
      <c r="N211" t="s">
        <v>748</v>
      </c>
      <c r="O211"/>
      <c r="P211" t="e">
        <f>VLOOKUP(N211,#REF!,2,FALSE)</f>
        <v>#REF!</v>
      </c>
      <c r="Q211" t="s">
        <v>862</v>
      </c>
      <c r="R211" s="345">
        <v>-2481.71</v>
      </c>
    </row>
    <row r="212" spans="1:18" x14ac:dyDescent="0.2">
      <c r="A212" s="344" t="s">
        <v>757</v>
      </c>
      <c r="B212" t="s">
        <v>827</v>
      </c>
      <c r="C212" t="s">
        <v>823</v>
      </c>
      <c r="D212" t="s">
        <v>746</v>
      </c>
      <c r="E212" t="s">
        <v>829</v>
      </c>
      <c r="F212" t="s">
        <v>803</v>
      </c>
      <c r="G212" t="s">
        <v>830</v>
      </c>
      <c r="H212" t="s">
        <v>831</v>
      </c>
      <c r="I212" t="s">
        <v>722</v>
      </c>
      <c r="J212" t="s">
        <v>721</v>
      </c>
      <c r="K212"/>
      <c r="L212"/>
      <c r="M212" t="s">
        <v>747</v>
      </c>
      <c r="N212" t="s">
        <v>748</v>
      </c>
      <c r="O212"/>
      <c r="P212" t="e">
        <f>VLOOKUP(N212,#REF!,2,FALSE)</f>
        <v>#REF!</v>
      </c>
      <c r="Q212" t="s">
        <v>862</v>
      </c>
      <c r="R212" s="345">
        <v>-2487.06</v>
      </c>
    </row>
    <row r="213" spans="1:18" x14ac:dyDescent="0.2">
      <c r="A213" s="344" t="s">
        <v>758</v>
      </c>
      <c r="B213" t="s">
        <v>827</v>
      </c>
      <c r="C213" t="s">
        <v>823</v>
      </c>
      <c r="D213" t="s">
        <v>746</v>
      </c>
      <c r="E213" t="s">
        <v>829</v>
      </c>
      <c r="F213" t="s">
        <v>803</v>
      </c>
      <c r="G213" t="s">
        <v>830</v>
      </c>
      <c r="H213" t="s">
        <v>831</v>
      </c>
      <c r="I213" t="s">
        <v>722</v>
      </c>
      <c r="J213" t="s">
        <v>721</v>
      </c>
      <c r="K213"/>
      <c r="L213"/>
      <c r="M213" t="s">
        <v>747</v>
      </c>
      <c r="N213" t="s">
        <v>748</v>
      </c>
      <c r="O213"/>
      <c r="P213" t="e">
        <f>VLOOKUP(N213,#REF!,2,FALSE)</f>
        <v>#REF!</v>
      </c>
      <c r="Q213" t="s">
        <v>862</v>
      </c>
      <c r="R213" s="345">
        <v>-2487.06</v>
      </c>
    </row>
    <row r="214" spans="1:18" x14ac:dyDescent="0.2">
      <c r="A214" s="344" t="s">
        <v>759</v>
      </c>
      <c r="B214" t="s">
        <v>827</v>
      </c>
      <c r="C214" t="s">
        <v>823</v>
      </c>
      <c r="D214" t="s">
        <v>746</v>
      </c>
      <c r="E214" t="s">
        <v>829</v>
      </c>
      <c r="F214" t="s">
        <v>803</v>
      </c>
      <c r="G214" t="s">
        <v>830</v>
      </c>
      <c r="H214" t="s">
        <v>831</v>
      </c>
      <c r="I214" t="s">
        <v>722</v>
      </c>
      <c r="J214" t="s">
        <v>721</v>
      </c>
      <c r="K214"/>
      <c r="L214"/>
      <c r="M214" t="s">
        <v>747</v>
      </c>
      <c r="N214" t="s">
        <v>748</v>
      </c>
      <c r="O214"/>
      <c r="P214" t="e">
        <f>VLOOKUP(N214,#REF!,2,FALSE)</f>
        <v>#REF!</v>
      </c>
      <c r="Q214" t="s">
        <v>862</v>
      </c>
      <c r="R214" s="345">
        <v>-2487.06</v>
      </c>
    </row>
    <row r="215" spans="1:18" x14ac:dyDescent="0.2">
      <c r="A215" s="344" t="s">
        <v>743</v>
      </c>
      <c r="B215" t="s">
        <v>827</v>
      </c>
      <c r="C215" t="s">
        <v>823</v>
      </c>
      <c r="D215" t="s">
        <v>746</v>
      </c>
      <c r="E215" t="s">
        <v>829</v>
      </c>
      <c r="F215" t="s">
        <v>803</v>
      </c>
      <c r="G215" t="s">
        <v>830</v>
      </c>
      <c r="H215" t="s">
        <v>831</v>
      </c>
      <c r="I215" t="s">
        <v>722</v>
      </c>
      <c r="J215" t="s">
        <v>721</v>
      </c>
      <c r="K215"/>
      <c r="L215"/>
      <c r="M215" t="s">
        <v>747</v>
      </c>
      <c r="N215" t="s">
        <v>748</v>
      </c>
      <c r="O215"/>
      <c r="P215" t="e">
        <f>VLOOKUP(N215,#REF!,2,FALSE)</f>
        <v>#REF!</v>
      </c>
      <c r="Q215" t="s">
        <v>862</v>
      </c>
      <c r="R215" s="345">
        <v>-2510.2600000000002</v>
      </c>
    </row>
    <row r="216" spans="1:18" x14ac:dyDescent="0.2">
      <c r="A216" s="344" t="s">
        <v>760</v>
      </c>
      <c r="B216" t="s">
        <v>827</v>
      </c>
      <c r="C216" t="s">
        <v>823</v>
      </c>
      <c r="D216" t="s">
        <v>746</v>
      </c>
      <c r="E216" t="s">
        <v>829</v>
      </c>
      <c r="F216" t="s">
        <v>803</v>
      </c>
      <c r="G216" t="s">
        <v>830</v>
      </c>
      <c r="H216" t="s">
        <v>831</v>
      </c>
      <c r="I216" t="s">
        <v>722</v>
      </c>
      <c r="J216" t="s">
        <v>721</v>
      </c>
      <c r="K216"/>
      <c r="L216"/>
      <c r="M216" t="s">
        <v>747</v>
      </c>
      <c r="N216" t="s">
        <v>748</v>
      </c>
      <c r="O216"/>
      <c r="P216" t="e">
        <f>VLOOKUP(N216,#REF!,2,FALSE)</f>
        <v>#REF!</v>
      </c>
      <c r="Q216" t="s">
        <v>862</v>
      </c>
      <c r="R216" s="345">
        <v>-2510.2600000000002</v>
      </c>
    </row>
    <row r="217" spans="1:18" x14ac:dyDescent="0.2">
      <c r="A217" s="344" t="s">
        <v>745</v>
      </c>
      <c r="B217" t="s">
        <v>827</v>
      </c>
      <c r="C217" t="s">
        <v>823</v>
      </c>
      <c r="D217" t="s">
        <v>746</v>
      </c>
      <c r="E217" t="s">
        <v>829</v>
      </c>
      <c r="F217" t="s">
        <v>803</v>
      </c>
      <c r="G217" t="s">
        <v>830</v>
      </c>
      <c r="H217" t="s">
        <v>831</v>
      </c>
      <c r="I217" t="s">
        <v>722</v>
      </c>
      <c r="J217" t="s">
        <v>721</v>
      </c>
      <c r="K217"/>
      <c r="L217"/>
      <c r="M217" t="s">
        <v>747</v>
      </c>
      <c r="N217" t="s">
        <v>748</v>
      </c>
      <c r="O217"/>
      <c r="P217" t="e">
        <f>VLOOKUP(N217,#REF!,2,FALSE)</f>
        <v>#REF!</v>
      </c>
      <c r="Q217" t="s">
        <v>862</v>
      </c>
      <c r="R217" s="345">
        <v>-2510.2600000000002</v>
      </c>
    </row>
    <row r="218" spans="1:18" x14ac:dyDescent="0.2">
      <c r="A218" s="344" t="s">
        <v>749</v>
      </c>
      <c r="B218" t="s">
        <v>827</v>
      </c>
      <c r="C218" t="s">
        <v>823</v>
      </c>
      <c r="D218" t="s">
        <v>746</v>
      </c>
      <c r="E218" t="s">
        <v>829</v>
      </c>
      <c r="F218" t="s">
        <v>803</v>
      </c>
      <c r="G218" t="s">
        <v>830</v>
      </c>
      <c r="H218" t="s">
        <v>831</v>
      </c>
      <c r="I218" t="s">
        <v>722</v>
      </c>
      <c r="J218" t="s">
        <v>721</v>
      </c>
      <c r="K218"/>
      <c r="L218"/>
      <c r="M218" t="s">
        <v>747</v>
      </c>
      <c r="N218" t="s">
        <v>748</v>
      </c>
      <c r="O218"/>
      <c r="P218" t="e">
        <f>VLOOKUP(N218,#REF!,2,FALSE)</f>
        <v>#REF!</v>
      </c>
      <c r="Q218" t="s">
        <v>863</v>
      </c>
      <c r="R218" s="345">
        <v>-2476.36</v>
      </c>
    </row>
    <row r="219" spans="1:18" x14ac:dyDescent="0.2">
      <c r="A219" s="344" t="s">
        <v>752</v>
      </c>
      <c r="B219" t="s">
        <v>827</v>
      </c>
      <c r="C219" t="s">
        <v>823</v>
      </c>
      <c r="D219" t="s">
        <v>746</v>
      </c>
      <c r="E219" t="s">
        <v>829</v>
      </c>
      <c r="F219" t="s">
        <v>803</v>
      </c>
      <c r="G219" t="s">
        <v>830</v>
      </c>
      <c r="H219" t="s">
        <v>831</v>
      </c>
      <c r="I219" t="s">
        <v>722</v>
      </c>
      <c r="J219" t="s">
        <v>721</v>
      </c>
      <c r="K219"/>
      <c r="L219"/>
      <c r="M219" t="s">
        <v>747</v>
      </c>
      <c r="N219" t="s">
        <v>748</v>
      </c>
      <c r="O219"/>
      <c r="P219" t="e">
        <f>VLOOKUP(N219,#REF!,2,FALSE)</f>
        <v>#REF!</v>
      </c>
      <c r="Q219" t="s">
        <v>863</v>
      </c>
      <c r="R219" s="345">
        <v>-2476.36</v>
      </c>
    </row>
    <row r="220" spans="1:18" x14ac:dyDescent="0.2">
      <c r="A220" s="344" t="s">
        <v>753</v>
      </c>
      <c r="B220" t="s">
        <v>827</v>
      </c>
      <c r="C220" t="s">
        <v>823</v>
      </c>
      <c r="D220" t="s">
        <v>746</v>
      </c>
      <c r="E220" t="s">
        <v>829</v>
      </c>
      <c r="F220" t="s">
        <v>803</v>
      </c>
      <c r="G220" t="s">
        <v>830</v>
      </c>
      <c r="H220" t="s">
        <v>831</v>
      </c>
      <c r="I220" t="s">
        <v>722</v>
      </c>
      <c r="J220" t="s">
        <v>721</v>
      </c>
      <c r="K220"/>
      <c r="L220"/>
      <c r="M220" t="s">
        <v>747</v>
      </c>
      <c r="N220" t="s">
        <v>748</v>
      </c>
      <c r="O220"/>
      <c r="P220" t="e">
        <f>VLOOKUP(N220,#REF!,2,FALSE)</f>
        <v>#REF!</v>
      </c>
      <c r="Q220" t="s">
        <v>863</v>
      </c>
      <c r="R220" s="345">
        <v>-2476.36</v>
      </c>
    </row>
    <row r="221" spans="1:18" x14ac:dyDescent="0.2">
      <c r="A221" s="344" t="s">
        <v>754</v>
      </c>
      <c r="B221" t="s">
        <v>827</v>
      </c>
      <c r="C221" t="s">
        <v>823</v>
      </c>
      <c r="D221" t="s">
        <v>746</v>
      </c>
      <c r="E221" t="s">
        <v>829</v>
      </c>
      <c r="F221" t="s">
        <v>803</v>
      </c>
      <c r="G221" t="s">
        <v>830</v>
      </c>
      <c r="H221" t="s">
        <v>831</v>
      </c>
      <c r="I221" t="s">
        <v>722</v>
      </c>
      <c r="J221" t="s">
        <v>721</v>
      </c>
      <c r="K221"/>
      <c r="L221"/>
      <c r="M221" t="s">
        <v>747</v>
      </c>
      <c r="N221" t="s">
        <v>748</v>
      </c>
      <c r="O221"/>
      <c r="P221" t="e">
        <f>VLOOKUP(N221,#REF!,2,FALSE)</f>
        <v>#REF!</v>
      </c>
      <c r="Q221" t="s">
        <v>863</v>
      </c>
      <c r="R221" s="345">
        <v>-2481.71</v>
      </c>
    </row>
    <row r="222" spans="1:18" x14ac:dyDescent="0.2">
      <c r="A222" s="344" t="s">
        <v>755</v>
      </c>
      <c r="B222" t="s">
        <v>827</v>
      </c>
      <c r="C222" t="s">
        <v>823</v>
      </c>
      <c r="D222" t="s">
        <v>746</v>
      </c>
      <c r="E222" t="s">
        <v>829</v>
      </c>
      <c r="F222" t="s">
        <v>803</v>
      </c>
      <c r="G222" t="s">
        <v>830</v>
      </c>
      <c r="H222" t="s">
        <v>831</v>
      </c>
      <c r="I222" t="s">
        <v>722</v>
      </c>
      <c r="J222" t="s">
        <v>721</v>
      </c>
      <c r="K222"/>
      <c r="L222"/>
      <c r="M222" t="s">
        <v>747</v>
      </c>
      <c r="N222" t="s">
        <v>748</v>
      </c>
      <c r="O222"/>
      <c r="P222" t="e">
        <f>VLOOKUP(N222,#REF!,2,FALSE)</f>
        <v>#REF!</v>
      </c>
      <c r="Q222" t="s">
        <v>863</v>
      </c>
      <c r="R222" s="345">
        <v>-2481.71</v>
      </c>
    </row>
    <row r="223" spans="1:18" x14ac:dyDescent="0.2">
      <c r="A223" s="344" t="s">
        <v>756</v>
      </c>
      <c r="B223" t="s">
        <v>827</v>
      </c>
      <c r="C223" t="s">
        <v>823</v>
      </c>
      <c r="D223" t="s">
        <v>746</v>
      </c>
      <c r="E223" t="s">
        <v>829</v>
      </c>
      <c r="F223" t="s">
        <v>803</v>
      </c>
      <c r="G223" t="s">
        <v>830</v>
      </c>
      <c r="H223" t="s">
        <v>831</v>
      </c>
      <c r="I223" t="s">
        <v>722</v>
      </c>
      <c r="J223" t="s">
        <v>721</v>
      </c>
      <c r="K223"/>
      <c r="L223"/>
      <c r="M223" t="s">
        <v>747</v>
      </c>
      <c r="N223" t="s">
        <v>748</v>
      </c>
      <c r="O223"/>
      <c r="P223" t="e">
        <f>VLOOKUP(N223,#REF!,2,FALSE)</f>
        <v>#REF!</v>
      </c>
      <c r="Q223" t="s">
        <v>863</v>
      </c>
      <c r="R223" s="345">
        <v>-2481.71</v>
      </c>
    </row>
    <row r="224" spans="1:18" x14ac:dyDescent="0.2">
      <c r="A224" s="344" t="s">
        <v>757</v>
      </c>
      <c r="B224" t="s">
        <v>827</v>
      </c>
      <c r="C224" t="s">
        <v>823</v>
      </c>
      <c r="D224" t="s">
        <v>746</v>
      </c>
      <c r="E224" t="s">
        <v>829</v>
      </c>
      <c r="F224" t="s">
        <v>803</v>
      </c>
      <c r="G224" t="s">
        <v>830</v>
      </c>
      <c r="H224" t="s">
        <v>831</v>
      </c>
      <c r="I224" t="s">
        <v>722</v>
      </c>
      <c r="J224" t="s">
        <v>721</v>
      </c>
      <c r="K224"/>
      <c r="L224"/>
      <c r="M224" t="s">
        <v>747</v>
      </c>
      <c r="N224" t="s">
        <v>748</v>
      </c>
      <c r="O224"/>
      <c r="P224" t="e">
        <f>VLOOKUP(N224,#REF!,2,FALSE)</f>
        <v>#REF!</v>
      </c>
      <c r="Q224" t="s">
        <v>863</v>
      </c>
      <c r="R224" s="345">
        <v>0</v>
      </c>
    </row>
    <row r="225" spans="1:18" x14ac:dyDescent="0.2">
      <c r="A225" s="344" t="s">
        <v>749</v>
      </c>
      <c r="B225" t="s">
        <v>827</v>
      </c>
      <c r="C225" t="s">
        <v>823</v>
      </c>
      <c r="D225" t="s">
        <v>746</v>
      </c>
      <c r="E225" t="s">
        <v>829</v>
      </c>
      <c r="F225" t="s">
        <v>803</v>
      </c>
      <c r="G225" t="s">
        <v>830</v>
      </c>
      <c r="H225" t="s">
        <v>831</v>
      </c>
      <c r="I225" t="s">
        <v>722</v>
      </c>
      <c r="J225" t="s">
        <v>721</v>
      </c>
      <c r="K225"/>
      <c r="L225"/>
      <c r="M225" t="s">
        <v>747</v>
      </c>
      <c r="N225" t="s">
        <v>748</v>
      </c>
      <c r="O225"/>
      <c r="P225" t="e">
        <f>VLOOKUP(N225,#REF!,2,FALSE)</f>
        <v>#REF!</v>
      </c>
      <c r="Q225" t="s">
        <v>864</v>
      </c>
      <c r="R225" s="345">
        <v>-2476.36</v>
      </c>
    </row>
    <row r="226" spans="1:18" x14ac:dyDescent="0.2">
      <c r="A226" s="344" t="s">
        <v>752</v>
      </c>
      <c r="B226" t="s">
        <v>827</v>
      </c>
      <c r="C226" t="s">
        <v>823</v>
      </c>
      <c r="D226" t="s">
        <v>746</v>
      </c>
      <c r="E226" t="s">
        <v>829</v>
      </c>
      <c r="F226" t="s">
        <v>803</v>
      </c>
      <c r="G226" t="s">
        <v>830</v>
      </c>
      <c r="H226" t="s">
        <v>831</v>
      </c>
      <c r="I226" t="s">
        <v>722</v>
      </c>
      <c r="J226" t="s">
        <v>721</v>
      </c>
      <c r="K226"/>
      <c r="L226"/>
      <c r="M226" t="s">
        <v>747</v>
      </c>
      <c r="N226" t="s">
        <v>748</v>
      </c>
      <c r="O226"/>
      <c r="P226" t="e">
        <f>VLOOKUP(N226,#REF!,2,FALSE)</f>
        <v>#REF!</v>
      </c>
      <c r="Q226" t="s">
        <v>864</v>
      </c>
      <c r="R226" s="345">
        <v>-2476.36</v>
      </c>
    </row>
    <row r="227" spans="1:18" x14ac:dyDescent="0.2">
      <c r="A227" s="344" t="s">
        <v>753</v>
      </c>
      <c r="B227" t="s">
        <v>827</v>
      </c>
      <c r="C227" t="s">
        <v>823</v>
      </c>
      <c r="D227" t="s">
        <v>746</v>
      </c>
      <c r="E227" t="s">
        <v>829</v>
      </c>
      <c r="F227" t="s">
        <v>803</v>
      </c>
      <c r="G227" t="s">
        <v>830</v>
      </c>
      <c r="H227" t="s">
        <v>831</v>
      </c>
      <c r="I227" t="s">
        <v>722</v>
      </c>
      <c r="J227" t="s">
        <v>721</v>
      </c>
      <c r="K227"/>
      <c r="L227"/>
      <c r="M227" t="s">
        <v>747</v>
      </c>
      <c r="N227" t="s">
        <v>748</v>
      </c>
      <c r="O227"/>
      <c r="P227" t="e">
        <f>VLOOKUP(N227,#REF!,2,FALSE)</f>
        <v>#REF!</v>
      </c>
      <c r="Q227" t="s">
        <v>864</v>
      </c>
      <c r="R227" s="345">
        <v>-2476.36</v>
      </c>
    </row>
    <row r="228" spans="1:18" x14ac:dyDescent="0.2">
      <c r="A228" s="344" t="s">
        <v>754</v>
      </c>
      <c r="B228" t="s">
        <v>827</v>
      </c>
      <c r="C228" t="s">
        <v>823</v>
      </c>
      <c r="D228" t="s">
        <v>746</v>
      </c>
      <c r="E228" t="s">
        <v>829</v>
      </c>
      <c r="F228" t="s">
        <v>803</v>
      </c>
      <c r="G228" t="s">
        <v>830</v>
      </c>
      <c r="H228" t="s">
        <v>831</v>
      </c>
      <c r="I228" t="s">
        <v>722</v>
      </c>
      <c r="J228" t="s">
        <v>721</v>
      </c>
      <c r="K228"/>
      <c r="L228"/>
      <c r="M228" t="s">
        <v>747</v>
      </c>
      <c r="N228" t="s">
        <v>748</v>
      </c>
      <c r="O228"/>
      <c r="P228" t="e">
        <f>VLOOKUP(N228,#REF!,2,FALSE)</f>
        <v>#REF!</v>
      </c>
      <c r="Q228" t="s">
        <v>864</v>
      </c>
      <c r="R228" s="345">
        <v>-2481.71</v>
      </c>
    </row>
    <row r="229" spans="1:18" x14ac:dyDescent="0.2">
      <c r="A229" s="344" t="s">
        <v>755</v>
      </c>
      <c r="B229" t="s">
        <v>827</v>
      </c>
      <c r="C229" t="s">
        <v>823</v>
      </c>
      <c r="D229" t="s">
        <v>746</v>
      </c>
      <c r="E229" t="s">
        <v>829</v>
      </c>
      <c r="F229" t="s">
        <v>803</v>
      </c>
      <c r="G229" t="s">
        <v>830</v>
      </c>
      <c r="H229" t="s">
        <v>831</v>
      </c>
      <c r="I229" t="s">
        <v>722</v>
      </c>
      <c r="J229" t="s">
        <v>721</v>
      </c>
      <c r="K229"/>
      <c r="L229"/>
      <c r="M229" t="s">
        <v>747</v>
      </c>
      <c r="N229" t="s">
        <v>748</v>
      </c>
      <c r="O229"/>
      <c r="P229" t="e">
        <f>VLOOKUP(N229,#REF!,2,FALSE)</f>
        <v>#REF!</v>
      </c>
      <c r="Q229" t="s">
        <v>864</v>
      </c>
      <c r="R229" s="345">
        <v>-2481.71</v>
      </c>
    </row>
    <row r="230" spans="1:18" x14ac:dyDescent="0.2">
      <c r="A230" s="344" t="s">
        <v>756</v>
      </c>
      <c r="B230" t="s">
        <v>827</v>
      </c>
      <c r="C230" t="s">
        <v>823</v>
      </c>
      <c r="D230" t="s">
        <v>746</v>
      </c>
      <c r="E230" t="s">
        <v>829</v>
      </c>
      <c r="F230" t="s">
        <v>803</v>
      </c>
      <c r="G230" t="s">
        <v>830</v>
      </c>
      <c r="H230" t="s">
        <v>831</v>
      </c>
      <c r="I230" t="s">
        <v>722</v>
      </c>
      <c r="J230" t="s">
        <v>721</v>
      </c>
      <c r="K230"/>
      <c r="L230"/>
      <c r="M230" t="s">
        <v>747</v>
      </c>
      <c r="N230" t="s">
        <v>748</v>
      </c>
      <c r="O230"/>
      <c r="P230" t="e">
        <f>VLOOKUP(N230,#REF!,2,FALSE)</f>
        <v>#REF!</v>
      </c>
      <c r="Q230" t="s">
        <v>864</v>
      </c>
      <c r="R230" s="345">
        <v>-2481.71</v>
      </c>
    </row>
    <row r="231" spans="1:18" x14ac:dyDescent="0.2">
      <c r="A231" s="344" t="s">
        <v>757</v>
      </c>
      <c r="B231" t="s">
        <v>827</v>
      </c>
      <c r="C231" t="s">
        <v>823</v>
      </c>
      <c r="D231" t="s">
        <v>746</v>
      </c>
      <c r="E231" t="s">
        <v>829</v>
      </c>
      <c r="F231" t="s">
        <v>803</v>
      </c>
      <c r="G231" t="s">
        <v>830</v>
      </c>
      <c r="H231" t="s">
        <v>831</v>
      </c>
      <c r="I231" t="s">
        <v>722</v>
      </c>
      <c r="J231" t="s">
        <v>721</v>
      </c>
      <c r="K231"/>
      <c r="L231"/>
      <c r="M231" t="s">
        <v>747</v>
      </c>
      <c r="N231" t="s">
        <v>748</v>
      </c>
      <c r="O231"/>
      <c r="P231" t="e">
        <f>VLOOKUP(N231,#REF!,2,FALSE)</f>
        <v>#REF!</v>
      </c>
      <c r="Q231" t="s">
        <v>864</v>
      </c>
      <c r="R231" s="345">
        <v>-2487.06</v>
      </c>
    </row>
    <row r="232" spans="1:18" x14ac:dyDescent="0.2">
      <c r="A232" s="344" t="s">
        <v>758</v>
      </c>
      <c r="B232" t="s">
        <v>827</v>
      </c>
      <c r="C232" t="s">
        <v>823</v>
      </c>
      <c r="D232" t="s">
        <v>746</v>
      </c>
      <c r="E232" t="s">
        <v>829</v>
      </c>
      <c r="F232" t="s">
        <v>803</v>
      </c>
      <c r="G232" t="s">
        <v>830</v>
      </c>
      <c r="H232" t="s">
        <v>831</v>
      </c>
      <c r="I232" t="s">
        <v>722</v>
      </c>
      <c r="J232" t="s">
        <v>721</v>
      </c>
      <c r="K232"/>
      <c r="L232"/>
      <c r="M232" t="s">
        <v>747</v>
      </c>
      <c r="N232" t="s">
        <v>748</v>
      </c>
      <c r="O232"/>
      <c r="P232" t="e">
        <f>VLOOKUP(N232,#REF!,2,FALSE)</f>
        <v>#REF!</v>
      </c>
      <c r="Q232" t="s">
        <v>864</v>
      </c>
      <c r="R232" s="345">
        <v>-2487.06</v>
      </c>
    </row>
    <row r="233" spans="1:18" x14ac:dyDescent="0.2">
      <c r="A233" s="344" t="s">
        <v>759</v>
      </c>
      <c r="B233" t="s">
        <v>827</v>
      </c>
      <c r="C233" t="s">
        <v>823</v>
      </c>
      <c r="D233" t="s">
        <v>746</v>
      </c>
      <c r="E233" t="s">
        <v>829</v>
      </c>
      <c r="F233" t="s">
        <v>803</v>
      </c>
      <c r="G233" t="s">
        <v>830</v>
      </c>
      <c r="H233" t="s">
        <v>831</v>
      </c>
      <c r="I233" t="s">
        <v>722</v>
      </c>
      <c r="J233" t="s">
        <v>721</v>
      </c>
      <c r="K233"/>
      <c r="L233"/>
      <c r="M233" t="s">
        <v>747</v>
      </c>
      <c r="N233" t="s">
        <v>748</v>
      </c>
      <c r="O233"/>
      <c r="P233" t="e">
        <f>VLOOKUP(N233,#REF!,2,FALSE)</f>
        <v>#REF!</v>
      </c>
      <c r="Q233" t="s">
        <v>864</v>
      </c>
      <c r="R233" s="345">
        <v>-2487.06</v>
      </c>
    </row>
    <row r="234" spans="1:18" x14ac:dyDescent="0.2">
      <c r="A234" s="344" t="s">
        <v>743</v>
      </c>
      <c r="B234" t="s">
        <v>827</v>
      </c>
      <c r="C234" t="s">
        <v>823</v>
      </c>
      <c r="D234" t="s">
        <v>746</v>
      </c>
      <c r="E234" t="s">
        <v>829</v>
      </c>
      <c r="F234" t="s">
        <v>803</v>
      </c>
      <c r="G234" t="s">
        <v>830</v>
      </c>
      <c r="H234" t="s">
        <v>831</v>
      </c>
      <c r="I234" t="s">
        <v>722</v>
      </c>
      <c r="J234" t="s">
        <v>721</v>
      </c>
      <c r="K234"/>
      <c r="L234"/>
      <c r="M234" t="s">
        <v>747</v>
      </c>
      <c r="N234" t="s">
        <v>748</v>
      </c>
      <c r="O234"/>
      <c r="P234" t="e">
        <f>VLOOKUP(N234,#REF!,2,FALSE)</f>
        <v>#REF!</v>
      </c>
      <c r="Q234" t="s">
        <v>864</v>
      </c>
      <c r="R234" s="345">
        <v>-2510.2600000000002</v>
      </c>
    </row>
    <row r="235" spans="1:18" x14ac:dyDescent="0.2">
      <c r="A235" s="344" t="s">
        <v>760</v>
      </c>
      <c r="B235" t="s">
        <v>827</v>
      </c>
      <c r="C235" t="s">
        <v>823</v>
      </c>
      <c r="D235" t="s">
        <v>746</v>
      </c>
      <c r="E235" t="s">
        <v>829</v>
      </c>
      <c r="F235" t="s">
        <v>803</v>
      </c>
      <c r="G235" t="s">
        <v>830</v>
      </c>
      <c r="H235" t="s">
        <v>831</v>
      </c>
      <c r="I235" t="s">
        <v>722</v>
      </c>
      <c r="J235" t="s">
        <v>721</v>
      </c>
      <c r="K235"/>
      <c r="L235"/>
      <c r="M235" t="s">
        <v>747</v>
      </c>
      <c r="N235" t="s">
        <v>748</v>
      </c>
      <c r="O235"/>
      <c r="P235" t="e">
        <f>VLOOKUP(N235,#REF!,2,FALSE)</f>
        <v>#REF!</v>
      </c>
      <c r="Q235" t="s">
        <v>864</v>
      </c>
      <c r="R235" s="345">
        <v>-2510.2600000000002</v>
      </c>
    </row>
    <row r="236" spans="1:18" x14ac:dyDescent="0.2">
      <c r="A236" s="344" t="s">
        <v>745</v>
      </c>
      <c r="B236" t="s">
        <v>827</v>
      </c>
      <c r="C236" t="s">
        <v>823</v>
      </c>
      <c r="D236" t="s">
        <v>746</v>
      </c>
      <c r="E236" t="s">
        <v>829</v>
      </c>
      <c r="F236" t="s">
        <v>803</v>
      </c>
      <c r="G236" t="s">
        <v>830</v>
      </c>
      <c r="H236" t="s">
        <v>831</v>
      </c>
      <c r="I236" t="s">
        <v>722</v>
      </c>
      <c r="J236" t="s">
        <v>721</v>
      </c>
      <c r="K236"/>
      <c r="L236"/>
      <c r="M236" t="s">
        <v>747</v>
      </c>
      <c r="N236" t="s">
        <v>748</v>
      </c>
      <c r="O236"/>
      <c r="P236" t="e">
        <f>VLOOKUP(N236,#REF!,2,FALSE)</f>
        <v>#REF!</v>
      </c>
      <c r="Q236" t="s">
        <v>864</v>
      </c>
      <c r="R236" s="345">
        <v>-2510.2600000000002</v>
      </c>
    </row>
    <row r="237" spans="1:18" x14ac:dyDescent="0.2">
      <c r="A237" s="344" t="s">
        <v>749</v>
      </c>
      <c r="B237" t="s">
        <v>827</v>
      </c>
      <c r="C237" t="s">
        <v>823</v>
      </c>
      <c r="D237" t="s">
        <v>746</v>
      </c>
      <c r="E237" t="s">
        <v>829</v>
      </c>
      <c r="F237" t="s">
        <v>803</v>
      </c>
      <c r="G237" t="s">
        <v>830</v>
      </c>
      <c r="H237" t="s">
        <v>831</v>
      </c>
      <c r="I237" t="s">
        <v>722</v>
      </c>
      <c r="J237" t="s">
        <v>721</v>
      </c>
      <c r="K237"/>
      <c r="L237"/>
      <c r="M237" t="s">
        <v>747</v>
      </c>
      <c r="N237" t="s">
        <v>748</v>
      </c>
      <c r="O237"/>
      <c r="P237" t="e">
        <f>VLOOKUP(N237,#REF!,2,FALSE)</f>
        <v>#REF!</v>
      </c>
      <c r="Q237" t="s">
        <v>865</v>
      </c>
      <c r="R237" s="345">
        <v>-2320.52</v>
      </c>
    </row>
    <row r="238" spans="1:18" x14ac:dyDescent="0.2">
      <c r="A238" s="344" t="s">
        <v>752</v>
      </c>
      <c r="B238" t="s">
        <v>827</v>
      </c>
      <c r="C238" t="s">
        <v>823</v>
      </c>
      <c r="D238" t="s">
        <v>746</v>
      </c>
      <c r="E238" t="s">
        <v>829</v>
      </c>
      <c r="F238" t="s">
        <v>803</v>
      </c>
      <c r="G238" t="s">
        <v>830</v>
      </c>
      <c r="H238" t="s">
        <v>831</v>
      </c>
      <c r="I238" t="s">
        <v>722</v>
      </c>
      <c r="J238" t="s">
        <v>721</v>
      </c>
      <c r="K238"/>
      <c r="L238"/>
      <c r="M238" t="s">
        <v>747</v>
      </c>
      <c r="N238" t="s">
        <v>748</v>
      </c>
      <c r="O238"/>
      <c r="P238" t="e">
        <f>VLOOKUP(N238,#REF!,2,FALSE)</f>
        <v>#REF!</v>
      </c>
      <c r="Q238" t="s">
        <v>865</v>
      </c>
      <c r="R238" s="345">
        <v>-2476.36</v>
      </c>
    </row>
    <row r="239" spans="1:18" x14ac:dyDescent="0.2">
      <c r="A239" s="344" t="s">
        <v>753</v>
      </c>
      <c r="B239" t="s">
        <v>827</v>
      </c>
      <c r="C239" t="s">
        <v>823</v>
      </c>
      <c r="D239" t="s">
        <v>746</v>
      </c>
      <c r="E239" t="s">
        <v>829</v>
      </c>
      <c r="F239" t="s">
        <v>803</v>
      </c>
      <c r="G239" t="s">
        <v>830</v>
      </c>
      <c r="H239" t="s">
        <v>831</v>
      </c>
      <c r="I239" t="s">
        <v>722</v>
      </c>
      <c r="J239" t="s">
        <v>721</v>
      </c>
      <c r="K239"/>
      <c r="L239"/>
      <c r="M239" t="s">
        <v>747</v>
      </c>
      <c r="N239" t="s">
        <v>748</v>
      </c>
      <c r="O239"/>
      <c r="P239" t="e">
        <f>VLOOKUP(N239,#REF!,2,FALSE)</f>
        <v>#REF!</v>
      </c>
      <c r="Q239" t="s">
        <v>865</v>
      </c>
      <c r="R239" s="345">
        <v>-2476.36</v>
      </c>
    </row>
    <row r="240" spans="1:18" x14ac:dyDescent="0.2">
      <c r="A240" s="344" t="s">
        <v>754</v>
      </c>
      <c r="B240" t="s">
        <v>827</v>
      </c>
      <c r="C240" t="s">
        <v>823</v>
      </c>
      <c r="D240" t="s">
        <v>746</v>
      </c>
      <c r="E240" t="s">
        <v>829</v>
      </c>
      <c r="F240" t="s">
        <v>803</v>
      </c>
      <c r="G240" t="s">
        <v>830</v>
      </c>
      <c r="H240" t="s">
        <v>831</v>
      </c>
      <c r="I240" t="s">
        <v>722</v>
      </c>
      <c r="J240" t="s">
        <v>721</v>
      </c>
      <c r="K240"/>
      <c r="L240"/>
      <c r="M240" t="s">
        <v>747</v>
      </c>
      <c r="N240" t="s">
        <v>748</v>
      </c>
      <c r="O240"/>
      <c r="P240" t="e">
        <f>VLOOKUP(N240,#REF!,2,FALSE)</f>
        <v>#REF!</v>
      </c>
      <c r="Q240" t="s">
        <v>865</v>
      </c>
      <c r="R240" s="345">
        <v>-2481.71</v>
      </c>
    </row>
    <row r="241" spans="1:18" x14ac:dyDescent="0.2">
      <c r="A241" s="344" t="s">
        <v>755</v>
      </c>
      <c r="B241" t="s">
        <v>827</v>
      </c>
      <c r="C241" t="s">
        <v>823</v>
      </c>
      <c r="D241" t="s">
        <v>746</v>
      </c>
      <c r="E241" t="s">
        <v>829</v>
      </c>
      <c r="F241" t="s">
        <v>803</v>
      </c>
      <c r="G241" t="s">
        <v>830</v>
      </c>
      <c r="H241" t="s">
        <v>831</v>
      </c>
      <c r="I241" t="s">
        <v>722</v>
      </c>
      <c r="J241" t="s">
        <v>721</v>
      </c>
      <c r="K241"/>
      <c r="L241"/>
      <c r="M241" t="s">
        <v>747</v>
      </c>
      <c r="N241" t="s">
        <v>748</v>
      </c>
      <c r="O241"/>
      <c r="P241" t="e">
        <f>VLOOKUP(N241,#REF!,2,FALSE)</f>
        <v>#REF!</v>
      </c>
      <c r="Q241" t="s">
        <v>865</v>
      </c>
      <c r="R241" s="345">
        <v>-2481.71</v>
      </c>
    </row>
    <row r="242" spans="1:18" x14ac:dyDescent="0.2">
      <c r="A242" s="344" t="s">
        <v>756</v>
      </c>
      <c r="B242" t="s">
        <v>827</v>
      </c>
      <c r="C242" t="s">
        <v>823</v>
      </c>
      <c r="D242" t="s">
        <v>746</v>
      </c>
      <c r="E242" t="s">
        <v>829</v>
      </c>
      <c r="F242" t="s">
        <v>803</v>
      </c>
      <c r="G242" t="s">
        <v>830</v>
      </c>
      <c r="H242" t="s">
        <v>831</v>
      </c>
      <c r="I242" t="s">
        <v>722</v>
      </c>
      <c r="J242" t="s">
        <v>721</v>
      </c>
      <c r="K242"/>
      <c r="L242"/>
      <c r="M242" t="s">
        <v>747</v>
      </c>
      <c r="N242" t="s">
        <v>748</v>
      </c>
      <c r="O242"/>
      <c r="P242" t="e">
        <f>VLOOKUP(N242,#REF!,2,FALSE)</f>
        <v>#REF!</v>
      </c>
      <c r="Q242" t="s">
        <v>865</v>
      </c>
      <c r="R242" s="345">
        <v>-2481.71</v>
      </c>
    </row>
    <row r="243" spans="1:18" x14ac:dyDescent="0.2">
      <c r="A243" s="344" t="s">
        <v>757</v>
      </c>
      <c r="B243" t="s">
        <v>827</v>
      </c>
      <c r="C243" t="s">
        <v>823</v>
      </c>
      <c r="D243" t="s">
        <v>746</v>
      </c>
      <c r="E243" t="s">
        <v>829</v>
      </c>
      <c r="F243" t="s">
        <v>803</v>
      </c>
      <c r="G243" t="s">
        <v>830</v>
      </c>
      <c r="H243" t="s">
        <v>831</v>
      </c>
      <c r="I243" t="s">
        <v>722</v>
      </c>
      <c r="J243" t="s">
        <v>721</v>
      </c>
      <c r="K243"/>
      <c r="L243"/>
      <c r="M243" t="s">
        <v>747</v>
      </c>
      <c r="N243" t="s">
        <v>748</v>
      </c>
      <c r="O243"/>
      <c r="P243" t="e">
        <f>VLOOKUP(N243,#REF!,2,FALSE)</f>
        <v>#REF!</v>
      </c>
      <c r="Q243" t="s">
        <v>865</v>
      </c>
      <c r="R243" s="345">
        <v>-7461.22</v>
      </c>
    </row>
    <row r="244" spans="1:18" x14ac:dyDescent="0.2">
      <c r="A244" s="344" t="s">
        <v>758</v>
      </c>
      <c r="B244" t="s">
        <v>827</v>
      </c>
      <c r="C244" t="s">
        <v>823</v>
      </c>
      <c r="D244" t="s">
        <v>746</v>
      </c>
      <c r="E244" t="s">
        <v>829</v>
      </c>
      <c r="F244" t="s">
        <v>803</v>
      </c>
      <c r="G244" t="s">
        <v>830</v>
      </c>
      <c r="H244" t="s">
        <v>831</v>
      </c>
      <c r="I244" t="s">
        <v>722</v>
      </c>
      <c r="J244" t="s">
        <v>721</v>
      </c>
      <c r="K244"/>
      <c r="L244"/>
      <c r="M244" t="s">
        <v>747</v>
      </c>
      <c r="N244" t="s">
        <v>748</v>
      </c>
      <c r="O244"/>
      <c r="P244" t="e">
        <f>VLOOKUP(N244,#REF!,2,FALSE)</f>
        <v>#REF!</v>
      </c>
      <c r="Q244" t="s">
        <v>865</v>
      </c>
      <c r="R244" s="345">
        <v>7461.22</v>
      </c>
    </row>
    <row r="245" spans="1:18" x14ac:dyDescent="0.2">
      <c r="A245" s="344" t="s">
        <v>759</v>
      </c>
      <c r="B245" t="s">
        <v>827</v>
      </c>
      <c r="C245" t="s">
        <v>823</v>
      </c>
      <c r="D245" t="s">
        <v>746</v>
      </c>
      <c r="E245" t="s">
        <v>829</v>
      </c>
      <c r="F245" t="s">
        <v>803</v>
      </c>
      <c r="G245" t="s">
        <v>830</v>
      </c>
      <c r="H245" t="s">
        <v>831</v>
      </c>
      <c r="I245" t="s">
        <v>722</v>
      </c>
      <c r="J245" t="s">
        <v>721</v>
      </c>
      <c r="K245"/>
      <c r="L245"/>
      <c r="M245" t="s">
        <v>747</v>
      </c>
      <c r="N245" t="s">
        <v>748</v>
      </c>
      <c r="O245"/>
      <c r="P245" t="e">
        <f>VLOOKUP(N245,#REF!,2,FALSE)</f>
        <v>#REF!</v>
      </c>
      <c r="Q245" t="s">
        <v>865</v>
      </c>
      <c r="R245" s="345">
        <v>-7461.22</v>
      </c>
    </row>
    <row r="246" spans="1:18" x14ac:dyDescent="0.2">
      <c r="A246" s="344" t="s">
        <v>743</v>
      </c>
      <c r="B246" t="s">
        <v>827</v>
      </c>
      <c r="C246" t="s">
        <v>823</v>
      </c>
      <c r="D246" t="s">
        <v>746</v>
      </c>
      <c r="E246" t="s">
        <v>829</v>
      </c>
      <c r="F246" t="s">
        <v>803</v>
      </c>
      <c r="G246" t="s">
        <v>830</v>
      </c>
      <c r="H246" t="s">
        <v>831</v>
      </c>
      <c r="I246" t="s">
        <v>722</v>
      </c>
      <c r="J246" t="s">
        <v>721</v>
      </c>
      <c r="K246"/>
      <c r="L246"/>
      <c r="M246" t="s">
        <v>747</v>
      </c>
      <c r="N246" t="s">
        <v>748</v>
      </c>
      <c r="O246"/>
      <c r="P246" t="e">
        <f>VLOOKUP(N246,#REF!,2,FALSE)</f>
        <v>#REF!</v>
      </c>
      <c r="Q246" t="s">
        <v>865</v>
      </c>
      <c r="R246" s="345">
        <v>7461.22</v>
      </c>
    </row>
    <row r="247" spans="1:18" x14ac:dyDescent="0.2">
      <c r="A247" s="344" t="s">
        <v>749</v>
      </c>
      <c r="B247" t="s">
        <v>827</v>
      </c>
      <c r="C247" t="s">
        <v>823</v>
      </c>
      <c r="D247" t="s">
        <v>746</v>
      </c>
      <c r="E247" t="s">
        <v>829</v>
      </c>
      <c r="F247" t="s">
        <v>803</v>
      </c>
      <c r="G247" t="s">
        <v>830</v>
      </c>
      <c r="H247" t="s">
        <v>831</v>
      </c>
      <c r="I247" t="s">
        <v>722</v>
      </c>
      <c r="J247" t="s">
        <v>721</v>
      </c>
      <c r="K247"/>
      <c r="L247"/>
      <c r="M247" t="s">
        <v>747</v>
      </c>
      <c r="N247" t="s">
        <v>748</v>
      </c>
      <c r="O247"/>
      <c r="P247" t="e">
        <f>VLOOKUP(N247,#REF!,2,FALSE)</f>
        <v>#REF!</v>
      </c>
      <c r="Q247" t="s">
        <v>866</v>
      </c>
      <c r="R247" s="345">
        <v>-2476.36</v>
      </c>
    </row>
    <row r="248" spans="1:18" x14ac:dyDescent="0.2">
      <c r="A248" s="344" t="s">
        <v>752</v>
      </c>
      <c r="B248" t="s">
        <v>827</v>
      </c>
      <c r="C248" t="s">
        <v>823</v>
      </c>
      <c r="D248" t="s">
        <v>746</v>
      </c>
      <c r="E248" t="s">
        <v>829</v>
      </c>
      <c r="F248" t="s">
        <v>803</v>
      </c>
      <c r="G248" t="s">
        <v>830</v>
      </c>
      <c r="H248" t="s">
        <v>831</v>
      </c>
      <c r="I248" t="s">
        <v>722</v>
      </c>
      <c r="J248" t="s">
        <v>721</v>
      </c>
      <c r="K248"/>
      <c r="L248"/>
      <c r="M248" t="s">
        <v>747</v>
      </c>
      <c r="N248" t="s">
        <v>748</v>
      </c>
      <c r="O248"/>
      <c r="P248" t="e">
        <f>VLOOKUP(N248,#REF!,2,FALSE)</f>
        <v>#REF!</v>
      </c>
      <c r="Q248" t="s">
        <v>866</v>
      </c>
      <c r="R248" s="345">
        <v>-2476.36</v>
      </c>
    </row>
    <row r="249" spans="1:18" x14ac:dyDescent="0.2">
      <c r="A249" s="344" t="s">
        <v>753</v>
      </c>
      <c r="B249" t="s">
        <v>827</v>
      </c>
      <c r="C249" t="s">
        <v>823</v>
      </c>
      <c r="D249" t="s">
        <v>746</v>
      </c>
      <c r="E249" t="s">
        <v>829</v>
      </c>
      <c r="F249" t="s">
        <v>803</v>
      </c>
      <c r="G249" t="s">
        <v>830</v>
      </c>
      <c r="H249" t="s">
        <v>831</v>
      </c>
      <c r="I249" t="s">
        <v>722</v>
      </c>
      <c r="J249" t="s">
        <v>721</v>
      </c>
      <c r="K249"/>
      <c r="L249"/>
      <c r="M249" t="s">
        <v>747</v>
      </c>
      <c r="N249" t="s">
        <v>748</v>
      </c>
      <c r="O249"/>
      <c r="P249" t="e">
        <f>VLOOKUP(N249,#REF!,2,FALSE)</f>
        <v>#REF!</v>
      </c>
      <c r="Q249" t="s">
        <v>866</v>
      </c>
      <c r="R249" s="345">
        <v>-2476.36</v>
      </c>
    </row>
    <row r="250" spans="1:18" x14ac:dyDescent="0.2">
      <c r="A250" s="344" t="s">
        <v>754</v>
      </c>
      <c r="B250" t="s">
        <v>827</v>
      </c>
      <c r="C250" t="s">
        <v>823</v>
      </c>
      <c r="D250" t="s">
        <v>746</v>
      </c>
      <c r="E250" t="s">
        <v>829</v>
      </c>
      <c r="F250" t="s">
        <v>803</v>
      </c>
      <c r="G250" t="s">
        <v>830</v>
      </c>
      <c r="H250" t="s">
        <v>831</v>
      </c>
      <c r="I250" t="s">
        <v>722</v>
      </c>
      <c r="J250" t="s">
        <v>721</v>
      </c>
      <c r="K250"/>
      <c r="L250"/>
      <c r="M250" t="s">
        <v>747</v>
      </c>
      <c r="N250" t="s">
        <v>748</v>
      </c>
      <c r="O250"/>
      <c r="P250" t="e">
        <f>VLOOKUP(N250,#REF!,2,FALSE)</f>
        <v>#REF!</v>
      </c>
      <c r="Q250" t="s">
        <v>866</v>
      </c>
      <c r="R250" s="345">
        <v>-2481.71</v>
      </c>
    </row>
    <row r="251" spans="1:18" x14ac:dyDescent="0.2">
      <c r="A251" s="344" t="s">
        <v>755</v>
      </c>
      <c r="B251" t="s">
        <v>827</v>
      </c>
      <c r="C251" t="s">
        <v>823</v>
      </c>
      <c r="D251" t="s">
        <v>746</v>
      </c>
      <c r="E251" t="s">
        <v>829</v>
      </c>
      <c r="F251" t="s">
        <v>803</v>
      </c>
      <c r="G251" t="s">
        <v>830</v>
      </c>
      <c r="H251" t="s">
        <v>831</v>
      </c>
      <c r="I251" t="s">
        <v>722</v>
      </c>
      <c r="J251" t="s">
        <v>721</v>
      </c>
      <c r="K251"/>
      <c r="L251"/>
      <c r="M251" t="s">
        <v>747</v>
      </c>
      <c r="N251" t="s">
        <v>748</v>
      </c>
      <c r="O251"/>
      <c r="P251" t="e">
        <f>VLOOKUP(N251,#REF!,2,FALSE)</f>
        <v>#REF!</v>
      </c>
      <c r="Q251" t="s">
        <v>866</v>
      </c>
      <c r="R251" s="345">
        <v>-2481.71</v>
      </c>
    </row>
    <row r="252" spans="1:18" x14ac:dyDescent="0.2">
      <c r="A252" s="344" t="s">
        <v>756</v>
      </c>
      <c r="B252" t="s">
        <v>827</v>
      </c>
      <c r="C252" t="s">
        <v>823</v>
      </c>
      <c r="D252" t="s">
        <v>746</v>
      </c>
      <c r="E252" t="s">
        <v>829</v>
      </c>
      <c r="F252" t="s">
        <v>803</v>
      </c>
      <c r="G252" t="s">
        <v>830</v>
      </c>
      <c r="H252" t="s">
        <v>831</v>
      </c>
      <c r="I252" t="s">
        <v>722</v>
      </c>
      <c r="J252" t="s">
        <v>721</v>
      </c>
      <c r="K252"/>
      <c r="L252"/>
      <c r="M252" t="s">
        <v>747</v>
      </c>
      <c r="N252" t="s">
        <v>748</v>
      </c>
      <c r="O252"/>
      <c r="P252" t="e">
        <f>VLOOKUP(N252,#REF!,2,FALSE)</f>
        <v>#REF!</v>
      </c>
      <c r="Q252" t="s">
        <v>866</v>
      </c>
      <c r="R252" s="345">
        <v>-2481.71</v>
      </c>
    </row>
    <row r="253" spans="1:18" x14ac:dyDescent="0.2">
      <c r="A253" s="344" t="s">
        <v>757</v>
      </c>
      <c r="B253" t="s">
        <v>827</v>
      </c>
      <c r="C253" t="s">
        <v>823</v>
      </c>
      <c r="D253" t="s">
        <v>746</v>
      </c>
      <c r="E253" t="s">
        <v>829</v>
      </c>
      <c r="F253" t="s">
        <v>803</v>
      </c>
      <c r="G253" t="s">
        <v>830</v>
      </c>
      <c r="H253" t="s">
        <v>831</v>
      </c>
      <c r="I253" t="s">
        <v>722</v>
      </c>
      <c r="J253" t="s">
        <v>721</v>
      </c>
      <c r="K253"/>
      <c r="L253"/>
      <c r="M253" t="s">
        <v>747</v>
      </c>
      <c r="N253" t="s">
        <v>748</v>
      </c>
      <c r="O253"/>
      <c r="P253" t="e">
        <f>VLOOKUP(N253,#REF!,2,FALSE)</f>
        <v>#REF!</v>
      </c>
      <c r="Q253" t="s">
        <v>866</v>
      </c>
      <c r="R253" s="345">
        <v>0</v>
      </c>
    </row>
    <row r="254" spans="1:18" x14ac:dyDescent="0.2">
      <c r="A254" s="344" t="s">
        <v>749</v>
      </c>
      <c r="B254" t="s">
        <v>827</v>
      </c>
      <c r="C254" t="s">
        <v>823</v>
      </c>
      <c r="D254" t="s">
        <v>746</v>
      </c>
      <c r="E254" t="s">
        <v>829</v>
      </c>
      <c r="F254" t="s">
        <v>803</v>
      </c>
      <c r="G254" t="s">
        <v>830</v>
      </c>
      <c r="H254" t="s">
        <v>831</v>
      </c>
      <c r="I254" t="s">
        <v>722</v>
      </c>
      <c r="J254" t="s">
        <v>721</v>
      </c>
      <c r="K254"/>
      <c r="L254"/>
      <c r="M254" t="s">
        <v>747</v>
      </c>
      <c r="N254" t="s">
        <v>748</v>
      </c>
      <c r="O254"/>
      <c r="P254" t="e">
        <f>VLOOKUP(N254,#REF!,2,FALSE)</f>
        <v>#REF!</v>
      </c>
      <c r="Q254" t="s">
        <v>867</v>
      </c>
      <c r="R254" s="345">
        <v>-2476.36</v>
      </c>
    </row>
    <row r="255" spans="1:18" x14ac:dyDescent="0.2">
      <c r="A255" s="344" t="s">
        <v>752</v>
      </c>
      <c r="B255" t="s">
        <v>827</v>
      </c>
      <c r="C255" t="s">
        <v>823</v>
      </c>
      <c r="D255" t="s">
        <v>746</v>
      </c>
      <c r="E255" t="s">
        <v>829</v>
      </c>
      <c r="F255" t="s">
        <v>803</v>
      </c>
      <c r="G255" t="s">
        <v>830</v>
      </c>
      <c r="H255" t="s">
        <v>831</v>
      </c>
      <c r="I255" t="s">
        <v>722</v>
      </c>
      <c r="J255" t="s">
        <v>721</v>
      </c>
      <c r="K255"/>
      <c r="L255"/>
      <c r="M255" t="s">
        <v>747</v>
      </c>
      <c r="N255" t="s">
        <v>748</v>
      </c>
      <c r="O255"/>
      <c r="P255" t="e">
        <f>VLOOKUP(N255,#REF!,2,FALSE)</f>
        <v>#REF!</v>
      </c>
      <c r="Q255" t="s">
        <v>867</v>
      </c>
      <c r="R255" s="345">
        <v>-2476.36</v>
      </c>
    </row>
    <row r="256" spans="1:18" x14ac:dyDescent="0.2">
      <c r="A256" s="344" t="s">
        <v>753</v>
      </c>
      <c r="B256" t="s">
        <v>827</v>
      </c>
      <c r="C256" t="s">
        <v>823</v>
      </c>
      <c r="D256" t="s">
        <v>746</v>
      </c>
      <c r="E256" t="s">
        <v>829</v>
      </c>
      <c r="F256" t="s">
        <v>803</v>
      </c>
      <c r="G256" t="s">
        <v>830</v>
      </c>
      <c r="H256" t="s">
        <v>831</v>
      </c>
      <c r="I256" t="s">
        <v>722</v>
      </c>
      <c r="J256" t="s">
        <v>721</v>
      </c>
      <c r="K256"/>
      <c r="L256"/>
      <c r="M256" t="s">
        <v>747</v>
      </c>
      <c r="N256" t="s">
        <v>748</v>
      </c>
      <c r="O256"/>
      <c r="P256" t="e">
        <f>VLOOKUP(N256,#REF!,2,FALSE)</f>
        <v>#REF!</v>
      </c>
      <c r="Q256" t="s">
        <v>867</v>
      </c>
      <c r="R256" s="345">
        <v>-2476.36</v>
      </c>
    </row>
    <row r="257" spans="1:18" x14ac:dyDescent="0.2">
      <c r="A257" s="344" t="s">
        <v>754</v>
      </c>
      <c r="B257" t="s">
        <v>827</v>
      </c>
      <c r="C257" t="s">
        <v>823</v>
      </c>
      <c r="D257" t="s">
        <v>746</v>
      </c>
      <c r="E257" t="s">
        <v>829</v>
      </c>
      <c r="F257" t="s">
        <v>803</v>
      </c>
      <c r="G257" t="s">
        <v>830</v>
      </c>
      <c r="H257" t="s">
        <v>831</v>
      </c>
      <c r="I257" t="s">
        <v>722</v>
      </c>
      <c r="J257" t="s">
        <v>721</v>
      </c>
      <c r="K257"/>
      <c r="L257"/>
      <c r="M257" t="s">
        <v>747</v>
      </c>
      <c r="N257" t="s">
        <v>748</v>
      </c>
      <c r="O257"/>
      <c r="P257" t="e">
        <f>VLOOKUP(N257,#REF!,2,FALSE)</f>
        <v>#REF!</v>
      </c>
      <c r="Q257" t="s">
        <v>867</v>
      </c>
      <c r="R257" s="345">
        <v>-2481.71</v>
      </c>
    </row>
    <row r="258" spans="1:18" x14ac:dyDescent="0.2">
      <c r="A258" s="344" t="s">
        <v>755</v>
      </c>
      <c r="B258" t="s">
        <v>827</v>
      </c>
      <c r="C258" t="s">
        <v>823</v>
      </c>
      <c r="D258" t="s">
        <v>746</v>
      </c>
      <c r="E258" t="s">
        <v>829</v>
      </c>
      <c r="F258" t="s">
        <v>803</v>
      </c>
      <c r="G258" t="s">
        <v>830</v>
      </c>
      <c r="H258" t="s">
        <v>831</v>
      </c>
      <c r="I258" t="s">
        <v>722</v>
      </c>
      <c r="J258" t="s">
        <v>721</v>
      </c>
      <c r="K258"/>
      <c r="L258"/>
      <c r="M258" t="s">
        <v>747</v>
      </c>
      <c r="N258" t="s">
        <v>748</v>
      </c>
      <c r="O258"/>
      <c r="P258" t="e">
        <f>VLOOKUP(N258,#REF!,2,FALSE)</f>
        <v>#REF!</v>
      </c>
      <c r="Q258" t="s">
        <v>867</v>
      </c>
      <c r="R258" s="345">
        <v>-2481.71</v>
      </c>
    </row>
    <row r="259" spans="1:18" x14ac:dyDescent="0.2">
      <c r="A259" s="344" t="s">
        <v>756</v>
      </c>
      <c r="B259" t="s">
        <v>827</v>
      </c>
      <c r="C259" t="s">
        <v>823</v>
      </c>
      <c r="D259" t="s">
        <v>746</v>
      </c>
      <c r="E259" t="s">
        <v>829</v>
      </c>
      <c r="F259" t="s">
        <v>803</v>
      </c>
      <c r="G259" t="s">
        <v>830</v>
      </c>
      <c r="H259" t="s">
        <v>831</v>
      </c>
      <c r="I259" t="s">
        <v>722</v>
      </c>
      <c r="J259" t="s">
        <v>721</v>
      </c>
      <c r="K259"/>
      <c r="L259"/>
      <c r="M259" t="s">
        <v>747</v>
      </c>
      <c r="N259" t="s">
        <v>748</v>
      </c>
      <c r="O259"/>
      <c r="P259" t="e">
        <f>VLOOKUP(N259,#REF!,2,FALSE)</f>
        <v>#REF!</v>
      </c>
      <c r="Q259" t="s">
        <v>867</v>
      </c>
      <c r="R259" s="345">
        <v>-2481.71</v>
      </c>
    </row>
    <row r="260" spans="1:18" x14ac:dyDescent="0.2">
      <c r="A260" s="344" t="s">
        <v>757</v>
      </c>
      <c r="B260" t="s">
        <v>827</v>
      </c>
      <c r="C260" t="s">
        <v>823</v>
      </c>
      <c r="D260" t="s">
        <v>746</v>
      </c>
      <c r="E260" t="s">
        <v>829</v>
      </c>
      <c r="F260" t="s">
        <v>803</v>
      </c>
      <c r="G260" t="s">
        <v>830</v>
      </c>
      <c r="H260" t="s">
        <v>831</v>
      </c>
      <c r="I260" t="s">
        <v>722</v>
      </c>
      <c r="J260" t="s">
        <v>721</v>
      </c>
      <c r="K260"/>
      <c r="L260"/>
      <c r="M260" t="s">
        <v>747</v>
      </c>
      <c r="N260" t="s">
        <v>748</v>
      </c>
      <c r="O260"/>
      <c r="P260" t="e">
        <f>VLOOKUP(N260,#REF!,2,FALSE)</f>
        <v>#REF!</v>
      </c>
      <c r="Q260" t="s">
        <v>867</v>
      </c>
      <c r="R260" s="345">
        <v>-2487.06</v>
      </c>
    </row>
    <row r="261" spans="1:18" x14ac:dyDescent="0.2">
      <c r="A261" s="344" t="s">
        <v>758</v>
      </c>
      <c r="B261" t="s">
        <v>827</v>
      </c>
      <c r="C261" t="s">
        <v>823</v>
      </c>
      <c r="D261" t="s">
        <v>746</v>
      </c>
      <c r="E261" t="s">
        <v>829</v>
      </c>
      <c r="F261" t="s">
        <v>803</v>
      </c>
      <c r="G261" t="s">
        <v>830</v>
      </c>
      <c r="H261" t="s">
        <v>831</v>
      </c>
      <c r="I261" t="s">
        <v>722</v>
      </c>
      <c r="J261" t="s">
        <v>721</v>
      </c>
      <c r="K261"/>
      <c r="L261"/>
      <c r="M261" t="s">
        <v>747</v>
      </c>
      <c r="N261" t="s">
        <v>748</v>
      </c>
      <c r="O261"/>
      <c r="P261" t="e">
        <f>VLOOKUP(N261,#REF!,2,FALSE)</f>
        <v>#REF!</v>
      </c>
      <c r="Q261" t="s">
        <v>867</v>
      </c>
      <c r="R261" s="345">
        <v>-2487.06</v>
      </c>
    </row>
    <row r="262" spans="1:18" x14ac:dyDescent="0.2">
      <c r="A262" s="344" t="s">
        <v>759</v>
      </c>
      <c r="B262" t="s">
        <v>827</v>
      </c>
      <c r="C262" t="s">
        <v>823</v>
      </c>
      <c r="D262" t="s">
        <v>746</v>
      </c>
      <c r="E262" t="s">
        <v>829</v>
      </c>
      <c r="F262" t="s">
        <v>803</v>
      </c>
      <c r="G262" t="s">
        <v>830</v>
      </c>
      <c r="H262" t="s">
        <v>831</v>
      </c>
      <c r="I262" t="s">
        <v>722</v>
      </c>
      <c r="J262" t="s">
        <v>721</v>
      </c>
      <c r="K262"/>
      <c r="L262"/>
      <c r="M262" t="s">
        <v>747</v>
      </c>
      <c r="N262" t="s">
        <v>748</v>
      </c>
      <c r="O262"/>
      <c r="P262" t="e">
        <f>VLOOKUP(N262,#REF!,2,FALSE)</f>
        <v>#REF!</v>
      </c>
      <c r="Q262" t="s">
        <v>867</v>
      </c>
      <c r="R262" s="345">
        <v>-2487.06</v>
      </c>
    </row>
    <row r="263" spans="1:18" x14ac:dyDescent="0.2">
      <c r="A263" s="344" t="s">
        <v>743</v>
      </c>
      <c r="B263" t="s">
        <v>827</v>
      </c>
      <c r="C263" t="s">
        <v>823</v>
      </c>
      <c r="D263" t="s">
        <v>746</v>
      </c>
      <c r="E263" t="s">
        <v>829</v>
      </c>
      <c r="F263" t="s">
        <v>803</v>
      </c>
      <c r="G263" t="s">
        <v>830</v>
      </c>
      <c r="H263" t="s">
        <v>831</v>
      </c>
      <c r="I263" t="s">
        <v>722</v>
      </c>
      <c r="J263" t="s">
        <v>721</v>
      </c>
      <c r="K263"/>
      <c r="L263"/>
      <c r="M263" t="s">
        <v>747</v>
      </c>
      <c r="N263" t="s">
        <v>748</v>
      </c>
      <c r="O263"/>
      <c r="P263" t="e">
        <f>VLOOKUP(N263,#REF!,2,FALSE)</f>
        <v>#REF!</v>
      </c>
      <c r="Q263" t="s">
        <v>867</v>
      </c>
      <c r="R263" s="345">
        <v>-2510.2600000000002</v>
      </c>
    </row>
    <row r="264" spans="1:18" x14ac:dyDescent="0.2">
      <c r="A264" s="344" t="s">
        <v>760</v>
      </c>
      <c r="B264" t="s">
        <v>827</v>
      </c>
      <c r="C264" t="s">
        <v>823</v>
      </c>
      <c r="D264" t="s">
        <v>746</v>
      </c>
      <c r="E264" t="s">
        <v>829</v>
      </c>
      <c r="F264" t="s">
        <v>803</v>
      </c>
      <c r="G264" t="s">
        <v>830</v>
      </c>
      <c r="H264" t="s">
        <v>831</v>
      </c>
      <c r="I264" t="s">
        <v>722</v>
      </c>
      <c r="J264" t="s">
        <v>721</v>
      </c>
      <c r="K264"/>
      <c r="L264"/>
      <c r="M264" t="s">
        <v>747</v>
      </c>
      <c r="N264" t="s">
        <v>748</v>
      </c>
      <c r="O264"/>
      <c r="P264" t="e">
        <f>VLOOKUP(N264,#REF!,2,FALSE)</f>
        <v>#REF!</v>
      </c>
      <c r="Q264" t="s">
        <v>867</v>
      </c>
      <c r="R264" s="345">
        <v>-2510.2600000000002</v>
      </c>
    </row>
    <row r="265" spans="1:18" x14ac:dyDescent="0.2">
      <c r="A265" s="344" t="s">
        <v>745</v>
      </c>
      <c r="B265" t="s">
        <v>827</v>
      </c>
      <c r="C265" t="s">
        <v>823</v>
      </c>
      <c r="D265" t="s">
        <v>746</v>
      </c>
      <c r="E265" t="s">
        <v>829</v>
      </c>
      <c r="F265" t="s">
        <v>803</v>
      </c>
      <c r="G265" t="s">
        <v>830</v>
      </c>
      <c r="H265" t="s">
        <v>831</v>
      </c>
      <c r="I265" t="s">
        <v>722</v>
      </c>
      <c r="J265" t="s">
        <v>721</v>
      </c>
      <c r="K265"/>
      <c r="L265"/>
      <c r="M265" t="s">
        <v>747</v>
      </c>
      <c r="N265" t="s">
        <v>748</v>
      </c>
      <c r="O265"/>
      <c r="P265" t="e">
        <f>VLOOKUP(N265,#REF!,2,FALSE)</f>
        <v>#REF!</v>
      </c>
      <c r="Q265" t="s">
        <v>867</v>
      </c>
      <c r="R265" s="345">
        <v>-2510.2600000000002</v>
      </c>
    </row>
    <row r="266" spans="1:18" x14ac:dyDescent="0.2">
      <c r="A266" s="344" t="s">
        <v>749</v>
      </c>
      <c r="B266" t="s">
        <v>827</v>
      </c>
      <c r="C266" t="s">
        <v>823</v>
      </c>
      <c r="D266" t="s">
        <v>746</v>
      </c>
      <c r="E266" t="s">
        <v>829</v>
      </c>
      <c r="F266" t="s">
        <v>803</v>
      </c>
      <c r="G266" t="s">
        <v>830</v>
      </c>
      <c r="H266" t="s">
        <v>831</v>
      </c>
      <c r="I266" t="s">
        <v>722</v>
      </c>
      <c r="J266" t="s">
        <v>721</v>
      </c>
      <c r="K266"/>
      <c r="L266"/>
      <c r="M266" t="s">
        <v>747</v>
      </c>
      <c r="N266" t="s">
        <v>748</v>
      </c>
      <c r="O266"/>
      <c r="P266" t="e">
        <f>VLOOKUP(N266,#REF!,2,FALSE)</f>
        <v>#REF!</v>
      </c>
      <c r="Q266" t="s">
        <v>868</v>
      </c>
      <c r="R266" s="345">
        <v>-2476.36</v>
      </c>
    </row>
    <row r="267" spans="1:18" x14ac:dyDescent="0.2">
      <c r="A267" s="344" t="s">
        <v>752</v>
      </c>
      <c r="B267" t="s">
        <v>827</v>
      </c>
      <c r="C267" t="s">
        <v>823</v>
      </c>
      <c r="D267" t="s">
        <v>746</v>
      </c>
      <c r="E267" t="s">
        <v>829</v>
      </c>
      <c r="F267" t="s">
        <v>803</v>
      </c>
      <c r="G267" t="s">
        <v>830</v>
      </c>
      <c r="H267" t="s">
        <v>831</v>
      </c>
      <c r="I267" t="s">
        <v>722</v>
      </c>
      <c r="J267" t="s">
        <v>721</v>
      </c>
      <c r="K267"/>
      <c r="L267"/>
      <c r="M267" t="s">
        <v>747</v>
      </c>
      <c r="N267" t="s">
        <v>748</v>
      </c>
      <c r="O267"/>
      <c r="P267" t="e">
        <f>VLOOKUP(N267,#REF!,2,FALSE)</f>
        <v>#REF!</v>
      </c>
      <c r="Q267" t="s">
        <v>868</v>
      </c>
      <c r="R267" s="345">
        <v>-2476.36</v>
      </c>
    </row>
    <row r="268" spans="1:18" x14ac:dyDescent="0.2">
      <c r="A268" s="344" t="s">
        <v>753</v>
      </c>
      <c r="B268" t="s">
        <v>827</v>
      </c>
      <c r="C268" t="s">
        <v>823</v>
      </c>
      <c r="D268" t="s">
        <v>746</v>
      </c>
      <c r="E268" t="s">
        <v>829</v>
      </c>
      <c r="F268" t="s">
        <v>803</v>
      </c>
      <c r="G268" t="s">
        <v>830</v>
      </c>
      <c r="H268" t="s">
        <v>831</v>
      </c>
      <c r="I268" t="s">
        <v>722</v>
      </c>
      <c r="J268" t="s">
        <v>721</v>
      </c>
      <c r="K268"/>
      <c r="L268"/>
      <c r="M268" t="s">
        <v>747</v>
      </c>
      <c r="N268" t="s">
        <v>748</v>
      </c>
      <c r="O268"/>
      <c r="P268" t="e">
        <f>VLOOKUP(N268,#REF!,2,FALSE)</f>
        <v>#REF!</v>
      </c>
      <c r="Q268" t="s">
        <v>868</v>
      </c>
      <c r="R268" s="345">
        <v>-2476.36</v>
      </c>
    </row>
    <row r="269" spans="1:18" x14ac:dyDescent="0.2">
      <c r="A269" s="344" t="s">
        <v>754</v>
      </c>
      <c r="B269" t="s">
        <v>827</v>
      </c>
      <c r="C269" t="s">
        <v>823</v>
      </c>
      <c r="D269" t="s">
        <v>746</v>
      </c>
      <c r="E269" t="s">
        <v>829</v>
      </c>
      <c r="F269" t="s">
        <v>803</v>
      </c>
      <c r="G269" t="s">
        <v>830</v>
      </c>
      <c r="H269" t="s">
        <v>831</v>
      </c>
      <c r="I269" t="s">
        <v>722</v>
      </c>
      <c r="J269" t="s">
        <v>721</v>
      </c>
      <c r="K269"/>
      <c r="L269"/>
      <c r="M269" t="s">
        <v>747</v>
      </c>
      <c r="N269" t="s">
        <v>748</v>
      </c>
      <c r="O269"/>
      <c r="P269" t="e">
        <f>VLOOKUP(N269,#REF!,2,FALSE)</f>
        <v>#REF!</v>
      </c>
      <c r="Q269" t="s">
        <v>868</v>
      </c>
      <c r="R269" s="345">
        <v>-2481.71</v>
      </c>
    </row>
    <row r="270" spans="1:18" x14ac:dyDescent="0.2">
      <c r="A270" s="344" t="s">
        <v>755</v>
      </c>
      <c r="B270" t="s">
        <v>827</v>
      </c>
      <c r="C270" t="s">
        <v>823</v>
      </c>
      <c r="D270" t="s">
        <v>746</v>
      </c>
      <c r="E270" t="s">
        <v>829</v>
      </c>
      <c r="F270" t="s">
        <v>803</v>
      </c>
      <c r="G270" t="s">
        <v>830</v>
      </c>
      <c r="H270" t="s">
        <v>831</v>
      </c>
      <c r="I270" t="s">
        <v>722</v>
      </c>
      <c r="J270" t="s">
        <v>721</v>
      </c>
      <c r="K270"/>
      <c r="L270"/>
      <c r="M270" t="s">
        <v>747</v>
      </c>
      <c r="N270" t="s">
        <v>748</v>
      </c>
      <c r="O270"/>
      <c r="P270" t="e">
        <f>VLOOKUP(N270,#REF!,2,FALSE)</f>
        <v>#REF!</v>
      </c>
      <c r="Q270" t="s">
        <v>868</v>
      </c>
      <c r="R270" s="345">
        <v>0</v>
      </c>
    </row>
    <row r="271" spans="1:18" x14ac:dyDescent="0.2">
      <c r="A271" s="344" t="s">
        <v>749</v>
      </c>
      <c r="B271" t="s">
        <v>827</v>
      </c>
      <c r="C271" t="s">
        <v>823</v>
      </c>
      <c r="D271" t="s">
        <v>746</v>
      </c>
      <c r="E271" t="s">
        <v>829</v>
      </c>
      <c r="F271" t="s">
        <v>803</v>
      </c>
      <c r="G271" t="s">
        <v>830</v>
      </c>
      <c r="H271" t="s">
        <v>831</v>
      </c>
      <c r="I271" t="s">
        <v>722</v>
      </c>
      <c r="J271" t="s">
        <v>721</v>
      </c>
      <c r="K271"/>
      <c r="L271"/>
      <c r="M271" t="s">
        <v>747</v>
      </c>
      <c r="N271" t="s">
        <v>748</v>
      </c>
      <c r="O271"/>
      <c r="P271" t="e">
        <f>VLOOKUP(N271,#REF!,2,FALSE)</f>
        <v>#REF!</v>
      </c>
      <c r="Q271" t="s">
        <v>869</v>
      </c>
      <c r="R271" s="345">
        <v>0</v>
      </c>
    </row>
    <row r="272" spans="1:18" x14ac:dyDescent="0.2">
      <c r="A272" s="344" t="s">
        <v>752</v>
      </c>
      <c r="B272" t="s">
        <v>827</v>
      </c>
      <c r="C272" t="s">
        <v>823</v>
      </c>
      <c r="D272" t="s">
        <v>746</v>
      </c>
      <c r="E272" t="s">
        <v>829</v>
      </c>
      <c r="F272" t="s">
        <v>803</v>
      </c>
      <c r="G272" t="s">
        <v>830</v>
      </c>
      <c r="H272" t="s">
        <v>831</v>
      </c>
      <c r="I272" t="s">
        <v>722</v>
      </c>
      <c r="J272" t="s">
        <v>721</v>
      </c>
      <c r="K272"/>
      <c r="L272"/>
      <c r="M272" t="s">
        <v>747</v>
      </c>
      <c r="N272" t="s">
        <v>748</v>
      </c>
      <c r="O272"/>
      <c r="P272" t="e">
        <f>VLOOKUP(N272,#REF!,2,FALSE)</f>
        <v>#REF!</v>
      </c>
      <c r="Q272" t="s">
        <v>870</v>
      </c>
      <c r="R272" s="345">
        <v>-2484.88</v>
      </c>
    </row>
    <row r="273" spans="1:18" x14ac:dyDescent="0.2">
      <c r="A273" s="344" t="s">
        <v>753</v>
      </c>
      <c r="B273" t="s">
        <v>827</v>
      </c>
      <c r="C273" t="s">
        <v>823</v>
      </c>
      <c r="D273" t="s">
        <v>746</v>
      </c>
      <c r="E273" t="s">
        <v>829</v>
      </c>
      <c r="F273" t="s">
        <v>803</v>
      </c>
      <c r="G273" t="s">
        <v>830</v>
      </c>
      <c r="H273" t="s">
        <v>831</v>
      </c>
      <c r="I273" t="s">
        <v>722</v>
      </c>
      <c r="J273" t="s">
        <v>721</v>
      </c>
      <c r="K273"/>
      <c r="L273"/>
      <c r="M273" t="s">
        <v>747</v>
      </c>
      <c r="N273" t="s">
        <v>748</v>
      </c>
      <c r="O273"/>
      <c r="P273" t="e">
        <f>VLOOKUP(N273,#REF!,2,FALSE)</f>
        <v>#REF!</v>
      </c>
      <c r="Q273" t="s">
        <v>870</v>
      </c>
      <c r="R273" s="345">
        <v>-4911.79</v>
      </c>
    </row>
    <row r="274" spans="1:18" x14ac:dyDescent="0.2">
      <c r="A274" s="344" t="s">
        <v>754</v>
      </c>
      <c r="B274" t="s">
        <v>827</v>
      </c>
      <c r="C274" t="s">
        <v>823</v>
      </c>
      <c r="D274" t="s">
        <v>746</v>
      </c>
      <c r="E274" t="s">
        <v>829</v>
      </c>
      <c r="F274" t="s">
        <v>803</v>
      </c>
      <c r="G274" t="s">
        <v>830</v>
      </c>
      <c r="H274" t="s">
        <v>831</v>
      </c>
      <c r="I274" t="s">
        <v>722</v>
      </c>
      <c r="J274" t="s">
        <v>721</v>
      </c>
      <c r="K274"/>
      <c r="L274"/>
      <c r="M274" t="s">
        <v>747</v>
      </c>
      <c r="N274" t="s">
        <v>748</v>
      </c>
      <c r="O274"/>
      <c r="P274" t="e">
        <f>VLOOKUP(N274,#REF!,2,FALSE)</f>
        <v>#REF!</v>
      </c>
      <c r="Q274" t="s">
        <v>870</v>
      </c>
      <c r="R274" s="345">
        <v>-2490.2399999999998</v>
      </c>
    </row>
    <row r="275" spans="1:18" x14ac:dyDescent="0.2">
      <c r="A275" s="344" t="s">
        <v>755</v>
      </c>
      <c r="B275" t="s">
        <v>827</v>
      </c>
      <c r="C275" t="s">
        <v>823</v>
      </c>
      <c r="D275" t="s">
        <v>746</v>
      </c>
      <c r="E275" t="s">
        <v>829</v>
      </c>
      <c r="F275" t="s">
        <v>803</v>
      </c>
      <c r="G275" t="s">
        <v>830</v>
      </c>
      <c r="H275" t="s">
        <v>831</v>
      </c>
      <c r="I275" t="s">
        <v>722</v>
      </c>
      <c r="J275" t="s">
        <v>721</v>
      </c>
      <c r="K275"/>
      <c r="L275"/>
      <c r="M275" t="s">
        <v>747</v>
      </c>
      <c r="N275" t="s">
        <v>748</v>
      </c>
      <c r="O275"/>
      <c r="P275" t="e">
        <f>VLOOKUP(N275,#REF!,2,FALSE)</f>
        <v>#REF!</v>
      </c>
      <c r="Q275" t="s">
        <v>870</v>
      </c>
      <c r="R275" s="345">
        <v>-2481.71</v>
      </c>
    </row>
    <row r="276" spans="1:18" x14ac:dyDescent="0.2">
      <c r="A276" s="344" t="s">
        <v>756</v>
      </c>
      <c r="B276" t="s">
        <v>827</v>
      </c>
      <c r="C276" t="s">
        <v>823</v>
      </c>
      <c r="D276" t="s">
        <v>746</v>
      </c>
      <c r="E276" t="s">
        <v>829</v>
      </c>
      <c r="F276" t="s">
        <v>803</v>
      </c>
      <c r="G276" t="s">
        <v>830</v>
      </c>
      <c r="H276" t="s">
        <v>831</v>
      </c>
      <c r="I276" t="s">
        <v>722</v>
      </c>
      <c r="J276" t="s">
        <v>721</v>
      </c>
      <c r="K276"/>
      <c r="L276"/>
      <c r="M276" t="s">
        <v>747</v>
      </c>
      <c r="N276" t="s">
        <v>748</v>
      </c>
      <c r="O276"/>
      <c r="P276" t="e">
        <f>VLOOKUP(N276,#REF!,2,FALSE)</f>
        <v>#REF!</v>
      </c>
      <c r="Q276" t="s">
        <v>870</v>
      </c>
      <c r="R276" s="345">
        <v>-2490.25</v>
      </c>
    </row>
    <row r="277" spans="1:18" x14ac:dyDescent="0.2">
      <c r="A277" s="344" t="s">
        <v>757</v>
      </c>
      <c r="B277" t="s">
        <v>827</v>
      </c>
      <c r="C277" t="s">
        <v>823</v>
      </c>
      <c r="D277" t="s">
        <v>746</v>
      </c>
      <c r="E277" t="s">
        <v>829</v>
      </c>
      <c r="F277" t="s">
        <v>803</v>
      </c>
      <c r="G277" t="s">
        <v>830</v>
      </c>
      <c r="H277" t="s">
        <v>831</v>
      </c>
      <c r="I277" t="s">
        <v>722</v>
      </c>
      <c r="J277" t="s">
        <v>721</v>
      </c>
      <c r="K277"/>
      <c r="L277"/>
      <c r="M277" t="s">
        <v>747</v>
      </c>
      <c r="N277" t="s">
        <v>748</v>
      </c>
      <c r="O277"/>
      <c r="P277" t="e">
        <f>VLOOKUP(N277,#REF!,2,FALSE)</f>
        <v>#REF!</v>
      </c>
      <c r="Q277" t="s">
        <v>870</v>
      </c>
      <c r="R277" s="345">
        <v>0</v>
      </c>
    </row>
    <row r="278" spans="1:18" x14ac:dyDescent="0.2">
      <c r="A278" s="344" t="s">
        <v>759</v>
      </c>
      <c r="B278" t="s">
        <v>827</v>
      </c>
      <c r="C278" t="s">
        <v>823</v>
      </c>
      <c r="D278" t="s">
        <v>746</v>
      </c>
      <c r="E278" t="s">
        <v>829</v>
      </c>
      <c r="F278" t="s">
        <v>803</v>
      </c>
      <c r="G278" t="s">
        <v>830</v>
      </c>
      <c r="H278" t="s">
        <v>831</v>
      </c>
      <c r="I278" t="s">
        <v>722</v>
      </c>
      <c r="J278" t="s">
        <v>721</v>
      </c>
      <c r="K278"/>
      <c r="L278"/>
      <c r="M278" t="s">
        <v>747</v>
      </c>
      <c r="N278" t="s">
        <v>748</v>
      </c>
      <c r="O278"/>
      <c r="P278" t="e">
        <f>VLOOKUP(N278,#REF!,2,FALSE)</f>
        <v>#REF!</v>
      </c>
      <c r="Q278" t="s">
        <v>871</v>
      </c>
      <c r="R278" s="345">
        <v>-3375.3</v>
      </c>
    </row>
    <row r="279" spans="1:18" x14ac:dyDescent="0.2">
      <c r="A279" s="344" t="s">
        <v>743</v>
      </c>
      <c r="B279" t="s">
        <v>827</v>
      </c>
      <c r="C279" t="s">
        <v>823</v>
      </c>
      <c r="D279" t="s">
        <v>746</v>
      </c>
      <c r="E279" t="s">
        <v>829</v>
      </c>
      <c r="F279" t="s">
        <v>803</v>
      </c>
      <c r="G279" t="s">
        <v>830</v>
      </c>
      <c r="H279" t="s">
        <v>831</v>
      </c>
      <c r="I279" t="s">
        <v>722</v>
      </c>
      <c r="J279" t="s">
        <v>721</v>
      </c>
      <c r="K279"/>
      <c r="L279"/>
      <c r="M279" t="s">
        <v>747</v>
      </c>
      <c r="N279" t="s">
        <v>748</v>
      </c>
      <c r="O279"/>
      <c r="P279" t="e">
        <f>VLOOKUP(N279,#REF!,2,FALSE)</f>
        <v>#REF!</v>
      </c>
      <c r="Q279" t="s">
        <v>871</v>
      </c>
      <c r="R279" s="345">
        <v>-2510.2600000000002</v>
      </c>
    </row>
    <row r="280" spans="1:18" x14ac:dyDescent="0.2">
      <c r="A280" s="344" t="s">
        <v>760</v>
      </c>
      <c r="B280" t="s">
        <v>827</v>
      </c>
      <c r="C280" t="s">
        <v>823</v>
      </c>
      <c r="D280" t="s">
        <v>746</v>
      </c>
      <c r="E280" t="s">
        <v>829</v>
      </c>
      <c r="F280" t="s">
        <v>803</v>
      </c>
      <c r="G280" t="s">
        <v>830</v>
      </c>
      <c r="H280" t="s">
        <v>831</v>
      </c>
      <c r="I280" t="s">
        <v>722</v>
      </c>
      <c r="J280" t="s">
        <v>721</v>
      </c>
      <c r="K280"/>
      <c r="L280"/>
      <c r="M280" t="s">
        <v>747</v>
      </c>
      <c r="N280" t="s">
        <v>748</v>
      </c>
      <c r="O280"/>
      <c r="P280" t="e">
        <f>VLOOKUP(N280,#REF!,2,FALSE)</f>
        <v>#REF!</v>
      </c>
      <c r="Q280" t="s">
        <v>871</v>
      </c>
      <c r="R280" s="345">
        <v>-2490.85</v>
      </c>
    </row>
    <row r="281" spans="1:18" x14ac:dyDescent="0.2">
      <c r="A281" s="344" t="s">
        <v>745</v>
      </c>
      <c r="B281" t="s">
        <v>827</v>
      </c>
      <c r="C281" t="s">
        <v>823</v>
      </c>
      <c r="D281" t="s">
        <v>746</v>
      </c>
      <c r="E281" t="s">
        <v>829</v>
      </c>
      <c r="F281" t="s">
        <v>803</v>
      </c>
      <c r="G281" t="s">
        <v>830</v>
      </c>
      <c r="H281" t="s">
        <v>831</v>
      </c>
      <c r="I281" t="s">
        <v>722</v>
      </c>
      <c r="J281" t="s">
        <v>721</v>
      </c>
      <c r="K281"/>
      <c r="L281"/>
      <c r="M281" t="s">
        <v>747</v>
      </c>
      <c r="N281" t="s">
        <v>748</v>
      </c>
      <c r="O281"/>
      <c r="P281" t="e">
        <f>VLOOKUP(N281,#REF!,2,FALSE)</f>
        <v>#REF!</v>
      </c>
      <c r="Q281" t="s">
        <v>871</v>
      </c>
      <c r="R281" s="345">
        <v>-2452.62</v>
      </c>
    </row>
    <row r="282" spans="1:18" x14ac:dyDescent="0.2">
      <c r="A282" s="344" t="s">
        <v>749</v>
      </c>
      <c r="B282" t="s">
        <v>827</v>
      </c>
      <c r="C282" t="s">
        <v>823</v>
      </c>
      <c r="D282" t="s">
        <v>746</v>
      </c>
      <c r="E282" t="s">
        <v>829</v>
      </c>
      <c r="F282" t="s">
        <v>803</v>
      </c>
      <c r="G282" t="s">
        <v>830</v>
      </c>
      <c r="H282" t="s">
        <v>831</v>
      </c>
      <c r="I282" t="s">
        <v>722</v>
      </c>
      <c r="J282" t="s">
        <v>721</v>
      </c>
      <c r="K282"/>
      <c r="L282"/>
      <c r="M282" t="s">
        <v>750</v>
      </c>
      <c r="N282" t="s">
        <v>751</v>
      </c>
      <c r="O282"/>
      <c r="P282" t="e">
        <f>VLOOKUP(N282,#REF!,2,FALSE)</f>
        <v>#REF!</v>
      </c>
      <c r="Q282" t="s">
        <v>856</v>
      </c>
      <c r="R282" s="345">
        <v>-867042.9</v>
      </c>
    </row>
    <row r="283" spans="1:18" x14ac:dyDescent="0.2">
      <c r="A283" s="344" t="s">
        <v>752</v>
      </c>
      <c r="B283" t="s">
        <v>827</v>
      </c>
      <c r="C283" t="s">
        <v>823</v>
      </c>
      <c r="D283" t="s">
        <v>746</v>
      </c>
      <c r="E283" t="s">
        <v>829</v>
      </c>
      <c r="F283" t="s">
        <v>803</v>
      </c>
      <c r="G283" t="s">
        <v>830</v>
      </c>
      <c r="H283" t="s">
        <v>831</v>
      </c>
      <c r="I283" t="s">
        <v>722</v>
      </c>
      <c r="J283" t="s">
        <v>721</v>
      </c>
      <c r="K283"/>
      <c r="L283"/>
      <c r="M283" t="s">
        <v>750</v>
      </c>
      <c r="N283" t="s">
        <v>751</v>
      </c>
      <c r="O283"/>
      <c r="P283" t="e">
        <f>VLOOKUP(N283,#REF!,2,FALSE)</f>
        <v>#REF!</v>
      </c>
      <c r="Q283" t="s">
        <v>856</v>
      </c>
      <c r="R283" s="345">
        <v>-867042.9</v>
      </c>
    </row>
    <row r="284" spans="1:18" x14ac:dyDescent="0.2">
      <c r="A284" s="344" t="s">
        <v>753</v>
      </c>
      <c r="B284" t="s">
        <v>827</v>
      </c>
      <c r="C284" t="s">
        <v>823</v>
      </c>
      <c r="D284" t="s">
        <v>746</v>
      </c>
      <c r="E284" t="s">
        <v>829</v>
      </c>
      <c r="F284" t="s">
        <v>803</v>
      </c>
      <c r="G284" t="s">
        <v>830</v>
      </c>
      <c r="H284" t="s">
        <v>831</v>
      </c>
      <c r="I284" t="s">
        <v>722</v>
      </c>
      <c r="J284" t="s">
        <v>721</v>
      </c>
      <c r="K284"/>
      <c r="L284"/>
      <c r="M284" t="s">
        <v>750</v>
      </c>
      <c r="N284" t="s">
        <v>751</v>
      </c>
      <c r="O284"/>
      <c r="P284" t="e">
        <f>VLOOKUP(N284,#REF!,2,FALSE)</f>
        <v>#REF!</v>
      </c>
      <c r="Q284" t="s">
        <v>856</v>
      </c>
      <c r="R284" s="345">
        <v>-839073.77</v>
      </c>
    </row>
    <row r="285" spans="1:18" x14ac:dyDescent="0.2">
      <c r="A285" s="344" t="s">
        <v>754</v>
      </c>
      <c r="B285" t="s">
        <v>827</v>
      </c>
      <c r="C285" t="s">
        <v>823</v>
      </c>
      <c r="D285" t="s">
        <v>746</v>
      </c>
      <c r="E285" t="s">
        <v>829</v>
      </c>
      <c r="F285" t="s">
        <v>803</v>
      </c>
      <c r="G285" t="s">
        <v>830</v>
      </c>
      <c r="H285" t="s">
        <v>831</v>
      </c>
      <c r="I285" t="s">
        <v>722</v>
      </c>
      <c r="J285" t="s">
        <v>721</v>
      </c>
      <c r="K285"/>
      <c r="L285"/>
      <c r="M285" t="s">
        <v>750</v>
      </c>
      <c r="N285" t="s">
        <v>751</v>
      </c>
      <c r="O285"/>
      <c r="P285" t="e">
        <f>VLOOKUP(N285,#REF!,2,FALSE)</f>
        <v>#REF!</v>
      </c>
      <c r="Q285" t="s">
        <v>856</v>
      </c>
      <c r="R285" s="345">
        <v>-868916.9</v>
      </c>
    </row>
    <row r="286" spans="1:18" x14ac:dyDescent="0.2">
      <c r="A286" s="344" t="s">
        <v>755</v>
      </c>
      <c r="B286" t="s">
        <v>827</v>
      </c>
      <c r="C286" t="s">
        <v>823</v>
      </c>
      <c r="D286" t="s">
        <v>746</v>
      </c>
      <c r="E286" t="s">
        <v>829</v>
      </c>
      <c r="F286" t="s">
        <v>803</v>
      </c>
      <c r="G286" t="s">
        <v>830</v>
      </c>
      <c r="H286" t="s">
        <v>831</v>
      </c>
      <c r="I286" t="s">
        <v>722</v>
      </c>
      <c r="J286" t="s">
        <v>721</v>
      </c>
      <c r="K286"/>
      <c r="L286"/>
      <c r="M286" t="s">
        <v>750</v>
      </c>
      <c r="N286" t="s">
        <v>751</v>
      </c>
      <c r="O286"/>
      <c r="P286" t="e">
        <f>VLOOKUP(N286,#REF!,2,FALSE)</f>
        <v>#REF!</v>
      </c>
      <c r="Q286" t="s">
        <v>856</v>
      </c>
      <c r="R286" s="345">
        <v>-840887.32</v>
      </c>
    </row>
    <row r="287" spans="1:18" x14ac:dyDescent="0.2">
      <c r="A287" s="344" t="s">
        <v>756</v>
      </c>
      <c r="B287" t="s">
        <v>827</v>
      </c>
      <c r="C287" t="s">
        <v>823</v>
      </c>
      <c r="D287" t="s">
        <v>746</v>
      </c>
      <c r="E287" t="s">
        <v>829</v>
      </c>
      <c r="F287" t="s">
        <v>803</v>
      </c>
      <c r="G287" t="s">
        <v>830</v>
      </c>
      <c r="H287" t="s">
        <v>831</v>
      </c>
      <c r="I287" t="s">
        <v>722</v>
      </c>
      <c r="J287" t="s">
        <v>721</v>
      </c>
      <c r="K287"/>
      <c r="L287"/>
      <c r="M287" t="s">
        <v>750</v>
      </c>
      <c r="N287" t="s">
        <v>751</v>
      </c>
      <c r="O287"/>
      <c r="P287" t="e">
        <f>VLOOKUP(N287,#REF!,2,FALSE)</f>
        <v>#REF!</v>
      </c>
      <c r="Q287" t="s">
        <v>856</v>
      </c>
      <c r="R287" s="345">
        <v>-868916.9</v>
      </c>
    </row>
    <row r="288" spans="1:18" x14ac:dyDescent="0.2">
      <c r="A288" s="344" t="s">
        <v>757</v>
      </c>
      <c r="B288" t="s">
        <v>827</v>
      </c>
      <c r="C288" t="s">
        <v>823</v>
      </c>
      <c r="D288" t="s">
        <v>746</v>
      </c>
      <c r="E288" t="s">
        <v>829</v>
      </c>
      <c r="F288" t="s">
        <v>803</v>
      </c>
      <c r="G288" t="s">
        <v>830</v>
      </c>
      <c r="H288" t="s">
        <v>831</v>
      </c>
      <c r="I288" t="s">
        <v>722</v>
      </c>
      <c r="J288" t="s">
        <v>721</v>
      </c>
      <c r="K288"/>
      <c r="L288"/>
      <c r="M288" t="s">
        <v>750</v>
      </c>
      <c r="N288" t="s">
        <v>751</v>
      </c>
      <c r="O288"/>
      <c r="P288" t="e">
        <f>VLOOKUP(N288,#REF!,2,FALSE)</f>
        <v>#REF!</v>
      </c>
      <c r="Q288" t="s">
        <v>856</v>
      </c>
      <c r="R288" s="345">
        <v>-790402.66</v>
      </c>
    </row>
    <row r="289" spans="1:18" x14ac:dyDescent="0.2">
      <c r="A289" s="344" t="s">
        <v>758</v>
      </c>
      <c r="B289" t="s">
        <v>827</v>
      </c>
      <c r="C289" t="s">
        <v>823</v>
      </c>
      <c r="D289" t="s">
        <v>746</v>
      </c>
      <c r="E289" t="s">
        <v>829</v>
      </c>
      <c r="F289" t="s">
        <v>803</v>
      </c>
      <c r="G289" t="s">
        <v>830</v>
      </c>
      <c r="H289" t="s">
        <v>831</v>
      </c>
      <c r="I289" t="s">
        <v>722</v>
      </c>
      <c r="J289" t="s">
        <v>721</v>
      </c>
      <c r="K289"/>
      <c r="L289"/>
      <c r="M289" t="s">
        <v>750</v>
      </c>
      <c r="N289" t="s">
        <v>751</v>
      </c>
      <c r="O289"/>
      <c r="P289" t="e">
        <f>VLOOKUP(N289,#REF!,2,FALSE)</f>
        <v>#REF!</v>
      </c>
      <c r="Q289" t="s">
        <v>856</v>
      </c>
      <c r="R289" s="345">
        <v>-745685.81</v>
      </c>
    </row>
    <row r="290" spans="1:18" x14ac:dyDescent="0.2">
      <c r="A290" s="344" t="s">
        <v>759</v>
      </c>
      <c r="B290" t="s">
        <v>827</v>
      </c>
      <c r="C290" t="s">
        <v>823</v>
      </c>
      <c r="D290" t="s">
        <v>746</v>
      </c>
      <c r="E290" t="s">
        <v>829</v>
      </c>
      <c r="F290" t="s">
        <v>803</v>
      </c>
      <c r="G290" t="s">
        <v>830</v>
      </c>
      <c r="H290" t="s">
        <v>831</v>
      </c>
      <c r="I290" t="s">
        <v>722</v>
      </c>
      <c r="J290" t="s">
        <v>721</v>
      </c>
      <c r="K290"/>
      <c r="L290"/>
      <c r="M290" t="s">
        <v>750</v>
      </c>
      <c r="N290" t="s">
        <v>751</v>
      </c>
      <c r="O290"/>
      <c r="P290" t="e">
        <f>VLOOKUP(N290,#REF!,2,FALSE)</f>
        <v>#REF!</v>
      </c>
      <c r="Q290" t="s">
        <v>856</v>
      </c>
      <c r="R290" s="345">
        <v>-791957.56</v>
      </c>
    </row>
    <row r="291" spans="1:18" x14ac:dyDescent="0.2">
      <c r="A291" s="344" t="s">
        <v>743</v>
      </c>
      <c r="B291" t="s">
        <v>827</v>
      </c>
      <c r="C291" t="s">
        <v>823</v>
      </c>
      <c r="D291" t="s">
        <v>746</v>
      </c>
      <c r="E291" t="s">
        <v>829</v>
      </c>
      <c r="F291" t="s">
        <v>803</v>
      </c>
      <c r="G291" t="s">
        <v>830</v>
      </c>
      <c r="H291" t="s">
        <v>831</v>
      </c>
      <c r="I291" t="s">
        <v>722</v>
      </c>
      <c r="J291" t="s">
        <v>721</v>
      </c>
      <c r="K291"/>
      <c r="L291"/>
      <c r="M291" t="s">
        <v>750</v>
      </c>
      <c r="N291" t="s">
        <v>751</v>
      </c>
      <c r="O291"/>
      <c r="P291" t="e">
        <f>VLOOKUP(N291,#REF!,2,FALSE)</f>
        <v>#REF!</v>
      </c>
      <c r="Q291" t="s">
        <v>856</v>
      </c>
      <c r="R291" s="345">
        <v>-774219.4</v>
      </c>
    </row>
    <row r="292" spans="1:18" x14ac:dyDescent="0.2">
      <c r="A292" s="344" t="s">
        <v>760</v>
      </c>
      <c r="B292" t="s">
        <v>827</v>
      </c>
      <c r="C292" t="s">
        <v>823</v>
      </c>
      <c r="D292" t="s">
        <v>746</v>
      </c>
      <c r="E292" t="s">
        <v>829</v>
      </c>
      <c r="F292" t="s">
        <v>803</v>
      </c>
      <c r="G292" t="s">
        <v>830</v>
      </c>
      <c r="H292" t="s">
        <v>831</v>
      </c>
      <c r="I292" t="s">
        <v>722</v>
      </c>
      <c r="J292" t="s">
        <v>721</v>
      </c>
      <c r="K292"/>
      <c r="L292"/>
      <c r="M292" t="s">
        <v>750</v>
      </c>
      <c r="N292" t="s">
        <v>751</v>
      </c>
      <c r="O292"/>
      <c r="P292" t="e">
        <f>VLOOKUP(N292,#REF!,2,FALSE)</f>
        <v>#REF!</v>
      </c>
      <c r="Q292" t="s">
        <v>856</v>
      </c>
      <c r="R292" s="345">
        <v>-823817.67</v>
      </c>
    </row>
    <row r="293" spans="1:18" x14ac:dyDescent="0.2">
      <c r="A293" s="344" t="s">
        <v>745</v>
      </c>
      <c r="B293" t="s">
        <v>827</v>
      </c>
      <c r="C293" t="s">
        <v>823</v>
      </c>
      <c r="D293" t="s">
        <v>746</v>
      </c>
      <c r="E293" t="s">
        <v>829</v>
      </c>
      <c r="F293" t="s">
        <v>803</v>
      </c>
      <c r="G293" t="s">
        <v>830</v>
      </c>
      <c r="H293" t="s">
        <v>831</v>
      </c>
      <c r="I293" t="s">
        <v>722</v>
      </c>
      <c r="J293" t="s">
        <v>721</v>
      </c>
      <c r="K293"/>
      <c r="L293"/>
      <c r="M293" t="s">
        <v>750</v>
      </c>
      <c r="N293" t="s">
        <v>751</v>
      </c>
      <c r="O293"/>
      <c r="P293" t="e">
        <f>VLOOKUP(N293,#REF!,2,FALSE)</f>
        <v>#REF!</v>
      </c>
      <c r="Q293" t="s">
        <v>856</v>
      </c>
      <c r="R293" s="345">
        <v>-792433.67</v>
      </c>
    </row>
    <row r="294" spans="1:18" x14ac:dyDescent="0.2">
      <c r="A294" s="344" t="s">
        <v>749</v>
      </c>
      <c r="B294" t="s">
        <v>827</v>
      </c>
      <c r="C294" t="s">
        <v>823</v>
      </c>
      <c r="D294" t="s">
        <v>746</v>
      </c>
      <c r="E294" t="s">
        <v>829</v>
      </c>
      <c r="F294" t="s">
        <v>803</v>
      </c>
      <c r="G294" t="s">
        <v>830</v>
      </c>
      <c r="H294" t="s">
        <v>831</v>
      </c>
      <c r="I294" t="s">
        <v>722</v>
      </c>
      <c r="J294" t="s">
        <v>721</v>
      </c>
      <c r="K294"/>
      <c r="L294"/>
      <c r="M294" t="s">
        <v>750</v>
      </c>
      <c r="N294" t="s">
        <v>751</v>
      </c>
      <c r="O294"/>
      <c r="P294" t="e">
        <f>VLOOKUP(N294,#REF!,2,FALSE)</f>
        <v>#REF!</v>
      </c>
      <c r="Q294" t="s">
        <v>872</v>
      </c>
      <c r="R294" s="345">
        <v>-2896.46</v>
      </c>
    </row>
    <row r="295" spans="1:18" x14ac:dyDescent="0.2">
      <c r="A295" s="344" t="s">
        <v>752</v>
      </c>
      <c r="B295" t="s">
        <v>827</v>
      </c>
      <c r="C295" t="s">
        <v>823</v>
      </c>
      <c r="D295" t="s">
        <v>746</v>
      </c>
      <c r="E295" t="s">
        <v>829</v>
      </c>
      <c r="F295" t="s">
        <v>803</v>
      </c>
      <c r="G295" t="s">
        <v>830</v>
      </c>
      <c r="H295" t="s">
        <v>831</v>
      </c>
      <c r="I295" t="s">
        <v>722</v>
      </c>
      <c r="J295" t="s">
        <v>721</v>
      </c>
      <c r="K295"/>
      <c r="L295"/>
      <c r="M295" t="s">
        <v>750</v>
      </c>
      <c r="N295" t="s">
        <v>751</v>
      </c>
      <c r="O295"/>
      <c r="P295" t="e">
        <f>VLOOKUP(N295,#REF!,2,FALSE)</f>
        <v>#REF!</v>
      </c>
      <c r="Q295" t="s">
        <v>872</v>
      </c>
      <c r="R295" s="345">
        <v>-3601.01</v>
      </c>
    </row>
    <row r="296" spans="1:18" x14ac:dyDescent="0.2">
      <c r="A296" s="344" t="s">
        <v>753</v>
      </c>
      <c r="B296" t="s">
        <v>827</v>
      </c>
      <c r="C296" t="s">
        <v>823</v>
      </c>
      <c r="D296" t="s">
        <v>746</v>
      </c>
      <c r="E296" t="s">
        <v>829</v>
      </c>
      <c r="F296" t="s">
        <v>803</v>
      </c>
      <c r="G296" t="s">
        <v>830</v>
      </c>
      <c r="H296" t="s">
        <v>831</v>
      </c>
      <c r="I296" t="s">
        <v>722</v>
      </c>
      <c r="J296" t="s">
        <v>721</v>
      </c>
      <c r="K296"/>
      <c r="L296"/>
      <c r="M296" t="s">
        <v>750</v>
      </c>
      <c r="N296" t="s">
        <v>751</v>
      </c>
      <c r="O296"/>
      <c r="P296" t="e">
        <f>VLOOKUP(N296,#REF!,2,FALSE)</f>
        <v>#REF!</v>
      </c>
      <c r="Q296" t="s">
        <v>872</v>
      </c>
      <c r="R296" s="345">
        <v>-3484.85</v>
      </c>
    </row>
    <row r="297" spans="1:18" x14ac:dyDescent="0.2">
      <c r="A297" s="344" t="s">
        <v>754</v>
      </c>
      <c r="B297" t="s">
        <v>827</v>
      </c>
      <c r="C297" t="s">
        <v>823</v>
      </c>
      <c r="D297" t="s">
        <v>746</v>
      </c>
      <c r="E297" t="s">
        <v>829</v>
      </c>
      <c r="F297" t="s">
        <v>803</v>
      </c>
      <c r="G297" t="s">
        <v>830</v>
      </c>
      <c r="H297" t="s">
        <v>831</v>
      </c>
      <c r="I297" t="s">
        <v>722</v>
      </c>
      <c r="J297" t="s">
        <v>721</v>
      </c>
      <c r="K297"/>
      <c r="L297"/>
      <c r="M297" t="s">
        <v>750</v>
      </c>
      <c r="N297" t="s">
        <v>751</v>
      </c>
      <c r="O297"/>
      <c r="P297" t="e">
        <f>VLOOKUP(N297,#REF!,2,FALSE)</f>
        <v>#REF!</v>
      </c>
      <c r="Q297" t="s">
        <v>872</v>
      </c>
      <c r="R297" s="345">
        <v>-3608.79</v>
      </c>
    </row>
    <row r="298" spans="1:18" x14ac:dyDescent="0.2">
      <c r="A298" s="344" t="s">
        <v>755</v>
      </c>
      <c r="B298" t="s">
        <v>827</v>
      </c>
      <c r="C298" t="s">
        <v>823</v>
      </c>
      <c r="D298" t="s">
        <v>746</v>
      </c>
      <c r="E298" t="s">
        <v>829</v>
      </c>
      <c r="F298" t="s">
        <v>803</v>
      </c>
      <c r="G298" t="s">
        <v>830</v>
      </c>
      <c r="H298" t="s">
        <v>831</v>
      </c>
      <c r="I298" t="s">
        <v>722</v>
      </c>
      <c r="J298" t="s">
        <v>721</v>
      </c>
      <c r="K298"/>
      <c r="L298"/>
      <c r="M298" t="s">
        <v>750</v>
      </c>
      <c r="N298" t="s">
        <v>751</v>
      </c>
      <c r="O298"/>
      <c r="P298" t="e">
        <f>VLOOKUP(N298,#REF!,2,FALSE)</f>
        <v>#REF!</v>
      </c>
      <c r="Q298" t="s">
        <v>872</v>
      </c>
      <c r="R298" s="345">
        <v>-3492.38</v>
      </c>
    </row>
    <row r="299" spans="1:18" x14ac:dyDescent="0.2">
      <c r="A299" s="344" t="s">
        <v>756</v>
      </c>
      <c r="B299" t="s">
        <v>827</v>
      </c>
      <c r="C299" t="s">
        <v>823</v>
      </c>
      <c r="D299" t="s">
        <v>746</v>
      </c>
      <c r="E299" t="s">
        <v>829</v>
      </c>
      <c r="F299" t="s">
        <v>803</v>
      </c>
      <c r="G299" t="s">
        <v>830</v>
      </c>
      <c r="H299" t="s">
        <v>831</v>
      </c>
      <c r="I299" t="s">
        <v>722</v>
      </c>
      <c r="J299" t="s">
        <v>721</v>
      </c>
      <c r="K299"/>
      <c r="L299"/>
      <c r="M299" t="s">
        <v>750</v>
      </c>
      <c r="N299" t="s">
        <v>751</v>
      </c>
      <c r="O299"/>
      <c r="P299" t="e">
        <f>VLOOKUP(N299,#REF!,2,FALSE)</f>
        <v>#REF!</v>
      </c>
      <c r="Q299" t="s">
        <v>872</v>
      </c>
      <c r="R299" s="345">
        <v>-3608.79</v>
      </c>
    </row>
    <row r="300" spans="1:18" x14ac:dyDescent="0.2">
      <c r="A300" s="344" t="s">
        <v>757</v>
      </c>
      <c r="B300" t="s">
        <v>827</v>
      </c>
      <c r="C300" t="s">
        <v>823</v>
      </c>
      <c r="D300" t="s">
        <v>746</v>
      </c>
      <c r="E300" t="s">
        <v>829</v>
      </c>
      <c r="F300" t="s">
        <v>803</v>
      </c>
      <c r="G300" t="s">
        <v>830</v>
      </c>
      <c r="H300" t="s">
        <v>831</v>
      </c>
      <c r="I300" t="s">
        <v>722</v>
      </c>
      <c r="J300" t="s">
        <v>721</v>
      </c>
      <c r="K300"/>
      <c r="L300"/>
      <c r="M300" t="s">
        <v>750</v>
      </c>
      <c r="N300" t="s">
        <v>751</v>
      </c>
      <c r="O300"/>
      <c r="P300" t="e">
        <f>VLOOKUP(N300,#REF!,2,FALSE)</f>
        <v>#REF!</v>
      </c>
      <c r="Q300" t="s">
        <v>872</v>
      </c>
      <c r="R300" s="345">
        <v>-3616.58</v>
      </c>
    </row>
    <row r="301" spans="1:18" x14ac:dyDescent="0.2">
      <c r="A301" s="344" t="s">
        <v>758</v>
      </c>
      <c r="B301" t="s">
        <v>827</v>
      </c>
      <c r="C301" t="s">
        <v>823</v>
      </c>
      <c r="D301" t="s">
        <v>746</v>
      </c>
      <c r="E301" t="s">
        <v>829</v>
      </c>
      <c r="F301" t="s">
        <v>803</v>
      </c>
      <c r="G301" t="s">
        <v>830</v>
      </c>
      <c r="H301" t="s">
        <v>831</v>
      </c>
      <c r="I301" t="s">
        <v>722</v>
      </c>
      <c r="J301" t="s">
        <v>721</v>
      </c>
      <c r="K301"/>
      <c r="L301"/>
      <c r="M301" t="s">
        <v>750</v>
      </c>
      <c r="N301" t="s">
        <v>751</v>
      </c>
      <c r="O301"/>
      <c r="P301" t="e">
        <f>VLOOKUP(N301,#REF!,2,FALSE)</f>
        <v>#REF!</v>
      </c>
      <c r="Q301" t="s">
        <v>872</v>
      </c>
      <c r="R301" s="345">
        <v>-3266.59</v>
      </c>
    </row>
    <row r="302" spans="1:18" x14ac:dyDescent="0.2">
      <c r="A302" s="344" t="s">
        <v>759</v>
      </c>
      <c r="B302" t="s">
        <v>827</v>
      </c>
      <c r="C302" t="s">
        <v>823</v>
      </c>
      <c r="D302" t="s">
        <v>746</v>
      </c>
      <c r="E302" t="s">
        <v>829</v>
      </c>
      <c r="F302" t="s">
        <v>803</v>
      </c>
      <c r="G302" t="s">
        <v>830</v>
      </c>
      <c r="H302" t="s">
        <v>831</v>
      </c>
      <c r="I302" t="s">
        <v>722</v>
      </c>
      <c r="J302" t="s">
        <v>721</v>
      </c>
      <c r="K302"/>
      <c r="L302"/>
      <c r="M302" t="s">
        <v>750</v>
      </c>
      <c r="N302" t="s">
        <v>751</v>
      </c>
      <c r="O302"/>
      <c r="P302" t="e">
        <f>VLOOKUP(N302,#REF!,2,FALSE)</f>
        <v>#REF!</v>
      </c>
      <c r="Q302" t="s">
        <v>872</v>
      </c>
      <c r="R302" s="345">
        <v>-3616.58</v>
      </c>
    </row>
    <row r="303" spans="1:18" x14ac:dyDescent="0.2">
      <c r="A303" s="344" t="s">
        <v>743</v>
      </c>
      <c r="B303" t="s">
        <v>827</v>
      </c>
      <c r="C303" t="s">
        <v>823</v>
      </c>
      <c r="D303" t="s">
        <v>746</v>
      </c>
      <c r="E303" t="s">
        <v>829</v>
      </c>
      <c r="F303" t="s">
        <v>803</v>
      </c>
      <c r="G303" t="s">
        <v>830</v>
      </c>
      <c r="H303" t="s">
        <v>831</v>
      </c>
      <c r="I303" t="s">
        <v>722</v>
      </c>
      <c r="J303" t="s">
        <v>721</v>
      </c>
      <c r="K303"/>
      <c r="L303"/>
      <c r="M303" t="s">
        <v>750</v>
      </c>
      <c r="N303" t="s">
        <v>751</v>
      </c>
      <c r="O303"/>
      <c r="P303" t="e">
        <f>VLOOKUP(N303,#REF!,2,FALSE)</f>
        <v>#REF!</v>
      </c>
      <c r="Q303" t="s">
        <v>872</v>
      </c>
      <c r="R303" s="345">
        <v>-3532.55</v>
      </c>
    </row>
    <row r="304" spans="1:18" x14ac:dyDescent="0.2">
      <c r="A304" s="344" t="s">
        <v>760</v>
      </c>
      <c r="B304" t="s">
        <v>827</v>
      </c>
      <c r="C304" t="s">
        <v>823</v>
      </c>
      <c r="D304" t="s">
        <v>746</v>
      </c>
      <c r="E304" t="s">
        <v>829</v>
      </c>
      <c r="F304" t="s">
        <v>803</v>
      </c>
      <c r="G304" t="s">
        <v>830</v>
      </c>
      <c r="H304" t="s">
        <v>831</v>
      </c>
      <c r="I304" t="s">
        <v>722</v>
      </c>
      <c r="J304" t="s">
        <v>721</v>
      </c>
      <c r="K304"/>
      <c r="L304"/>
      <c r="M304" t="s">
        <v>750</v>
      </c>
      <c r="N304" t="s">
        <v>751</v>
      </c>
      <c r="O304"/>
      <c r="P304" t="e">
        <f>VLOOKUP(N304,#REF!,2,FALSE)</f>
        <v>#REF!</v>
      </c>
      <c r="Q304" t="s">
        <v>872</v>
      </c>
      <c r="R304" s="345">
        <v>-3650.3</v>
      </c>
    </row>
    <row r="305" spans="1:18" x14ac:dyDescent="0.2">
      <c r="A305" s="344" t="s">
        <v>745</v>
      </c>
      <c r="B305" t="s">
        <v>827</v>
      </c>
      <c r="C305" t="s">
        <v>823</v>
      </c>
      <c r="D305" t="s">
        <v>746</v>
      </c>
      <c r="E305" t="s">
        <v>829</v>
      </c>
      <c r="F305" t="s">
        <v>803</v>
      </c>
      <c r="G305" t="s">
        <v>830</v>
      </c>
      <c r="H305" t="s">
        <v>831</v>
      </c>
      <c r="I305" t="s">
        <v>722</v>
      </c>
      <c r="J305" t="s">
        <v>721</v>
      </c>
      <c r="K305"/>
      <c r="L305"/>
      <c r="M305" t="s">
        <v>750</v>
      </c>
      <c r="N305" t="s">
        <v>751</v>
      </c>
      <c r="O305"/>
      <c r="P305" t="e">
        <f>VLOOKUP(N305,#REF!,2,FALSE)</f>
        <v>#REF!</v>
      </c>
      <c r="Q305" t="s">
        <v>872</v>
      </c>
      <c r="R305" s="345">
        <v>-3532.55</v>
      </c>
    </row>
    <row r="306" spans="1:18" x14ac:dyDescent="0.2">
      <c r="A306" s="344" t="s">
        <v>749</v>
      </c>
      <c r="B306" t="s">
        <v>827</v>
      </c>
      <c r="C306" t="s">
        <v>823</v>
      </c>
      <c r="D306" t="s">
        <v>746</v>
      </c>
      <c r="E306" t="s">
        <v>829</v>
      </c>
      <c r="F306" t="s">
        <v>803</v>
      </c>
      <c r="G306" t="s">
        <v>830</v>
      </c>
      <c r="H306" t="s">
        <v>831</v>
      </c>
      <c r="I306" t="s">
        <v>722</v>
      </c>
      <c r="J306" t="s">
        <v>721</v>
      </c>
      <c r="K306"/>
      <c r="L306"/>
      <c r="M306" t="s">
        <v>750</v>
      </c>
      <c r="N306" t="s">
        <v>751</v>
      </c>
      <c r="O306"/>
      <c r="P306" t="e">
        <f>VLOOKUP(N306,#REF!,2,FALSE)</f>
        <v>#REF!</v>
      </c>
      <c r="Q306" t="s">
        <v>873</v>
      </c>
      <c r="R306" s="345">
        <v>-219783.34</v>
      </c>
    </row>
    <row r="307" spans="1:18" x14ac:dyDescent="0.2">
      <c r="A307" s="344" t="s">
        <v>752</v>
      </c>
      <c r="B307" t="s">
        <v>827</v>
      </c>
      <c r="C307" t="s">
        <v>823</v>
      </c>
      <c r="D307" t="s">
        <v>746</v>
      </c>
      <c r="E307" t="s">
        <v>829</v>
      </c>
      <c r="F307" t="s">
        <v>803</v>
      </c>
      <c r="G307" t="s">
        <v>830</v>
      </c>
      <c r="H307" t="s">
        <v>831</v>
      </c>
      <c r="I307" t="s">
        <v>722</v>
      </c>
      <c r="J307" t="s">
        <v>721</v>
      </c>
      <c r="K307"/>
      <c r="L307"/>
      <c r="M307" t="s">
        <v>750</v>
      </c>
      <c r="N307" t="s">
        <v>751</v>
      </c>
      <c r="O307"/>
      <c r="P307" t="e">
        <f>VLOOKUP(N307,#REF!,2,FALSE)</f>
        <v>#REF!</v>
      </c>
      <c r="Q307" t="s">
        <v>873</v>
      </c>
      <c r="R307" s="345">
        <v>-220244.68</v>
      </c>
    </row>
    <row r="308" spans="1:18" x14ac:dyDescent="0.2">
      <c r="A308" s="344" t="s">
        <v>753</v>
      </c>
      <c r="B308" t="s">
        <v>827</v>
      </c>
      <c r="C308" t="s">
        <v>823</v>
      </c>
      <c r="D308" t="s">
        <v>746</v>
      </c>
      <c r="E308" t="s">
        <v>829</v>
      </c>
      <c r="F308" t="s">
        <v>803</v>
      </c>
      <c r="G308" t="s">
        <v>830</v>
      </c>
      <c r="H308" t="s">
        <v>831</v>
      </c>
      <c r="I308" t="s">
        <v>722</v>
      </c>
      <c r="J308" t="s">
        <v>721</v>
      </c>
      <c r="K308"/>
      <c r="L308"/>
      <c r="M308" t="s">
        <v>750</v>
      </c>
      <c r="N308" t="s">
        <v>751</v>
      </c>
      <c r="O308"/>
      <c r="P308" t="e">
        <f>VLOOKUP(N308,#REF!,2,FALSE)</f>
        <v>#REF!</v>
      </c>
      <c r="Q308" t="s">
        <v>873</v>
      </c>
      <c r="R308" s="345">
        <v>-212439</v>
      </c>
    </row>
    <row r="309" spans="1:18" x14ac:dyDescent="0.2">
      <c r="A309" s="344" t="s">
        <v>754</v>
      </c>
      <c r="B309" t="s">
        <v>827</v>
      </c>
      <c r="C309" t="s">
        <v>823</v>
      </c>
      <c r="D309" t="s">
        <v>746</v>
      </c>
      <c r="E309" t="s">
        <v>829</v>
      </c>
      <c r="F309" t="s">
        <v>803</v>
      </c>
      <c r="G309" t="s">
        <v>830</v>
      </c>
      <c r="H309" t="s">
        <v>831</v>
      </c>
      <c r="I309" t="s">
        <v>722</v>
      </c>
      <c r="J309" t="s">
        <v>721</v>
      </c>
      <c r="K309"/>
      <c r="L309"/>
      <c r="M309" t="s">
        <v>750</v>
      </c>
      <c r="N309" t="s">
        <v>751</v>
      </c>
      <c r="O309"/>
      <c r="P309" t="e">
        <f>VLOOKUP(N309,#REF!,2,FALSE)</f>
        <v>#REF!</v>
      </c>
      <c r="Q309" t="s">
        <v>873</v>
      </c>
      <c r="R309" s="345">
        <v>-274192.89</v>
      </c>
    </row>
    <row r="310" spans="1:18" x14ac:dyDescent="0.2">
      <c r="A310" s="344" t="s">
        <v>755</v>
      </c>
      <c r="B310" t="s">
        <v>827</v>
      </c>
      <c r="C310" t="s">
        <v>823</v>
      </c>
      <c r="D310" t="s">
        <v>746</v>
      </c>
      <c r="E310" t="s">
        <v>829</v>
      </c>
      <c r="F310" t="s">
        <v>803</v>
      </c>
      <c r="G310" t="s">
        <v>830</v>
      </c>
      <c r="H310" t="s">
        <v>831</v>
      </c>
      <c r="I310" t="s">
        <v>722</v>
      </c>
      <c r="J310" t="s">
        <v>721</v>
      </c>
      <c r="K310"/>
      <c r="L310"/>
      <c r="M310" t="s">
        <v>750</v>
      </c>
      <c r="N310" t="s">
        <v>751</v>
      </c>
      <c r="O310"/>
      <c r="P310" t="e">
        <f>VLOOKUP(N310,#REF!,2,FALSE)</f>
        <v>#REF!</v>
      </c>
      <c r="Q310" t="s">
        <v>873</v>
      </c>
      <c r="R310" s="345">
        <v>-292718.3</v>
      </c>
    </row>
    <row r="311" spans="1:18" x14ac:dyDescent="0.2">
      <c r="A311" s="344" t="s">
        <v>756</v>
      </c>
      <c r="B311" t="s">
        <v>827</v>
      </c>
      <c r="C311" t="s">
        <v>823</v>
      </c>
      <c r="D311" t="s">
        <v>746</v>
      </c>
      <c r="E311" t="s">
        <v>829</v>
      </c>
      <c r="F311" t="s">
        <v>803</v>
      </c>
      <c r="G311" t="s">
        <v>830</v>
      </c>
      <c r="H311" t="s">
        <v>831</v>
      </c>
      <c r="I311" t="s">
        <v>722</v>
      </c>
      <c r="J311" t="s">
        <v>721</v>
      </c>
      <c r="K311"/>
      <c r="L311"/>
      <c r="M311" t="s">
        <v>750</v>
      </c>
      <c r="N311" t="s">
        <v>751</v>
      </c>
      <c r="O311"/>
      <c r="P311" t="e">
        <f>VLOOKUP(N311,#REF!,2,FALSE)</f>
        <v>#REF!</v>
      </c>
      <c r="Q311" t="s">
        <v>873</v>
      </c>
      <c r="R311" s="345">
        <v>-288102.32</v>
      </c>
    </row>
    <row r="312" spans="1:18" x14ac:dyDescent="0.2">
      <c r="A312" s="344" t="s">
        <v>757</v>
      </c>
      <c r="B312" t="s">
        <v>827</v>
      </c>
      <c r="C312" t="s">
        <v>823</v>
      </c>
      <c r="D312" t="s">
        <v>746</v>
      </c>
      <c r="E312" t="s">
        <v>829</v>
      </c>
      <c r="F312" t="s">
        <v>803</v>
      </c>
      <c r="G312" t="s">
        <v>830</v>
      </c>
      <c r="H312" t="s">
        <v>831</v>
      </c>
      <c r="I312" t="s">
        <v>722</v>
      </c>
      <c r="J312" t="s">
        <v>721</v>
      </c>
      <c r="K312"/>
      <c r="L312"/>
      <c r="M312" t="s">
        <v>750</v>
      </c>
      <c r="N312" t="s">
        <v>751</v>
      </c>
      <c r="O312"/>
      <c r="P312" t="e">
        <f>VLOOKUP(N312,#REF!,2,FALSE)</f>
        <v>#REF!</v>
      </c>
      <c r="Q312" t="s">
        <v>873</v>
      </c>
      <c r="R312" s="345">
        <v>-78621.89</v>
      </c>
    </row>
    <row r="313" spans="1:18" x14ac:dyDescent="0.2">
      <c r="A313" s="344" t="s">
        <v>758</v>
      </c>
      <c r="B313" t="s">
        <v>827</v>
      </c>
      <c r="C313" t="s">
        <v>823</v>
      </c>
      <c r="D313" t="s">
        <v>746</v>
      </c>
      <c r="E313" t="s">
        <v>829</v>
      </c>
      <c r="F313" t="s">
        <v>803</v>
      </c>
      <c r="G313" t="s">
        <v>830</v>
      </c>
      <c r="H313" t="s">
        <v>831</v>
      </c>
      <c r="I313" t="s">
        <v>722</v>
      </c>
      <c r="J313" t="s">
        <v>721</v>
      </c>
      <c r="K313"/>
      <c r="L313"/>
      <c r="M313" t="s">
        <v>750</v>
      </c>
      <c r="N313" t="s">
        <v>751</v>
      </c>
      <c r="O313"/>
      <c r="P313" t="e">
        <f>VLOOKUP(N313,#REF!,2,FALSE)</f>
        <v>#REF!</v>
      </c>
      <c r="Q313" t="s">
        <v>873</v>
      </c>
      <c r="R313" s="345">
        <v>-71013.320000000007</v>
      </c>
    </row>
    <row r="314" spans="1:18" x14ac:dyDescent="0.2">
      <c r="A314" s="344" t="s">
        <v>759</v>
      </c>
      <c r="B314" t="s">
        <v>827</v>
      </c>
      <c r="C314" t="s">
        <v>823</v>
      </c>
      <c r="D314" t="s">
        <v>746</v>
      </c>
      <c r="E314" t="s">
        <v>829</v>
      </c>
      <c r="F314" t="s">
        <v>803</v>
      </c>
      <c r="G314" t="s">
        <v>830</v>
      </c>
      <c r="H314" t="s">
        <v>831</v>
      </c>
      <c r="I314" t="s">
        <v>722</v>
      </c>
      <c r="J314" t="s">
        <v>721</v>
      </c>
      <c r="K314"/>
      <c r="L314"/>
      <c r="M314" t="s">
        <v>750</v>
      </c>
      <c r="N314" t="s">
        <v>751</v>
      </c>
      <c r="O314"/>
      <c r="P314" t="e">
        <f>VLOOKUP(N314,#REF!,2,FALSE)</f>
        <v>#REF!</v>
      </c>
      <c r="Q314" t="s">
        <v>873</v>
      </c>
      <c r="R314" s="345">
        <v>-78621.89</v>
      </c>
    </row>
    <row r="315" spans="1:18" x14ac:dyDescent="0.2">
      <c r="A315" s="344" t="s">
        <v>743</v>
      </c>
      <c r="B315" t="s">
        <v>827</v>
      </c>
      <c r="C315" t="s">
        <v>823</v>
      </c>
      <c r="D315" t="s">
        <v>746</v>
      </c>
      <c r="E315" t="s">
        <v>829</v>
      </c>
      <c r="F315" t="s">
        <v>803</v>
      </c>
      <c r="G315" t="s">
        <v>830</v>
      </c>
      <c r="H315" t="s">
        <v>831</v>
      </c>
      <c r="I315" t="s">
        <v>722</v>
      </c>
      <c r="J315" t="s">
        <v>721</v>
      </c>
      <c r="K315"/>
      <c r="L315"/>
      <c r="M315" t="s">
        <v>750</v>
      </c>
      <c r="N315" t="s">
        <v>751</v>
      </c>
      <c r="O315"/>
      <c r="P315" t="e">
        <f>VLOOKUP(N315,#REF!,2,FALSE)</f>
        <v>#REF!</v>
      </c>
      <c r="Q315" t="s">
        <v>873</v>
      </c>
      <c r="R315" s="345">
        <v>-76085.7</v>
      </c>
    </row>
    <row r="316" spans="1:18" x14ac:dyDescent="0.2">
      <c r="A316" s="344" t="s">
        <v>760</v>
      </c>
      <c r="B316" t="s">
        <v>827</v>
      </c>
      <c r="C316" t="s">
        <v>823</v>
      </c>
      <c r="D316" t="s">
        <v>746</v>
      </c>
      <c r="E316" t="s">
        <v>829</v>
      </c>
      <c r="F316" t="s">
        <v>803</v>
      </c>
      <c r="G316" t="s">
        <v>830</v>
      </c>
      <c r="H316" t="s">
        <v>831</v>
      </c>
      <c r="I316" t="s">
        <v>722</v>
      </c>
      <c r="J316" t="s">
        <v>721</v>
      </c>
      <c r="K316"/>
      <c r="L316"/>
      <c r="M316" t="s">
        <v>750</v>
      </c>
      <c r="N316" t="s">
        <v>751</v>
      </c>
      <c r="O316"/>
      <c r="P316" t="e">
        <f>VLOOKUP(N316,#REF!,2,FALSE)</f>
        <v>#REF!</v>
      </c>
      <c r="Q316" t="s">
        <v>873</v>
      </c>
      <c r="R316" s="345">
        <v>-78621.89</v>
      </c>
    </row>
    <row r="317" spans="1:18" x14ac:dyDescent="0.2">
      <c r="A317" s="344" t="s">
        <v>745</v>
      </c>
      <c r="B317" t="s">
        <v>827</v>
      </c>
      <c r="C317" t="s">
        <v>823</v>
      </c>
      <c r="D317" t="s">
        <v>746</v>
      </c>
      <c r="E317" t="s">
        <v>829</v>
      </c>
      <c r="F317" t="s">
        <v>803</v>
      </c>
      <c r="G317" t="s">
        <v>830</v>
      </c>
      <c r="H317" t="s">
        <v>831</v>
      </c>
      <c r="I317" t="s">
        <v>722</v>
      </c>
      <c r="J317" t="s">
        <v>721</v>
      </c>
      <c r="K317"/>
      <c r="L317"/>
      <c r="M317" t="s">
        <v>750</v>
      </c>
      <c r="N317" t="s">
        <v>751</v>
      </c>
      <c r="O317"/>
      <c r="P317" t="e">
        <f>VLOOKUP(N317,#REF!,2,FALSE)</f>
        <v>#REF!</v>
      </c>
      <c r="Q317" t="s">
        <v>873</v>
      </c>
      <c r="R317" s="345">
        <v>-76085.7</v>
      </c>
    </row>
    <row r="318" spans="1:18" x14ac:dyDescent="0.2">
      <c r="A318" s="344" t="s">
        <v>749</v>
      </c>
      <c r="B318" t="s">
        <v>827</v>
      </c>
      <c r="C318" t="s">
        <v>823</v>
      </c>
      <c r="D318" t="s">
        <v>746</v>
      </c>
      <c r="E318" t="s">
        <v>829</v>
      </c>
      <c r="F318" t="s">
        <v>803</v>
      </c>
      <c r="G318" t="s">
        <v>830</v>
      </c>
      <c r="H318" t="s">
        <v>831</v>
      </c>
      <c r="I318" t="s">
        <v>722</v>
      </c>
      <c r="J318" t="s">
        <v>721</v>
      </c>
      <c r="K318"/>
      <c r="L318"/>
      <c r="M318" t="s">
        <v>750</v>
      </c>
      <c r="N318" t="s">
        <v>751</v>
      </c>
      <c r="O318"/>
      <c r="P318" t="e">
        <f>VLOOKUP(N318,#REF!,2,FALSE)</f>
        <v>#REF!</v>
      </c>
      <c r="Q318" t="s">
        <v>874</v>
      </c>
      <c r="R318" s="345">
        <v>-4153141.18</v>
      </c>
    </row>
    <row r="319" spans="1:18" x14ac:dyDescent="0.2">
      <c r="A319" s="344" t="s">
        <v>752</v>
      </c>
      <c r="B319" t="s">
        <v>827</v>
      </c>
      <c r="C319" t="s">
        <v>823</v>
      </c>
      <c r="D319" t="s">
        <v>746</v>
      </c>
      <c r="E319" t="s">
        <v>829</v>
      </c>
      <c r="F319" t="s">
        <v>803</v>
      </c>
      <c r="G319" t="s">
        <v>830</v>
      </c>
      <c r="H319" t="s">
        <v>831</v>
      </c>
      <c r="I319" t="s">
        <v>722</v>
      </c>
      <c r="J319" t="s">
        <v>721</v>
      </c>
      <c r="K319"/>
      <c r="L319"/>
      <c r="M319" t="s">
        <v>750</v>
      </c>
      <c r="N319" t="s">
        <v>751</v>
      </c>
      <c r="O319"/>
      <c r="P319" t="e">
        <f>VLOOKUP(N319,#REF!,2,FALSE)</f>
        <v>#REF!</v>
      </c>
      <c r="Q319" t="s">
        <v>874</v>
      </c>
      <c r="R319" s="345">
        <v>-4013011.18</v>
      </c>
    </row>
    <row r="320" spans="1:18" x14ac:dyDescent="0.2">
      <c r="A320" s="344" t="s">
        <v>753</v>
      </c>
      <c r="B320" t="s">
        <v>827</v>
      </c>
      <c r="C320" t="s">
        <v>823</v>
      </c>
      <c r="D320" t="s">
        <v>746</v>
      </c>
      <c r="E320" t="s">
        <v>829</v>
      </c>
      <c r="F320" t="s">
        <v>803</v>
      </c>
      <c r="G320" t="s">
        <v>830</v>
      </c>
      <c r="H320" t="s">
        <v>831</v>
      </c>
      <c r="I320" t="s">
        <v>722</v>
      </c>
      <c r="J320" t="s">
        <v>721</v>
      </c>
      <c r="K320"/>
      <c r="L320"/>
      <c r="M320" t="s">
        <v>750</v>
      </c>
      <c r="N320" t="s">
        <v>751</v>
      </c>
      <c r="O320"/>
      <c r="P320" t="e">
        <f>VLOOKUP(N320,#REF!,2,FALSE)</f>
        <v>#REF!</v>
      </c>
      <c r="Q320" t="s">
        <v>874</v>
      </c>
      <c r="R320" s="345">
        <v>-3979183.67</v>
      </c>
    </row>
    <row r="321" spans="1:18" x14ac:dyDescent="0.2">
      <c r="A321" s="344" t="s">
        <v>754</v>
      </c>
      <c r="B321" t="s">
        <v>827</v>
      </c>
      <c r="C321" t="s">
        <v>823</v>
      </c>
      <c r="D321" t="s">
        <v>746</v>
      </c>
      <c r="E321" t="s">
        <v>829</v>
      </c>
      <c r="F321" t="s">
        <v>803</v>
      </c>
      <c r="G321" t="s">
        <v>830</v>
      </c>
      <c r="H321" t="s">
        <v>831</v>
      </c>
      <c r="I321" t="s">
        <v>722</v>
      </c>
      <c r="J321" t="s">
        <v>721</v>
      </c>
      <c r="K321"/>
      <c r="L321"/>
      <c r="M321" t="s">
        <v>750</v>
      </c>
      <c r="N321" t="s">
        <v>751</v>
      </c>
      <c r="O321"/>
      <c r="P321" t="e">
        <f>VLOOKUP(N321,#REF!,2,FALSE)</f>
        <v>#REF!</v>
      </c>
      <c r="Q321" t="s">
        <v>874</v>
      </c>
      <c r="R321" s="345">
        <v>-2274468.65</v>
      </c>
    </row>
    <row r="322" spans="1:18" x14ac:dyDescent="0.2">
      <c r="A322" s="344" t="s">
        <v>755</v>
      </c>
      <c r="B322" t="s">
        <v>827</v>
      </c>
      <c r="C322" t="s">
        <v>823</v>
      </c>
      <c r="D322" t="s">
        <v>746</v>
      </c>
      <c r="E322" t="s">
        <v>829</v>
      </c>
      <c r="F322" t="s">
        <v>803</v>
      </c>
      <c r="G322" t="s">
        <v>830</v>
      </c>
      <c r="H322" t="s">
        <v>831</v>
      </c>
      <c r="I322" t="s">
        <v>722</v>
      </c>
      <c r="J322" t="s">
        <v>721</v>
      </c>
      <c r="K322"/>
      <c r="L322"/>
      <c r="M322" t="s">
        <v>750</v>
      </c>
      <c r="N322" t="s">
        <v>751</v>
      </c>
      <c r="O322"/>
      <c r="P322" t="e">
        <f>VLOOKUP(N322,#REF!,2,FALSE)</f>
        <v>#REF!</v>
      </c>
      <c r="Q322" t="s">
        <v>874</v>
      </c>
      <c r="R322" s="345">
        <v>-2935885.69</v>
      </c>
    </row>
    <row r="323" spans="1:18" x14ac:dyDescent="0.2">
      <c r="A323" s="344" t="s">
        <v>756</v>
      </c>
      <c r="B323" t="s">
        <v>827</v>
      </c>
      <c r="C323" t="s">
        <v>823</v>
      </c>
      <c r="D323" t="s">
        <v>746</v>
      </c>
      <c r="E323" t="s">
        <v>829</v>
      </c>
      <c r="F323" t="s">
        <v>803</v>
      </c>
      <c r="G323" t="s">
        <v>830</v>
      </c>
      <c r="H323" t="s">
        <v>831</v>
      </c>
      <c r="I323" t="s">
        <v>722</v>
      </c>
      <c r="J323" t="s">
        <v>721</v>
      </c>
      <c r="K323"/>
      <c r="L323"/>
      <c r="M323" t="s">
        <v>750</v>
      </c>
      <c r="N323" t="s">
        <v>751</v>
      </c>
      <c r="O323"/>
      <c r="P323" t="e">
        <f>VLOOKUP(N323,#REF!,2,FALSE)</f>
        <v>#REF!</v>
      </c>
      <c r="Q323" t="s">
        <v>874</v>
      </c>
      <c r="R323" s="345">
        <v>-3124575.02</v>
      </c>
    </row>
    <row r="324" spans="1:18" x14ac:dyDescent="0.2">
      <c r="A324" s="344" t="s">
        <v>757</v>
      </c>
      <c r="B324" t="s">
        <v>827</v>
      </c>
      <c r="C324" t="s">
        <v>823</v>
      </c>
      <c r="D324" t="s">
        <v>746</v>
      </c>
      <c r="E324" t="s">
        <v>829</v>
      </c>
      <c r="F324" t="s">
        <v>803</v>
      </c>
      <c r="G324" t="s">
        <v>830</v>
      </c>
      <c r="H324" t="s">
        <v>831</v>
      </c>
      <c r="I324" t="s">
        <v>722</v>
      </c>
      <c r="J324" t="s">
        <v>721</v>
      </c>
      <c r="K324"/>
      <c r="L324"/>
      <c r="M324" t="s">
        <v>750</v>
      </c>
      <c r="N324" t="s">
        <v>751</v>
      </c>
      <c r="O324"/>
      <c r="P324" t="e">
        <f>VLOOKUP(N324,#REF!,2,FALSE)</f>
        <v>#REF!</v>
      </c>
      <c r="Q324" t="s">
        <v>874</v>
      </c>
      <c r="R324" s="345">
        <v>-3585069.29</v>
      </c>
    </row>
    <row r="325" spans="1:18" x14ac:dyDescent="0.2">
      <c r="A325" s="344" t="s">
        <v>758</v>
      </c>
      <c r="B325" t="s">
        <v>827</v>
      </c>
      <c r="C325" t="s">
        <v>823</v>
      </c>
      <c r="D325" t="s">
        <v>746</v>
      </c>
      <c r="E325" t="s">
        <v>829</v>
      </c>
      <c r="F325" t="s">
        <v>803</v>
      </c>
      <c r="G325" t="s">
        <v>830</v>
      </c>
      <c r="H325" t="s">
        <v>831</v>
      </c>
      <c r="I325" t="s">
        <v>722</v>
      </c>
      <c r="J325" t="s">
        <v>721</v>
      </c>
      <c r="K325"/>
      <c r="L325"/>
      <c r="M325" t="s">
        <v>750</v>
      </c>
      <c r="N325" t="s">
        <v>751</v>
      </c>
      <c r="O325"/>
      <c r="P325" t="e">
        <f>VLOOKUP(N325,#REF!,2,FALSE)</f>
        <v>#REF!</v>
      </c>
      <c r="Q325" t="s">
        <v>874</v>
      </c>
      <c r="R325" s="345">
        <v>-3201122.46</v>
      </c>
    </row>
    <row r="326" spans="1:18" x14ac:dyDescent="0.2">
      <c r="A326" s="344" t="s">
        <v>759</v>
      </c>
      <c r="B326" t="s">
        <v>827</v>
      </c>
      <c r="C326" t="s">
        <v>823</v>
      </c>
      <c r="D326" t="s">
        <v>746</v>
      </c>
      <c r="E326" t="s">
        <v>829</v>
      </c>
      <c r="F326" t="s">
        <v>803</v>
      </c>
      <c r="G326" t="s">
        <v>830</v>
      </c>
      <c r="H326" t="s">
        <v>831</v>
      </c>
      <c r="I326" t="s">
        <v>722</v>
      </c>
      <c r="J326" t="s">
        <v>721</v>
      </c>
      <c r="K326"/>
      <c r="L326"/>
      <c r="M326" t="s">
        <v>750</v>
      </c>
      <c r="N326" t="s">
        <v>751</v>
      </c>
      <c r="O326"/>
      <c r="P326" t="e">
        <f>VLOOKUP(N326,#REF!,2,FALSE)</f>
        <v>#REF!</v>
      </c>
      <c r="Q326" t="s">
        <v>874</v>
      </c>
      <c r="R326" s="345">
        <v>-3496673.84</v>
      </c>
    </row>
    <row r="327" spans="1:18" x14ac:dyDescent="0.2">
      <c r="A327" s="344" t="s">
        <v>743</v>
      </c>
      <c r="B327" t="s">
        <v>827</v>
      </c>
      <c r="C327" t="s">
        <v>823</v>
      </c>
      <c r="D327" t="s">
        <v>746</v>
      </c>
      <c r="E327" t="s">
        <v>829</v>
      </c>
      <c r="F327" t="s">
        <v>803</v>
      </c>
      <c r="G327" t="s">
        <v>830</v>
      </c>
      <c r="H327" t="s">
        <v>831</v>
      </c>
      <c r="I327" t="s">
        <v>722</v>
      </c>
      <c r="J327" t="s">
        <v>721</v>
      </c>
      <c r="K327"/>
      <c r="L327"/>
      <c r="M327" t="s">
        <v>750</v>
      </c>
      <c r="N327" t="s">
        <v>751</v>
      </c>
      <c r="O327"/>
      <c r="P327" t="e">
        <f>VLOOKUP(N327,#REF!,2,FALSE)</f>
        <v>#REF!</v>
      </c>
      <c r="Q327" t="s">
        <v>874</v>
      </c>
      <c r="R327" s="345">
        <v>-2254143.38</v>
      </c>
    </row>
    <row r="328" spans="1:18" x14ac:dyDescent="0.2">
      <c r="A328" s="344" t="s">
        <v>760</v>
      </c>
      <c r="B328" t="s">
        <v>827</v>
      </c>
      <c r="C328" t="s">
        <v>823</v>
      </c>
      <c r="D328" t="s">
        <v>746</v>
      </c>
      <c r="E328" t="s">
        <v>829</v>
      </c>
      <c r="F328" t="s">
        <v>803</v>
      </c>
      <c r="G328" t="s">
        <v>830</v>
      </c>
      <c r="H328" t="s">
        <v>831</v>
      </c>
      <c r="I328" t="s">
        <v>722</v>
      </c>
      <c r="J328" t="s">
        <v>721</v>
      </c>
      <c r="K328"/>
      <c r="L328"/>
      <c r="M328" t="s">
        <v>750</v>
      </c>
      <c r="N328" t="s">
        <v>751</v>
      </c>
      <c r="O328"/>
      <c r="P328" t="e">
        <f>VLOOKUP(N328,#REF!,2,FALSE)</f>
        <v>#REF!</v>
      </c>
      <c r="Q328" t="s">
        <v>874</v>
      </c>
      <c r="R328" s="345">
        <v>-5025464.59</v>
      </c>
    </row>
    <row r="329" spans="1:18" x14ac:dyDescent="0.2">
      <c r="A329" s="344" t="s">
        <v>745</v>
      </c>
      <c r="B329" t="s">
        <v>827</v>
      </c>
      <c r="C329" t="s">
        <v>823</v>
      </c>
      <c r="D329" t="s">
        <v>746</v>
      </c>
      <c r="E329" t="s">
        <v>829</v>
      </c>
      <c r="F329" t="s">
        <v>803</v>
      </c>
      <c r="G329" t="s">
        <v>830</v>
      </c>
      <c r="H329" t="s">
        <v>831</v>
      </c>
      <c r="I329" t="s">
        <v>722</v>
      </c>
      <c r="J329" t="s">
        <v>721</v>
      </c>
      <c r="K329"/>
      <c r="L329"/>
      <c r="M329" t="s">
        <v>750</v>
      </c>
      <c r="N329" t="s">
        <v>751</v>
      </c>
      <c r="O329"/>
      <c r="P329" t="e">
        <f>VLOOKUP(N329,#REF!,2,FALSE)</f>
        <v>#REF!</v>
      </c>
      <c r="Q329" t="s">
        <v>874</v>
      </c>
      <c r="R329" s="345">
        <v>-4864077.68</v>
      </c>
    </row>
    <row r="330" spans="1:18" x14ac:dyDescent="0.2">
      <c r="A330" s="344" t="s">
        <v>758</v>
      </c>
      <c r="B330" t="s">
        <v>827</v>
      </c>
      <c r="C330" t="s">
        <v>823</v>
      </c>
      <c r="D330" t="s">
        <v>746</v>
      </c>
      <c r="E330" t="s">
        <v>829</v>
      </c>
      <c r="F330" t="s">
        <v>803</v>
      </c>
      <c r="G330" t="s">
        <v>830</v>
      </c>
      <c r="H330" t="s">
        <v>831</v>
      </c>
      <c r="I330" t="s">
        <v>722</v>
      </c>
      <c r="J330" t="s">
        <v>721</v>
      </c>
      <c r="K330"/>
      <c r="L330"/>
      <c r="M330" t="s">
        <v>750</v>
      </c>
      <c r="N330" t="s">
        <v>751</v>
      </c>
      <c r="O330"/>
      <c r="P330" t="e">
        <f>VLOOKUP(N330,#REF!,2,FALSE)</f>
        <v>#REF!</v>
      </c>
      <c r="Q330" t="s">
        <v>835</v>
      </c>
      <c r="R330" s="345">
        <v>-8806.0499999999993</v>
      </c>
    </row>
    <row r="331" spans="1:18" x14ac:dyDescent="0.2">
      <c r="A331" s="344" t="s">
        <v>759</v>
      </c>
      <c r="B331" t="s">
        <v>827</v>
      </c>
      <c r="C331" t="s">
        <v>823</v>
      </c>
      <c r="D331" t="s">
        <v>746</v>
      </c>
      <c r="E331" t="s">
        <v>829</v>
      </c>
      <c r="F331" t="s">
        <v>803</v>
      </c>
      <c r="G331" t="s">
        <v>830</v>
      </c>
      <c r="H331" t="s">
        <v>831</v>
      </c>
      <c r="I331" t="s">
        <v>722</v>
      </c>
      <c r="J331" t="s">
        <v>721</v>
      </c>
      <c r="K331"/>
      <c r="L331"/>
      <c r="M331" t="s">
        <v>750</v>
      </c>
      <c r="N331" t="s">
        <v>751</v>
      </c>
      <c r="O331"/>
      <c r="P331" t="e">
        <f>VLOOKUP(N331,#REF!,2,FALSE)</f>
        <v>#REF!</v>
      </c>
      <c r="Q331" t="s">
        <v>835</v>
      </c>
      <c r="R331" s="345">
        <v>8806.0499999999993</v>
      </c>
    </row>
    <row r="332" spans="1:18" x14ac:dyDescent="0.2">
      <c r="A332" s="344" t="s">
        <v>749</v>
      </c>
      <c r="B332" t="s">
        <v>827</v>
      </c>
      <c r="C332" t="s">
        <v>823</v>
      </c>
      <c r="D332" t="s">
        <v>746</v>
      </c>
      <c r="E332" t="s">
        <v>829</v>
      </c>
      <c r="F332" t="s">
        <v>803</v>
      </c>
      <c r="G332" t="s">
        <v>830</v>
      </c>
      <c r="H332" t="s">
        <v>831</v>
      </c>
      <c r="I332" t="s">
        <v>722</v>
      </c>
      <c r="J332" t="s">
        <v>721</v>
      </c>
      <c r="K332"/>
      <c r="L332"/>
      <c r="M332" t="s">
        <v>750</v>
      </c>
      <c r="N332" t="s">
        <v>751</v>
      </c>
      <c r="O332"/>
      <c r="P332" t="e">
        <f>VLOOKUP(N332,#REF!,2,FALSE)</f>
        <v>#REF!</v>
      </c>
      <c r="Q332" t="s">
        <v>859</v>
      </c>
      <c r="R332" s="345">
        <v>-8810.15</v>
      </c>
    </row>
    <row r="333" spans="1:18" x14ac:dyDescent="0.2">
      <c r="A333" s="344" t="s">
        <v>752</v>
      </c>
      <c r="B333" t="s">
        <v>827</v>
      </c>
      <c r="C333" t="s">
        <v>823</v>
      </c>
      <c r="D333" t="s">
        <v>746</v>
      </c>
      <c r="E333" t="s">
        <v>829</v>
      </c>
      <c r="F333" t="s">
        <v>803</v>
      </c>
      <c r="G333" t="s">
        <v>830</v>
      </c>
      <c r="H333" t="s">
        <v>831</v>
      </c>
      <c r="I333" t="s">
        <v>722</v>
      </c>
      <c r="J333" t="s">
        <v>721</v>
      </c>
      <c r="K333"/>
      <c r="L333"/>
      <c r="M333" t="s">
        <v>750</v>
      </c>
      <c r="N333" t="s">
        <v>751</v>
      </c>
      <c r="O333"/>
      <c r="P333" t="e">
        <f>VLOOKUP(N333,#REF!,2,FALSE)</f>
        <v>#REF!</v>
      </c>
      <c r="Q333" t="s">
        <v>859</v>
      </c>
      <c r="R333" s="345">
        <v>0</v>
      </c>
    </row>
    <row r="334" spans="1:18" x14ac:dyDescent="0.2">
      <c r="A334" s="344" t="s">
        <v>753</v>
      </c>
      <c r="B334" t="s">
        <v>827</v>
      </c>
      <c r="C334" t="s">
        <v>823</v>
      </c>
      <c r="D334" t="s">
        <v>746</v>
      </c>
      <c r="E334" t="s">
        <v>829</v>
      </c>
      <c r="F334" t="s">
        <v>803</v>
      </c>
      <c r="G334" t="s">
        <v>830</v>
      </c>
      <c r="H334" t="s">
        <v>831</v>
      </c>
      <c r="I334" t="s">
        <v>722</v>
      </c>
      <c r="J334" t="s">
        <v>721</v>
      </c>
      <c r="K334"/>
      <c r="L334"/>
      <c r="M334" t="s">
        <v>750</v>
      </c>
      <c r="N334" t="s">
        <v>751</v>
      </c>
      <c r="O334"/>
      <c r="P334" t="e">
        <f>VLOOKUP(N334,#REF!,2,FALSE)</f>
        <v>#REF!</v>
      </c>
      <c r="Q334" t="s">
        <v>859</v>
      </c>
      <c r="R334" s="345">
        <v>0</v>
      </c>
    </row>
    <row r="335" spans="1:18" x14ac:dyDescent="0.2">
      <c r="A335" s="344" t="s">
        <v>743</v>
      </c>
      <c r="B335" t="s">
        <v>827</v>
      </c>
      <c r="C335" t="s">
        <v>823</v>
      </c>
      <c r="D335" t="s">
        <v>746</v>
      </c>
      <c r="E335" t="s">
        <v>829</v>
      </c>
      <c r="F335" t="s">
        <v>803</v>
      </c>
      <c r="G335" t="s">
        <v>830</v>
      </c>
      <c r="H335" t="s">
        <v>831</v>
      </c>
      <c r="I335" t="s">
        <v>722</v>
      </c>
      <c r="J335" t="s">
        <v>721</v>
      </c>
      <c r="K335"/>
      <c r="L335"/>
      <c r="M335" t="s">
        <v>750</v>
      </c>
      <c r="N335" t="s">
        <v>751</v>
      </c>
      <c r="O335"/>
      <c r="P335" t="e">
        <f>VLOOKUP(N335,#REF!,2,FALSE)</f>
        <v>#REF!</v>
      </c>
      <c r="Q335" t="s">
        <v>859</v>
      </c>
      <c r="R335" s="345">
        <v>-582849.24</v>
      </c>
    </row>
    <row r="336" spans="1:18" x14ac:dyDescent="0.2">
      <c r="A336" s="344" t="s">
        <v>760</v>
      </c>
      <c r="B336" t="s">
        <v>827</v>
      </c>
      <c r="C336" t="s">
        <v>823</v>
      </c>
      <c r="D336" t="s">
        <v>746</v>
      </c>
      <c r="E336" t="s">
        <v>829</v>
      </c>
      <c r="F336" t="s">
        <v>803</v>
      </c>
      <c r="G336" t="s">
        <v>830</v>
      </c>
      <c r="H336" t="s">
        <v>831</v>
      </c>
      <c r="I336" t="s">
        <v>722</v>
      </c>
      <c r="J336" t="s">
        <v>721</v>
      </c>
      <c r="K336"/>
      <c r="L336"/>
      <c r="M336" t="s">
        <v>750</v>
      </c>
      <c r="N336" t="s">
        <v>751</v>
      </c>
      <c r="O336"/>
      <c r="P336" t="e">
        <f>VLOOKUP(N336,#REF!,2,FALSE)</f>
        <v>#REF!</v>
      </c>
      <c r="Q336" t="s">
        <v>859</v>
      </c>
      <c r="R336" s="345">
        <v>582849.24</v>
      </c>
    </row>
    <row r="337" spans="1:18" x14ac:dyDescent="0.2">
      <c r="A337" s="344" t="s">
        <v>749</v>
      </c>
      <c r="B337" t="s">
        <v>827</v>
      </c>
      <c r="C337" t="s">
        <v>823</v>
      </c>
      <c r="D337" t="s">
        <v>746</v>
      </c>
      <c r="E337" t="s">
        <v>829</v>
      </c>
      <c r="F337" t="s">
        <v>803</v>
      </c>
      <c r="G337" t="s">
        <v>830</v>
      </c>
      <c r="H337" t="s">
        <v>831</v>
      </c>
      <c r="I337" t="s">
        <v>722</v>
      </c>
      <c r="J337" t="s">
        <v>721</v>
      </c>
      <c r="K337"/>
      <c r="L337"/>
      <c r="M337" t="s">
        <v>750</v>
      </c>
      <c r="N337" t="s">
        <v>751</v>
      </c>
      <c r="O337"/>
      <c r="P337" t="e">
        <f>VLOOKUP(N337,#REF!,2,FALSE)</f>
        <v>#REF!</v>
      </c>
      <c r="Q337" t="s">
        <v>875</v>
      </c>
      <c r="R337" s="345">
        <v>-729209.02</v>
      </c>
    </row>
    <row r="338" spans="1:18" x14ac:dyDescent="0.2">
      <c r="A338" s="344" t="s">
        <v>752</v>
      </c>
      <c r="B338" t="s">
        <v>827</v>
      </c>
      <c r="C338" t="s">
        <v>823</v>
      </c>
      <c r="D338" t="s">
        <v>746</v>
      </c>
      <c r="E338" t="s">
        <v>829</v>
      </c>
      <c r="F338" t="s">
        <v>803</v>
      </c>
      <c r="G338" t="s">
        <v>830</v>
      </c>
      <c r="H338" t="s">
        <v>831</v>
      </c>
      <c r="I338" t="s">
        <v>722</v>
      </c>
      <c r="J338" t="s">
        <v>721</v>
      </c>
      <c r="K338"/>
      <c r="L338"/>
      <c r="M338" t="s">
        <v>750</v>
      </c>
      <c r="N338" t="s">
        <v>751</v>
      </c>
      <c r="O338"/>
      <c r="P338" t="e">
        <f>VLOOKUP(N338,#REF!,2,FALSE)</f>
        <v>#REF!</v>
      </c>
      <c r="Q338" t="s">
        <v>875</v>
      </c>
      <c r="R338" s="345">
        <v>-729209.02</v>
      </c>
    </row>
    <row r="339" spans="1:18" x14ac:dyDescent="0.2">
      <c r="A339" s="344" t="s">
        <v>753</v>
      </c>
      <c r="B339" t="s">
        <v>827</v>
      </c>
      <c r="C339" t="s">
        <v>823</v>
      </c>
      <c r="D339" t="s">
        <v>746</v>
      </c>
      <c r="E339" t="s">
        <v>829</v>
      </c>
      <c r="F339" t="s">
        <v>803</v>
      </c>
      <c r="G339" t="s">
        <v>830</v>
      </c>
      <c r="H339" t="s">
        <v>831</v>
      </c>
      <c r="I339" t="s">
        <v>722</v>
      </c>
      <c r="J339" t="s">
        <v>721</v>
      </c>
      <c r="K339"/>
      <c r="L339"/>
      <c r="M339" t="s">
        <v>750</v>
      </c>
      <c r="N339" t="s">
        <v>751</v>
      </c>
      <c r="O339"/>
      <c r="P339" t="e">
        <f>VLOOKUP(N339,#REF!,2,FALSE)</f>
        <v>#REF!</v>
      </c>
      <c r="Q339" t="s">
        <v>875</v>
      </c>
      <c r="R339" s="345">
        <v>-705686.13</v>
      </c>
    </row>
    <row r="340" spans="1:18" x14ac:dyDescent="0.2">
      <c r="A340" s="344" t="s">
        <v>754</v>
      </c>
      <c r="B340" t="s">
        <v>827</v>
      </c>
      <c r="C340" t="s">
        <v>823</v>
      </c>
      <c r="D340" t="s">
        <v>746</v>
      </c>
      <c r="E340" t="s">
        <v>829</v>
      </c>
      <c r="F340" t="s">
        <v>803</v>
      </c>
      <c r="G340" t="s">
        <v>830</v>
      </c>
      <c r="H340" t="s">
        <v>831</v>
      </c>
      <c r="I340" t="s">
        <v>722</v>
      </c>
      <c r="J340" t="s">
        <v>721</v>
      </c>
      <c r="K340"/>
      <c r="L340"/>
      <c r="M340" t="s">
        <v>750</v>
      </c>
      <c r="N340" t="s">
        <v>751</v>
      </c>
      <c r="O340"/>
      <c r="P340" t="e">
        <f>VLOOKUP(N340,#REF!,2,FALSE)</f>
        <v>#REF!</v>
      </c>
      <c r="Q340" t="s">
        <v>875</v>
      </c>
      <c r="R340" s="345">
        <v>-22246.12</v>
      </c>
    </row>
    <row r="341" spans="1:18" x14ac:dyDescent="0.2">
      <c r="A341" s="344" t="s">
        <v>755</v>
      </c>
      <c r="B341" t="s">
        <v>827</v>
      </c>
      <c r="C341" t="s">
        <v>823</v>
      </c>
      <c r="D341" t="s">
        <v>746</v>
      </c>
      <c r="E341" t="s">
        <v>829</v>
      </c>
      <c r="F341" t="s">
        <v>803</v>
      </c>
      <c r="G341" t="s">
        <v>830</v>
      </c>
      <c r="H341" t="s">
        <v>831</v>
      </c>
      <c r="I341" t="s">
        <v>722</v>
      </c>
      <c r="J341" t="s">
        <v>721</v>
      </c>
      <c r="K341"/>
      <c r="L341"/>
      <c r="M341" t="s">
        <v>750</v>
      </c>
      <c r="N341" t="s">
        <v>751</v>
      </c>
      <c r="O341"/>
      <c r="P341" t="e">
        <f>VLOOKUP(N341,#REF!,2,FALSE)</f>
        <v>#REF!</v>
      </c>
      <c r="Q341" t="s">
        <v>875</v>
      </c>
      <c r="R341" s="345">
        <v>-21528.5</v>
      </c>
    </row>
    <row r="342" spans="1:18" x14ac:dyDescent="0.2">
      <c r="A342" s="344" t="s">
        <v>756</v>
      </c>
      <c r="B342" t="s">
        <v>827</v>
      </c>
      <c r="C342" t="s">
        <v>823</v>
      </c>
      <c r="D342" t="s">
        <v>746</v>
      </c>
      <c r="E342" t="s">
        <v>829</v>
      </c>
      <c r="F342" t="s">
        <v>803</v>
      </c>
      <c r="G342" t="s">
        <v>830</v>
      </c>
      <c r="H342" t="s">
        <v>831</v>
      </c>
      <c r="I342" t="s">
        <v>722</v>
      </c>
      <c r="J342" t="s">
        <v>721</v>
      </c>
      <c r="K342"/>
      <c r="L342"/>
      <c r="M342" t="s">
        <v>750</v>
      </c>
      <c r="N342" t="s">
        <v>751</v>
      </c>
      <c r="O342"/>
      <c r="P342" t="e">
        <f>VLOOKUP(N342,#REF!,2,FALSE)</f>
        <v>#REF!</v>
      </c>
      <c r="Q342" t="s">
        <v>875</v>
      </c>
      <c r="R342" s="345">
        <v>-22246.12</v>
      </c>
    </row>
    <row r="343" spans="1:18" x14ac:dyDescent="0.2">
      <c r="A343" s="344" t="s">
        <v>757</v>
      </c>
      <c r="B343" t="s">
        <v>827</v>
      </c>
      <c r="C343" t="s">
        <v>823</v>
      </c>
      <c r="D343" t="s">
        <v>746</v>
      </c>
      <c r="E343" t="s">
        <v>829</v>
      </c>
      <c r="F343" t="s">
        <v>803</v>
      </c>
      <c r="G343" t="s">
        <v>830</v>
      </c>
      <c r="H343" t="s">
        <v>831</v>
      </c>
      <c r="I343" t="s">
        <v>722</v>
      </c>
      <c r="J343" t="s">
        <v>721</v>
      </c>
      <c r="K343"/>
      <c r="L343"/>
      <c r="M343" t="s">
        <v>750</v>
      </c>
      <c r="N343" t="s">
        <v>751</v>
      </c>
      <c r="O343"/>
      <c r="P343" t="e">
        <f>VLOOKUP(N343,#REF!,2,FALSE)</f>
        <v>#REF!</v>
      </c>
      <c r="Q343" t="s">
        <v>875</v>
      </c>
      <c r="R343" s="345">
        <v>-29860.85</v>
      </c>
    </row>
    <row r="344" spans="1:18" x14ac:dyDescent="0.2">
      <c r="A344" s="344" t="s">
        <v>758</v>
      </c>
      <c r="B344" t="s">
        <v>827</v>
      </c>
      <c r="C344" t="s">
        <v>823</v>
      </c>
      <c r="D344" t="s">
        <v>746</v>
      </c>
      <c r="E344" t="s">
        <v>829</v>
      </c>
      <c r="F344" t="s">
        <v>803</v>
      </c>
      <c r="G344" t="s">
        <v>830</v>
      </c>
      <c r="H344" t="s">
        <v>831</v>
      </c>
      <c r="I344" t="s">
        <v>722</v>
      </c>
      <c r="J344" t="s">
        <v>721</v>
      </c>
      <c r="K344"/>
      <c r="L344"/>
      <c r="M344" t="s">
        <v>750</v>
      </c>
      <c r="N344" t="s">
        <v>751</v>
      </c>
      <c r="O344"/>
      <c r="P344" t="e">
        <f>VLOOKUP(N344,#REF!,2,FALSE)</f>
        <v>#REF!</v>
      </c>
      <c r="Q344" t="s">
        <v>875</v>
      </c>
      <c r="R344" s="345">
        <v>-12569.84</v>
      </c>
    </row>
    <row r="345" spans="1:18" x14ac:dyDescent="0.2">
      <c r="A345" s="344" t="s">
        <v>759</v>
      </c>
      <c r="B345" t="s">
        <v>827</v>
      </c>
      <c r="C345" t="s">
        <v>823</v>
      </c>
      <c r="D345" t="s">
        <v>746</v>
      </c>
      <c r="E345" t="s">
        <v>829</v>
      </c>
      <c r="F345" t="s">
        <v>803</v>
      </c>
      <c r="G345" t="s">
        <v>830</v>
      </c>
      <c r="H345" t="s">
        <v>831</v>
      </c>
      <c r="I345" t="s">
        <v>722</v>
      </c>
      <c r="J345" t="s">
        <v>721</v>
      </c>
      <c r="K345"/>
      <c r="L345"/>
      <c r="M345" t="s">
        <v>750</v>
      </c>
      <c r="N345" t="s">
        <v>751</v>
      </c>
      <c r="O345"/>
      <c r="P345" t="e">
        <f>VLOOKUP(N345,#REF!,2,FALSE)</f>
        <v>#REF!</v>
      </c>
      <c r="Q345" t="s">
        <v>875</v>
      </c>
      <c r="R345" s="345">
        <v>-22294.09</v>
      </c>
    </row>
    <row r="346" spans="1:18" x14ac:dyDescent="0.2">
      <c r="A346" s="344" t="s">
        <v>743</v>
      </c>
      <c r="B346" t="s">
        <v>827</v>
      </c>
      <c r="C346" t="s">
        <v>823</v>
      </c>
      <c r="D346" t="s">
        <v>746</v>
      </c>
      <c r="E346" t="s">
        <v>829</v>
      </c>
      <c r="F346" t="s">
        <v>803</v>
      </c>
      <c r="G346" t="s">
        <v>830</v>
      </c>
      <c r="H346" t="s">
        <v>831</v>
      </c>
      <c r="I346" t="s">
        <v>722</v>
      </c>
      <c r="J346" t="s">
        <v>721</v>
      </c>
      <c r="K346"/>
      <c r="L346"/>
      <c r="M346" t="s">
        <v>750</v>
      </c>
      <c r="N346" t="s">
        <v>751</v>
      </c>
      <c r="O346"/>
      <c r="P346" t="e">
        <f>VLOOKUP(N346,#REF!,2,FALSE)</f>
        <v>#REF!</v>
      </c>
      <c r="Q346" t="s">
        <v>875</v>
      </c>
      <c r="R346" s="345">
        <v>-217761.33</v>
      </c>
    </row>
    <row r="347" spans="1:18" x14ac:dyDescent="0.2">
      <c r="A347" s="344" t="s">
        <v>760</v>
      </c>
      <c r="B347" t="s">
        <v>827</v>
      </c>
      <c r="C347" t="s">
        <v>823</v>
      </c>
      <c r="D347" t="s">
        <v>746</v>
      </c>
      <c r="E347" t="s">
        <v>829</v>
      </c>
      <c r="F347" t="s">
        <v>803</v>
      </c>
      <c r="G347" t="s">
        <v>830</v>
      </c>
      <c r="H347" t="s">
        <v>831</v>
      </c>
      <c r="I347" t="s">
        <v>722</v>
      </c>
      <c r="J347" t="s">
        <v>721</v>
      </c>
      <c r="K347"/>
      <c r="L347"/>
      <c r="M347" t="s">
        <v>750</v>
      </c>
      <c r="N347" t="s">
        <v>751</v>
      </c>
      <c r="O347"/>
      <c r="P347" t="e">
        <f>VLOOKUP(N347,#REF!,2,FALSE)</f>
        <v>#REF!</v>
      </c>
      <c r="Q347" t="s">
        <v>875</v>
      </c>
      <c r="R347" s="345">
        <v>-284795.53000000003</v>
      </c>
    </row>
    <row r="348" spans="1:18" x14ac:dyDescent="0.2">
      <c r="A348" s="344" t="s">
        <v>745</v>
      </c>
      <c r="B348" t="s">
        <v>827</v>
      </c>
      <c r="C348" t="s">
        <v>823</v>
      </c>
      <c r="D348" t="s">
        <v>746</v>
      </c>
      <c r="E348" t="s">
        <v>829</v>
      </c>
      <c r="F348" t="s">
        <v>803</v>
      </c>
      <c r="G348" t="s">
        <v>830</v>
      </c>
      <c r="H348" t="s">
        <v>831</v>
      </c>
      <c r="I348" t="s">
        <v>722</v>
      </c>
      <c r="J348" t="s">
        <v>721</v>
      </c>
      <c r="K348"/>
      <c r="L348"/>
      <c r="M348" t="s">
        <v>750</v>
      </c>
      <c r="N348" t="s">
        <v>751</v>
      </c>
      <c r="O348"/>
      <c r="P348" t="e">
        <f>VLOOKUP(N348,#REF!,2,FALSE)</f>
        <v>#REF!</v>
      </c>
      <c r="Q348" t="s">
        <v>875</v>
      </c>
      <c r="R348" s="345">
        <v>-247159.11</v>
      </c>
    </row>
    <row r="349" spans="1:18" x14ac:dyDescent="0.2">
      <c r="A349" s="344" t="s">
        <v>749</v>
      </c>
      <c r="B349" t="s">
        <v>827</v>
      </c>
      <c r="C349" t="s">
        <v>823</v>
      </c>
      <c r="D349" t="s">
        <v>746</v>
      </c>
      <c r="E349" t="s">
        <v>829</v>
      </c>
      <c r="F349" t="s">
        <v>803</v>
      </c>
      <c r="G349" t="s">
        <v>830</v>
      </c>
      <c r="H349" t="s">
        <v>831</v>
      </c>
      <c r="I349" t="s">
        <v>722</v>
      </c>
      <c r="J349" t="s">
        <v>721</v>
      </c>
      <c r="K349"/>
      <c r="L349"/>
      <c r="M349" t="s">
        <v>750</v>
      </c>
      <c r="N349" t="s">
        <v>751</v>
      </c>
      <c r="O349"/>
      <c r="P349" t="e">
        <f>VLOOKUP(N349,#REF!,2,FALSE)</f>
        <v>#REF!</v>
      </c>
      <c r="Q349" t="s">
        <v>876</v>
      </c>
      <c r="R349" s="345">
        <v>120620.67</v>
      </c>
    </row>
    <row r="350" spans="1:18" x14ac:dyDescent="0.2">
      <c r="A350" s="344" t="s">
        <v>752</v>
      </c>
      <c r="B350" t="s">
        <v>827</v>
      </c>
      <c r="C350" t="s">
        <v>823</v>
      </c>
      <c r="D350" t="s">
        <v>746</v>
      </c>
      <c r="E350" t="s">
        <v>829</v>
      </c>
      <c r="F350" t="s">
        <v>803</v>
      </c>
      <c r="G350" t="s">
        <v>830</v>
      </c>
      <c r="H350" t="s">
        <v>831</v>
      </c>
      <c r="I350" t="s">
        <v>722</v>
      </c>
      <c r="J350" t="s">
        <v>721</v>
      </c>
      <c r="K350"/>
      <c r="L350"/>
      <c r="M350" t="s">
        <v>750</v>
      </c>
      <c r="N350" t="s">
        <v>751</v>
      </c>
      <c r="O350"/>
      <c r="P350" t="e">
        <f>VLOOKUP(N350,#REF!,2,FALSE)</f>
        <v>#REF!</v>
      </c>
      <c r="Q350" t="s">
        <v>876</v>
      </c>
      <c r="R350" s="345">
        <v>-3155.83</v>
      </c>
    </row>
    <row r="351" spans="1:18" x14ac:dyDescent="0.2">
      <c r="A351" s="344" t="s">
        <v>753</v>
      </c>
      <c r="B351" t="s">
        <v>827</v>
      </c>
      <c r="C351" t="s">
        <v>823</v>
      </c>
      <c r="D351" t="s">
        <v>746</v>
      </c>
      <c r="E351" t="s">
        <v>829</v>
      </c>
      <c r="F351" t="s">
        <v>803</v>
      </c>
      <c r="G351" t="s">
        <v>830</v>
      </c>
      <c r="H351" t="s">
        <v>831</v>
      </c>
      <c r="I351" t="s">
        <v>722</v>
      </c>
      <c r="J351" t="s">
        <v>721</v>
      </c>
      <c r="K351"/>
      <c r="L351"/>
      <c r="M351" t="s">
        <v>750</v>
      </c>
      <c r="N351" t="s">
        <v>751</v>
      </c>
      <c r="O351"/>
      <c r="P351" t="e">
        <f>VLOOKUP(N351,#REF!,2,FALSE)</f>
        <v>#REF!</v>
      </c>
      <c r="Q351" t="s">
        <v>876</v>
      </c>
      <c r="R351" s="345">
        <v>-5087.34</v>
      </c>
    </row>
    <row r="352" spans="1:18" x14ac:dyDescent="0.2">
      <c r="A352" s="344" t="s">
        <v>754</v>
      </c>
      <c r="B352" t="s">
        <v>827</v>
      </c>
      <c r="C352" t="s">
        <v>823</v>
      </c>
      <c r="D352" t="s">
        <v>746</v>
      </c>
      <c r="E352" t="s">
        <v>829</v>
      </c>
      <c r="F352" t="s">
        <v>803</v>
      </c>
      <c r="G352" t="s">
        <v>830</v>
      </c>
      <c r="H352" t="s">
        <v>831</v>
      </c>
      <c r="I352" t="s">
        <v>722</v>
      </c>
      <c r="J352" t="s">
        <v>721</v>
      </c>
      <c r="K352"/>
      <c r="L352"/>
      <c r="M352" t="s">
        <v>750</v>
      </c>
      <c r="N352" t="s">
        <v>751</v>
      </c>
      <c r="O352"/>
      <c r="P352" t="e">
        <f>VLOOKUP(N352,#REF!,2,FALSE)</f>
        <v>#REF!</v>
      </c>
      <c r="Q352" t="s">
        <v>876</v>
      </c>
      <c r="R352" s="345">
        <v>-5905</v>
      </c>
    </row>
    <row r="353" spans="1:18" x14ac:dyDescent="0.2">
      <c r="A353" s="344" t="s">
        <v>755</v>
      </c>
      <c r="B353" t="s">
        <v>827</v>
      </c>
      <c r="C353" t="s">
        <v>823</v>
      </c>
      <c r="D353" t="s">
        <v>746</v>
      </c>
      <c r="E353" t="s">
        <v>829</v>
      </c>
      <c r="F353" t="s">
        <v>803</v>
      </c>
      <c r="G353" t="s">
        <v>830</v>
      </c>
      <c r="H353" t="s">
        <v>831</v>
      </c>
      <c r="I353" t="s">
        <v>722</v>
      </c>
      <c r="J353" t="s">
        <v>721</v>
      </c>
      <c r="K353"/>
      <c r="L353"/>
      <c r="M353" t="s">
        <v>750</v>
      </c>
      <c r="N353" t="s">
        <v>751</v>
      </c>
      <c r="O353"/>
      <c r="P353" t="e">
        <f>VLOOKUP(N353,#REF!,2,FALSE)</f>
        <v>#REF!</v>
      </c>
      <c r="Q353" t="s">
        <v>876</v>
      </c>
      <c r="R353" s="345">
        <v>-220092</v>
      </c>
    </row>
    <row r="354" spans="1:18" x14ac:dyDescent="0.2">
      <c r="A354" s="344" t="s">
        <v>756</v>
      </c>
      <c r="B354" t="s">
        <v>827</v>
      </c>
      <c r="C354" t="s">
        <v>823</v>
      </c>
      <c r="D354" t="s">
        <v>746</v>
      </c>
      <c r="E354" t="s">
        <v>829</v>
      </c>
      <c r="F354" t="s">
        <v>803</v>
      </c>
      <c r="G354" t="s">
        <v>830</v>
      </c>
      <c r="H354" t="s">
        <v>831</v>
      </c>
      <c r="I354" t="s">
        <v>722</v>
      </c>
      <c r="J354" t="s">
        <v>721</v>
      </c>
      <c r="K354"/>
      <c r="L354"/>
      <c r="M354" t="s">
        <v>750</v>
      </c>
      <c r="N354" t="s">
        <v>751</v>
      </c>
      <c r="O354"/>
      <c r="P354" t="e">
        <f>VLOOKUP(N354,#REF!,2,FALSE)</f>
        <v>#REF!</v>
      </c>
      <c r="Q354" t="s">
        <v>876</v>
      </c>
      <c r="R354" s="345">
        <v>-21750.57</v>
      </c>
    </row>
    <row r="355" spans="1:18" x14ac:dyDescent="0.2">
      <c r="A355" s="344" t="s">
        <v>757</v>
      </c>
      <c r="B355" t="s">
        <v>827</v>
      </c>
      <c r="C355" t="s">
        <v>823</v>
      </c>
      <c r="D355" t="s">
        <v>746</v>
      </c>
      <c r="E355" t="s">
        <v>829</v>
      </c>
      <c r="F355" t="s">
        <v>803</v>
      </c>
      <c r="G355" t="s">
        <v>830</v>
      </c>
      <c r="H355" t="s">
        <v>831</v>
      </c>
      <c r="I355" t="s">
        <v>722</v>
      </c>
      <c r="J355" t="s">
        <v>721</v>
      </c>
      <c r="K355"/>
      <c r="L355"/>
      <c r="M355" t="s">
        <v>750</v>
      </c>
      <c r="N355" t="s">
        <v>751</v>
      </c>
      <c r="O355"/>
      <c r="P355" t="e">
        <f>VLOOKUP(N355,#REF!,2,FALSE)</f>
        <v>#REF!</v>
      </c>
      <c r="Q355" t="s">
        <v>876</v>
      </c>
      <c r="R355" s="345">
        <v>201105.49</v>
      </c>
    </row>
    <row r="356" spans="1:18" x14ac:dyDescent="0.2">
      <c r="A356" s="344" t="s">
        <v>758</v>
      </c>
      <c r="B356" t="s">
        <v>827</v>
      </c>
      <c r="C356" t="s">
        <v>823</v>
      </c>
      <c r="D356" t="s">
        <v>746</v>
      </c>
      <c r="E356" t="s">
        <v>829</v>
      </c>
      <c r="F356" t="s">
        <v>803</v>
      </c>
      <c r="G356" t="s">
        <v>830</v>
      </c>
      <c r="H356" t="s">
        <v>831</v>
      </c>
      <c r="I356" t="s">
        <v>722</v>
      </c>
      <c r="J356" t="s">
        <v>721</v>
      </c>
      <c r="K356"/>
      <c r="L356"/>
      <c r="M356" t="s">
        <v>750</v>
      </c>
      <c r="N356" t="s">
        <v>751</v>
      </c>
      <c r="O356"/>
      <c r="P356" t="e">
        <f>VLOOKUP(N356,#REF!,2,FALSE)</f>
        <v>#REF!</v>
      </c>
      <c r="Q356" t="s">
        <v>876</v>
      </c>
      <c r="R356" s="345">
        <v>38622.080000000002</v>
      </c>
    </row>
    <row r="357" spans="1:18" x14ac:dyDescent="0.2">
      <c r="A357" s="344" t="s">
        <v>759</v>
      </c>
      <c r="B357" t="s">
        <v>827</v>
      </c>
      <c r="C357" t="s">
        <v>823</v>
      </c>
      <c r="D357" t="s">
        <v>746</v>
      </c>
      <c r="E357" t="s">
        <v>829</v>
      </c>
      <c r="F357" t="s">
        <v>803</v>
      </c>
      <c r="G357" t="s">
        <v>830</v>
      </c>
      <c r="H357" t="s">
        <v>831</v>
      </c>
      <c r="I357" t="s">
        <v>722</v>
      </c>
      <c r="J357" t="s">
        <v>721</v>
      </c>
      <c r="K357"/>
      <c r="L357"/>
      <c r="M357" t="s">
        <v>750</v>
      </c>
      <c r="N357" t="s">
        <v>751</v>
      </c>
      <c r="O357"/>
      <c r="P357" t="e">
        <f>VLOOKUP(N357,#REF!,2,FALSE)</f>
        <v>#REF!</v>
      </c>
      <c r="Q357" t="s">
        <v>876</v>
      </c>
      <c r="R357" s="345">
        <v>23675</v>
      </c>
    </row>
    <row r="358" spans="1:18" x14ac:dyDescent="0.2">
      <c r="A358" s="344" t="s">
        <v>743</v>
      </c>
      <c r="B358" t="s">
        <v>827</v>
      </c>
      <c r="C358" t="s">
        <v>823</v>
      </c>
      <c r="D358" t="s">
        <v>746</v>
      </c>
      <c r="E358" t="s">
        <v>829</v>
      </c>
      <c r="F358" t="s">
        <v>803</v>
      </c>
      <c r="G358" t="s">
        <v>830</v>
      </c>
      <c r="H358" t="s">
        <v>831</v>
      </c>
      <c r="I358" t="s">
        <v>722</v>
      </c>
      <c r="J358" t="s">
        <v>721</v>
      </c>
      <c r="K358"/>
      <c r="L358"/>
      <c r="M358" t="s">
        <v>750</v>
      </c>
      <c r="N358" t="s">
        <v>751</v>
      </c>
      <c r="O358"/>
      <c r="P358" t="e">
        <f>VLOOKUP(N358,#REF!,2,FALSE)</f>
        <v>#REF!</v>
      </c>
      <c r="Q358" t="s">
        <v>876</v>
      </c>
      <c r="R358" s="345">
        <v>0</v>
      </c>
    </row>
    <row r="359" spans="1:18" x14ac:dyDescent="0.2">
      <c r="A359" s="344" t="s">
        <v>749</v>
      </c>
      <c r="B359" t="s">
        <v>827</v>
      </c>
      <c r="C359" t="s">
        <v>823</v>
      </c>
      <c r="D359" t="s">
        <v>746</v>
      </c>
      <c r="E359" t="s">
        <v>829</v>
      </c>
      <c r="F359" t="s">
        <v>803</v>
      </c>
      <c r="G359" t="s">
        <v>830</v>
      </c>
      <c r="H359" t="s">
        <v>831</v>
      </c>
      <c r="I359" t="s">
        <v>722</v>
      </c>
      <c r="J359" t="s">
        <v>721</v>
      </c>
      <c r="K359"/>
      <c r="L359"/>
      <c r="M359" t="s">
        <v>750</v>
      </c>
      <c r="N359" t="s">
        <v>751</v>
      </c>
      <c r="O359"/>
      <c r="P359" t="e">
        <f>VLOOKUP(N359,#REF!,2,FALSE)</f>
        <v>#REF!</v>
      </c>
      <c r="Q359" t="s">
        <v>877</v>
      </c>
      <c r="R359" s="345">
        <v>-305012.47999999998</v>
      </c>
    </row>
    <row r="360" spans="1:18" x14ac:dyDescent="0.2">
      <c r="A360" s="344" t="s">
        <v>752</v>
      </c>
      <c r="B360" t="s">
        <v>827</v>
      </c>
      <c r="C360" t="s">
        <v>823</v>
      </c>
      <c r="D360" t="s">
        <v>746</v>
      </c>
      <c r="E360" t="s">
        <v>829</v>
      </c>
      <c r="F360" t="s">
        <v>803</v>
      </c>
      <c r="G360" t="s">
        <v>830</v>
      </c>
      <c r="H360" t="s">
        <v>831</v>
      </c>
      <c r="I360" t="s">
        <v>722</v>
      </c>
      <c r="J360" t="s">
        <v>721</v>
      </c>
      <c r="K360"/>
      <c r="L360"/>
      <c r="M360" t="s">
        <v>750</v>
      </c>
      <c r="N360" t="s">
        <v>751</v>
      </c>
      <c r="O360"/>
      <c r="P360" t="e">
        <f>VLOOKUP(N360,#REF!,2,FALSE)</f>
        <v>#REF!</v>
      </c>
      <c r="Q360" t="s">
        <v>877</v>
      </c>
      <c r="R360" s="345">
        <v>-305012.47999999998</v>
      </c>
    </row>
    <row r="361" spans="1:18" x14ac:dyDescent="0.2">
      <c r="A361" s="344" t="s">
        <v>753</v>
      </c>
      <c r="B361" t="s">
        <v>827</v>
      </c>
      <c r="C361" t="s">
        <v>823</v>
      </c>
      <c r="D361" t="s">
        <v>746</v>
      </c>
      <c r="E361" t="s">
        <v>829</v>
      </c>
      <c r="F361" t="s">
        <v>803</v>
      </c>
      <c r="G361" t="s">
        <v>830</v>
      </c>
      <c r="H361" t="s">
        <v>831</v>
      </c>
      <c r="I361" t="s">
        <v>722</v>
      </c>
      <c r="J361" t="s">
        <v>721</v>
      </c>
      <c r="K361"/>
      <c r="L361"/>
      <c r="M361" t="s">
        <v>750</v>
      </c>
      <c r="N361" t="s">
        <v>751</v>
      </c>
      <c r="O361"/>
      <c r="P361" t="e">
        <f>VLOOKUP(N361,#REF!,2,FALSE)</f>
        <v>#REF!</v>
      </c>
      <c r="Q361" t="s">
        <v>877</v>
      </c>
      <c r="R361" s="345">
        <v>-295173.37</v>
      </c>
    </row>
    <row r="362" spans="1:18" x14ac:dyDescent="0.2">
      <c r="A362" s="344" t="s">
        <v>754</v>
      </c>
      <c r="B362" t="s">
        <v>827</v>
      </c>
      <c r="C362" t="s">
        <v>823</v>
      </c>
      <c r="D362" t="s">
        <v>746</v>
      </c>
      <c r="E362" t="s">
        <v>829</v>
      </c>
      <c r="F362" t="s">
        <v>803</v>
      </c>
      <c r="G362" t="s">
        <v>830</v>
      </c>
      <c r="H362" t="s">
        <v>831</v>
      </c>
      <c r="I362" t="s">
        <v>722</v>
      </c>
      <c r="J362" t="s">
        <v>721</v>
      </c>
      <c r="K362"/>
      <c r="L362"/>
      <c r="M362" t="s">
        <v>750</v>
      </c>
      <c r="N362" t="s">
        <v>751</v>
      </c>
      <c r="O362"/>
      <c r="P362" t="e">
        <f>VLOOKUP(N362,#REF!,2,FALSE)</f>
        <v>#REF!</v>
      </c>
      <c r="Q362" t="s">
        <v>877</v>
      </c>
      <c r="R362" s="345">
        <v>-305671.76</v>
      </c>
    </row>
    <row r="363" spans="1:18" x14ac:dyDescent="0.2">
      <c r="A363" s="344" t="s">
        <v>755</v>
      </c>
      <c r="B363" t="s">
        <v>827</v>
      </c>
      <c r="C363" t="s">
        <v>823</v>
      </c>
      <c r="D363" t="s">
        <v>746</v>
      </c>
      <c r="E363" t="s">
        <v>829</v>
      </c>
      <c r="F363" t="s">
        <v>803</v>
      </c>
      <c r="G363" t="s">
        <v>830</v>
      </c>
      <c r="H363" t="s">
        <v>831</v>
      </c>
      <c r="I363" t="s">
        <v>722</v>
      </c>
      <c r="J363" t="s">
        <v>721</v>
      </c>
      <c r="K363"/>
      <c r="L363"/>
      <c r="M363" t="s">
        <v>750</v>
      </c>
      <c r="N363" t="s">
        <v>751</v>
      </c>
      <c r="O363"/>
      <c r="P363" t="e">
        <f>VLOOKUP(N363,#REF!,2,FALSE)</f>
        <v>#REF!</v>
      </c>
      <c r="Q363" t="s">
        <v>877</v>
      </c>
      <c r="R363" s="345">
        <v>-296759.81</v>
      </c>
    </row>
    <row r="364" spans="1:18" x14ac:dyDescent="0.2">
      <c r="A364" s="344" t="s">
        <v>756</v>
      </c>
      <c r="B364" t="s">
        <v>827</v>
      </c>
      <c r="C364" t="s">
        <v>823</v>
      </c>
      <c r="D364" t="s">
        <v>746</v>
      </c>
      <c r="E364" t="s">
        <v>829</v>
      </c>
      <c r="F364" t="s">
        <v>803</v>
      </c>
      <c r="G364" t="s">
        <v>830</v>
      </c>
      <c r="H364" t="s">
        <v>831</v>
      </c>
      <c r="I364" t="s">
        <v>722</v>
      </c>
      <c r="J364" t="s">
        <v>721</v>
      </c>
      <c r="K364"/>
      <c r="L364"/>
      <c r="M364" t="s">
        <v>750</v>
      </c>
      <c r="N364" t="s">
        <v>751</v>
      </c>
      <c r="O364"/>
      <c r="P364" t="e">
        <f>VLOOKUP(N364,#REF!,2,FALSE)</f>
        <v>#REF!</v>
      </c>
      <c r="Q364" t="s">
        <v>877</v>
      </c>
      <c r="R364" s="345">
        <v>-305671.76</v>
      </c>
    </row>
    <row r="365" spans="1:18" x14ac:dyDescent="0.2">
      <c r="A365" s="344" t="s">
        <v>757</v>
      </c>
      <c r="B365" t="s">
        <v>827</v>
      </c>
      <c r="C365" t="s">
        <v>823</v>
      </c>
      <c r="D365" t="s">
        <v>746</v>
      </c>
      <c r="E365" t="s">
        <v>829</v>
      </c>
      <c r="F365" t="s">
        <v>803</v>
      </c>
      <c r="G365" t="s">
        <v>830</v>
      </c>
      <c r="H365" t="s">
        <v>831</v>
      </c>
      <c r="I365" t="s">
        <v>722</v>
      </c>
      <c r="J365" t="s">
        <v>721</v>
      </c>
      <c r="K365"/>
      <c r="L365"/>
      <c r="M365" t="s">
        <v>750</v>
      </c>
      <c r="N365" t="s">
        <v>751</v>
      </c>
      <c r="O365"/>
      <c r="P365" t="e">
        <f>VLOOKUP(N365,#REF!,2,FALSE)</f>
        <v>#REF!</v>
      </c>
      <c r="Q365" t="s">
        <v>877</v>
      </c>
      <c r="R365" s="345">
        <v>-306331.03000000003</v>
      </c>
    </row>
    <row r="366" spans="1:18" x14ac:dyDescent="0.2">
      <c r="A366" s="344" t="s">
        <v>758</v>
      </c>
      <c r="B366" t="s">
        <v>827</v>
      </c>
      <c r="C366" t="s">
        <v>823</v>
      </c>
      <c r="D366" t="s">
        <v>746</v>
      </c>
      <c r="E366" t="s">
        <v>829</v>
      </c>
      <c r="F366" t="s">
        <v>803</v>
      </c>
      <c r="G366" t="s">
        <v>830</v>
      </c>
      <c r="H366" t="s">
        <v>831</v>
      </c>
      <c r="I366" t="s">
        <v>722</v>
      </c>
      <c r="J366" t="s">
        <v>721</v>
      </c>
      <c r="K366"/>
      <c r="L366"/>
      <c r="M366" t="s">
        <v>750</v>
      </c>
      <c r="N366" t="s">
        <v>751</v>
      </c>
      <c r="O366"/>
      <c r="P366" t="e">
        <f>VLOOKUP(N366,#REF!,2,FALSE)</f>
        <v>#REF!</v>
      </c>
      <c r="Q366" t="s">
        <v>877</v>
      </c>
      <c r="R366" s="345">
        <v>-276686.09000000003</v>
      </c>
    </row>
    <row r="367" spans="1:18" x14ac:dyDescent="0.2">
      <c r="A367" s="344" t="s">
        <v>759</v>
      </c>
      <c r="B367" t="s">
        <v>827</v>
      </c>
      <c r="C367" t="s">
        <v>823</v>
      </c>
      <c r="D367" t="s">
        <v>746</v>
      </c>
      <c r="E367" t="s">
        <v>829</v>
      </c>
      <c r="F367" t="s">
        <v>803</v>
      </c>
      <c r="G367" t="s">
        <v>830</v>
      </c>
      <c r="H367" t="s">
        <v>831</v>
      </c>
      <c r="I367" t="s">
        <v>722</v>
      </c>
      <c r="J367" t="s">
        <v>721</v>
      </c>
      <c r="K367"/>
      <c r="L367"/>
      <c r="M367" t="s">
        <v>750</v>
      </c>
      <c r="N367" t="s">
        <v>751</v>
      </c>
      <c r="O367"/>
      <c r="P367" t="e">
        <f>VLOOKUP(N367,#REF!,2,FALSE)</f>
        <v>#REF!</v>
      </c>
      <c r="Q367" t="s">
        <v>877</v>
      </c>
      <c r="R367" s="345">
        <v>-208283.05</v>
      </c>
    </row>
    <row r="368" spans="1:18" x14ac:dyDescent="0.2">
      <c r="A368" s="344" t="s">
        <v>743</v>
      </c>
      <c r="B368" t="s">
        <v>827</v>
      </c>
      <c r="C368" t="s">
        <v>823</v>
      </c>
      <c r="D368" t="s">
        <v>746</v>
      </c>
      <c r="E368" t="s">
        <v>829</v>
      </c>
      <c r="F368" t="s">
        <v>803</v>
      </c>
      <c r="G368" t="s">
        <v>830</v>
      </c>
      <c r="H368" t="s">
        <v>831</v>
      </c>
      <c r="I368" t="s">
        <v>722</v>
      </c>
      <c r="J368" t="s">
        <v>721</v>
      </c>
      <c r="K368"/>
      <c r="L368"/>
      <c r="M368" t="s">
        <v>750</v>
      </c>
      <c r="N368" t="s">
        <v>751</v>
      </c>
      <c r="O368"/>
      <c r="P368" t="e">
        <f>VLOOKUP(N368,#REF!,2,FALSE)</f>
        <v>#REF!</v>
      </c>
      <c r="Q368" t="s">
        <v>877</v>
      </c>
      <c r="R368" s="345">
        <v>-294761.26</v>
      </c>
    </row>
    <row r="369" spans="1:18" x14ac:dyDescent="0.2">
      <c r="A369" s="344" t="s">
        <v>760</v>
      </c>
      <c r="B369" t="s">
        <v>827</v>
      </c>
      <c r="C369" t="s">
        <v>823</v>
      </c>
      <c r="D369" t="s">
        <v>746</v>
      </c>
      <c r="E369" t="s">
        <v>829</v>
      </c>
      <c r="F369" t="s">
        <v>803</v>
      </c>
      <c r="G369" t="s">
        <v>830</v>
      </c>
      <c r="H369" t="s">
        <v>831</v>
      </c>
      <c r="I369" t="s">
        <v>722</v>
      </c>
      <c r="J369" t="s">
        <v>721</v>
      </c>
      <c r="K369"/>
      <c r="L369"/>
      <c r="M369" t="s">
        <v>750</v>
      </c>
      <c r="N369" t="s">
        <v>751</v>
      </c>
      <c r="O369"/>
      <c r="P369" t="e">
        <f>VLOOKUP(N369,#REF!,2,FALSE)</f>
        <v>#REF!</v>
      </c>
      <c r="Q369" t="s">
        <v>877</v>
      </c>
      <c r="R369" s="345">
        <v>-305012.47999999998</v>
      </c>
    </row>
    <row r="370" spans="1:18" x14ac:dyDescent="0.2">
      <c r="A370" s="344" t="s">
        <v>745</v>
      </c>
      <c r="B370" t="s">
        <v>827</v>
      </c>
      <c r="C370" t="s">
        <v>823</v>
      </c>
      <c r="D370" t="s">
        <v>746</v>
      </c>
      <c r="E370" t="s">
        <v>829</v>
      </c>
      <c r="F370" t="s">
        <v>803</v>
      </c>
      <c r="G370" t="s">
        <v>830</v>
      </c>
      <c r="H370" t="s">
        <v>831</v>
      </c>
      <c r="I370" t="s">
        <v>722</v>
      </c>
      <c r="J370" t="s">
        <v>721</v>
      </c>
      <c r="K370"/>
      <c r="L370"/>
      <c r="M370" t="s">
        <v>750</v>
      </c>
      <c r="N370" t="s">
        <v>751</v>
      </c>
      <c r="O370"/>
      <c r="P370" t="e">
        <f>VLOOKUP(N370,#REF!,2,FALSE)</f>
        <v>#REF!</v>
      </c>
      <c r="Q370" t="s">
        <v>877</v>
      </c>
      <c r="R370" s="345">
        <v>-295173.37</v>
      </c>
    </row>
    <row r="371" spans="1:18" x14ac:dyDescent="0.2">
      <c r="A371" s="344" t="s">
        <v>755</v>
      </c>
      <c r="B371" t="s">
        <v>827</v>
      </c>
      <c r="C371" t="s">
        <v>823</v>
      </c>
      <c r="D371" t="s">
        <v>746</v>
      </c>
      <c r="E371" t="s">
        <v>829</v>
      </c>
      <c r="F371" t="s">
        <v>803</v>
      </c>
      <c r="G371" t="s">
        <v>830</v>
      </c>
      <c r="H371" t="s">
        <v>831</v>
      </c>
      <c r="I371" t="s">
        <v>722</v>
      </c>
      <c r="J371" t="s">
        <v>721</v>
      </c>
      <c r="K371"/>
      <c r="L371"/>
      <c r="M371" t="s">
        <v>750</v>
      </c>
      <c r="N371" t="s">
        <v>751</v>
      </c>
      <c r="O371"/>
      <c r="P371" t="e">
        <f>VLOOKUP(N371,#REF!,2,FALSE)</f>
        <v>#REF!</v>
      </c>
      <c r="Q371" t="s">
        <v>878</v>
      </c>
      <c r="R371" s="345">
        <v>-1229311.53</v>
      </c>
    </row>
    <row r="372" spans="1:18" x14ac:dyDescent="0.2">
      <c r="A372" s="344" t="s">
        <v>756</v>
      </c>
      <c r="B372" t="s">
        <v>827</v>
      </c>
      <c r="C372" t="s">
        <v>823</v>
      </c>
      <c r="D372" t="s">
        <v>746</v>
      </c>
      <c r="E372" t="s">
        <v>829</v>
      </c>
      <c r="F372" t="s">
        <v>803</v>
      </c>
      <c r="G372" t="s">
        <v>830</v>
      </c>
      <c r="H372" t="s">
        <v>831</v>
      </c>
      <c r="I372" t="s">
        <v>722</v>
      </c>
      <c r="J372" t="s">
        <v>721</v>
      </c>
      <c r="K372"/>
      <c r="L372"/>
      <c r="M372" t="s">
        <v>750</v>
      </c>
      <c r="N372" t="s">
        <v>751</v>
      </c>
      <c r="O372"/>
      <c r="P372" t="e">
        <f>VLOOKUP(N372,#REF!,2,FALSE)</f>
        <v>#REF!</v>
      </c>
      <c r="Q372" t="s">
        <v>878</v>
      </c>
      <c r="R372" s="345">
        <v>-248189.1</v>
      </c>
    </row>
    <row r="373" spans="1:18" x14ac:dyDescent="0.2">
      <c r="A373" s="344" t="s">
        <v>757</v>
      </c>
      <c r="B373" t="s">
        <v>827</v>
      </c>
      <c r="C373" t="s">
        <v>823</v>
      </c>
      <c r="D373" t="s">
        <v>746</v>
      </c>
      <c r="E373" t="s">
        <v>829</v>
      </c>
      <c r="F373" t="s">
        <v>803</v>
      </c>
      <c r="G373" t="s">
        <v>830</v>
      </c>
      <c r="H373" t="s">
        <v>831</v>
      </c>
      <c r="I373" t="s">
        <v>722</v>
      </c>
      <c r="J373" t="s">
        <v>721</v>
      </c>
      <c r="K373"/>
      <c r="L373"/>
      <c r="M373" t="s">
        <v>750</v>
      </c>
      <c r="N373" t="s">
        <v>751</v>
      </c>
      <c r="O373"/>
      <c r="P373" t="e">
        <f>VLOOKUP(N373,#REF!,2,FALSE)</f>
        <v>#REF!</v>
      </c>
      <c r="Q373" t="s">
        <v>878</v>
      </c>
      <c r="R373" s="345">
        <v>0</v>
      </c>
    </row>
    <row r="374" spans="1:18" x14ac:dyDescent="0.2">
      <c r="A374" s="344" t="s">
        <v>745</v>
      </c>
      <c r="B374" t="s">
        <v>827</v>
      </c>
      <c r="C374" t="s">
        <v>823</v>
      </c>
      <c r="D374" t="s">
        <v>746</v>
      </c>
      <c r="E374" t="s">
        <v>829</v>
      </c>
      <c r="F374" t="s">
        <v>803</v>
      </c>
      <c r="G374" t="s">
        <v>830</v>
      </c>
      <c r="H374" t="s">
        <v>831</v>
      </c>
      <c r="I374" t="s">
        <v>722</v>
      </c>
      <c r="J374" t="s">
        <v>721</v>
      </c>
      <c r="K374"/>
      <c r="L374"/>
      <c r="M374" t="s">
        <v>750</v>
      </c>
      <c r="N374" t="s">
        <v>751</v>
      </c>
      <c r="O374"/>
      <c r="P374" t="e">
        <f>VLOOKUP(N374,#REF!,2,FALSE)</f>
        <v>#REF!</v>
      </c>
      <c r="Q374" t="s">
        <v>878</v>
      </c>
      <c r="R374" s="345">
        <v>-822213.16</v>
      </c>
    </row>
    <row r="375" spans="1:18" x14ac:dyDescent="0.2">
      <c r="A375" s="344" t="s">
        <v>749</v>
      </c>
      <c r="B375" t="s">
        <v>827</v>
      </c>
      <c r="C375" t="s">
        <v>823</v>
      </c>
      <c r="D375" t="s">
        <v>746</v>
      </c>
      <c r="E375" t="s">
        <v>829</v>
      </c>
      <c r="F375" t="s">
        <v>803</v>
      </c>
      <c r="G375" t="s">
        <v>830</v>
      </c>
      <c r="H375" t="s">
        <v>831</v>
      </c>
      <c r="I375" t="s">
        <v>722</v>
      </c>
      <c r="J375" t="s">
        <v>721</v>
      </c>
      <c r="K375"/>
      <c r="L375"/>
      <c r="M375" t="s">
        <v>750</v>
      </c>
      <c r="N375" t="s">
        <v>751</v>
      </c>
      <c r="O375"/>
      <c r="P375" t="e">
        <f>VLOOKUP(N375,#REF!,2,FALSE)</f>
        <v>#REF!</v>
      </c>
      <c r="Q375" t="s">
        <v>879</v>
      </c>
      <c r="R375" s="345">
        <v>-1565.64</v>
      </c>
    </row>
    <row r="376" spans="1:18" x14ac:dyDescent="0.2">
      <c r="A376" s="344" t="s">
        <v>752</v>
      </c>
      <c r="B376" t="s">
        <v>827</v>
      </c>
      <c r="C376" t="s">
        <v>823</v>
      </c>
      <c r="D376" t="s">
        <v>746</v>
      </c>
      <c r="E376" t="s">
        <v>829</v>
      </c>
      <c r="F376" t="s">
        <v>803</v>
      </c>
      <c r="G376" t="s">
        <v>830</v>
      </c>
      <c r="H376" t="s">
        <v>831</v>
      </c>
      <c r="I376" t="s">
        <v>722</v>
      </c>
      <c r="J376" t="s">
        <v>721</v>
      </c>
      <c r="K376"/>
      <c r="L376"/>
      <c r="M376" t="s">
        <v>750</v>
      </c>
      <c r="N376" t="s">
        <v>751</v>
      </c>
      <c r="O376"/>
      <c r="P376" t="e">
        <f>VLOOKUP(N376,#REF!,2,FALSE)</f>
        <v>#REF!</v>
      </c>
      <c r="Q376" t="s">
        <v>879</v>
      </c>
      <c r="R376" s="345">
        <v>-1565.64</v>
      </c>
    </row>
    <row r="377" spans="1:18" x14ac:dyDescent="0.2">
      <c r="A377" s="344" t="s">
        <v>753</v>
      </c>
      <c r="B377" t="s">
        <v>827</v>
      </c>
      <c r="C377" t="s">
        <v>823</v>
      </c>
      <c r="D377" t="s">
        <v>746</v>
      </c>
      <c r="E377" t="s">
        <v>829</v>
      </c>
      <c r="F377" t="s">
        <v>803</v>
      </c>
      <c r="G377" t="s">
        <v>830</v>
      </c>
      <c r="H377" t="s">
        <v>831</v>
      </c>
      <c r="I377" t="s">
        <v>722</v>
      </c>
      <c r="J377" t="s">
        <v>721</v>
      </c>
      <c r="K377"/>
      <c r="L377"/>
      <c r="M377" t="s">
        <v>750</v>
      </c>
      <c r="N377" t="s">
        <v>751</v>
      </c>
      <c r="O377"/>
      <c r="P377" t="e">
        <f>VLOOKUP(N377,#REF!,2,FALSE)</f>
        <v>#REF!</v>
      </c>
      <c r="Q377" t="s">
        <v>879</v>
      </c>
      <c r="R377" s="345">
        <v>-1515.14</v>
      </c>
    </row>
    <row r="378" spans="1:18" x14ac:dyDescent="0.2">
      <c r="A378" s="344" t="s">
        <v>754</v>
      </c>
      <c r="B378" t="s">
        <v>827</v>
      </c>
      <c r="C378" t="s">
        <v>823</v>
      </c>
      <c r="D378" t="s">
        <v>746</v>
      </c>
      <c r="E378" t="s">
        <v>829</v>
      </c>
      <c r="F378" t="s">
        <v>803</v>
      </c>
      <c r="G378" t="s">
        <v>830</v>
      </c>
      <c r="H378" t="s">
        <v>831</v>
      </c>
      <c r="I378" t="s">
        <v>722</v>
      </c>
      <c r="J378" t="s">
        <v>721</v>
      </c>
      <c r="K378"/>
      <c r="L378"/>
      <c r="M378" t="s">
        <v>750</v>
      </c>
      <c r="N378" t="s">
        <v>751</v>
      </c>
      <c r="O378"/>
      <c r="P378" t="e">
        <f>VLOOKUP(N378,#REF!,2,FALSE)</f>
        <v>#REF!</v>
      </c>
      <c r="Q378" t="s">
        <v>879</v>
      </c>
      <c r="R378" s="345">
        <v>-1569.02</v>
      </c>
    </row>
    <row r="379" spans="1:18" x14ac:dyDescent="0.2">
      <c r="A379" s="344" t="s">
        <v>755</v>
      </c>
      <c r="B379" t="s">
        <v>827</v>
      </c>
      <c r="C379" t="s">
        <v>823</v>
      </c>
      <c r="D379" t="s">
        <v>746</v>
      </c>
      <c r="E379" t="s">
        <v>829</v>
      </c>
      <c r="F379" t="s">
        <v>803</v>
      </c>
      <c r="G379" t="s">
        <v>830</v>
      </c>
      <c r="H379" t="s">
        <v>831</v>
      </c>
      <c r="I379" t="s">
        <v>722</v>
      </c>
      <c r="J379" t="s">
        <v>721</v>
      </c>
      <c r="K379"/>
      <c r="L379"/>
      <c r="M379" t="s">
        <v>750</v>
      </c>
      <c r="N379" t="s">
        <v>751</v>
      </c>
      <c r="O379"/>
      <c r="P379" t="e">
        <f>VLOOKUP(N379,#REF!,2,FALSE)</f>
        <v>#REF!</v>
      </c>
      <c r="Q379" t="s">
        <v>879</v>
      </c>
      <c r="R379" s="345">
        <v>-1518.41</v>
      </c>
    </row>
    <row r="380" spans="1:18" x14ac:dyDescent="0.2">
      <c r="A380" s="344" t="s">
        <v>756</v>
      </c>
      <c r="B380" t="s">
        <v>827</v>
      </c>
      <c r="C380" t="s">
        <v>823</v>
      </c>
      <c r="D380" t="s">
        <v>746</v>
      </c>
      <c r="E380" t="s">
        <v>829</v>
      </c>
      <c r="F380" t="s">
        <v>803</v>
      </c>
      <c r="G380" t="s">
        <v>830</v>
      </c>
      <c r="H380" t="s">
        <v>831</v>
      </c>
      <c r="I380" t="s">
        <v>722</v>
      </c>
      <c r="J380" t="s">
        <v>721</v>
      </c>
      <c r="K380"/>
      <c r="L380"/>
      <c r="M380" t="s">
        <v>750</v>
      </c>
      <c r="N380" t="s">
        <v>751</v>
      </c>
      <c r="O380"/>
      <c r="P380" t="e">
        <f>VLOOKUP(N380,#REF!,2,FALSE)</f>
        <v>#REF!</v>
      </c>
      <c r="Q380" t="s">
        <v>879</v>
      </c>
      <c r="R380" s="345">
        <v>-1569.02</v>
      </c>
    </row>
    <row r="381" spans="1:18" x14ac:dyDescent="0.2">
      <c r="A381" s="344" t="s">
        <v>757</v>
      </c>
      <c r="B381" t="s">
        <v>827</v>
      </c>
      <c r="C381" t="s">
        <v>823</v>
      </c>
      <c r="D381" t="s">
        <v>746</v>
      </c>
      <c r="E381" t="s">
        <v>829</v>
      </c>
      <c r="F381" t="s">
        <v>803</v>
      </c>
      <c r="G381" t="s">
        <v>830</v>
      </c>
      <c r="H381" t="s">
        <v>831</v>
      </c>
      <c r="I381" t="s">
        <v>722</v>
      </c>
      <c r="J381" t="s">
        <v>721</v>
      </c>
      <c r="K381"/>
      <c r="L381"/>
      <c r="M381" t="s">
        <v>750</v>
      </c>
      <c r="N381" t="s">
        <v>751</v>
      </c>
      <c r="O381"/>
      <c r="P381" t="e">
        <f>VLOOKUP(N381,#REF!,2,FALSE)</f>
        <v>#REF!</v>
      </c>
      <c r="Q381" t="s">
        <v>879</v>
      </c>
      <c r="R381" s="345">
        <v>-1572.41</v>
      </c>
    </row>
    <row r="382" spans="1:18" x14ac:dyDescent="0.2">
      <c r="A382" s="344" t="s">
        <v>758</v>
      </c>
      <c r="B382" t="s">
        <v>827</v>
      </c>
      <c r="C382" t="s">
        <v>823</v>
      </c>
      <c r="D382" t="s">
        <v>746</v>
      </c>
      <c r="E382" t="s">
        <v>829</v>
      </c>
      <c r="F382" t="s">
        <v>803</v>
      </c>
      <c r="G382" t="s">
        <v>830</v>
      </c>
      <c r="H382" t="s">
        <v>831</v>
      </c>
      <c r="I382" t="s">
        <v>722</v>
      </c>
      <c r="J382" t="s">
        <v>721</v>
      </c>
      <c r="K382"/>
      <c r="L382"/>
      <c r="M382" t="s">
        <v>750</v>
      </c>
      <c r="N382" t="s">
        <v>751</v>
      </c>
      <c r="O382"/>
      <c r="P382" t="e">
        <f>VLOOKUP(N382,#REF!,2,FALSE)</f>
        <v>#REF!</v>
      </c>
      <c r="Q382" t="s">
        <v>879</v>
      </c>
      <c r="R382" s="345">
        <v>-1420.24</v>
      </c>
    </row>
    <row r="383" spans="1:18" x14ac:dyDescent="0.2">
      <c r="A383" s="344" t="s">
        <v>759</v>
      </c>
      <c r="B383" t="s">
        <v>827</v>
      </c>
      <c r="C383" t="s">
        <v>823</v>
      </c>
      <c r="D383" t="s">
        <v>746</v>
      </c>
      <c r="E383" t="s">
        <v>829</v>
      </c>
      <c r="F383" t="s">
        <v>803</v>
      </c>
      <c r="G383" t="s">
        <v>830</v>
      </c>
      <c r="H383" t="s">
        <v>831</v>
      </c>
      <c r="I383" t="s">
        <v>722</v>
      </c>
      <c r="J383" t="s">
        <v>721</v>
      </c>
      <c r="K383"/>
      <c r="L383"/>
      <c r="M383" t="s">
        <v>750</v>
      </c>
      <c r="N383" t="s">
        <v>751</v>
      </c>
      <c r="O383"/>
      <c r="P383" t="e">
        <f>VLOOKUP(N383,#REF!,2,FALSE)</f>
        <v>#REF!</v>
      </c>
      <c r="Q383" t="s">
        <v>879</v>
      </c>
      <c r="R383" s="345">
        <v>-1572.41</v>
      </c>
    </row>
    <row r="384" spans="1:18" x14ac:dyDescent="0.2">
      <c r="A384" s="344" t="s">
        <v>743</v>
      </c>
      <c r="B384" t="s">
        <v>827</v>
      </c>
      <c r="C384" t="s">
        <v>823</v>
      </c>
      <c r="D384" t="s">
        <v>746</v>
      </c>
      <c r="E384" t="s">
        <v>829</v>
      </c>
      <c r="F384" t="s">
        <v>803</v>
      </c>
      <c r="G384" t="s">
        <v>830</v>
      </c>
      <c r="H384" t="s">
        <v>831</v>
      </c>
      <c r="I384" t="s">
        <v>722</v>
      </c>
      <c r="J384" t="s">
        <v>721</v>
      </c>
      <c r="K384"/>
      <c r="L384"/>
      <c r="M384" t="s">
        <v>750</v>
      </c>
      <c r="N384" t="s">
        <v>751</v>
      </c>
      <c r="O384"/>
      <c r="P384" t="e">
        <f>VLOOKUP(N384,#REF!,2,FALSE)</f>
        <v>#REF!</v>
      </c>
      <c r="Q384" t="s">
        <v>879</v>
      </c>
      <c r="R384" s="345">
        <v>-1535.88</v>
      </c>
    </row>
    <row r="385" spans="1:18" x14ac:dyDescent="0.2">
      <c r="A385" s="344" t="s">
        <v>760</v>
      </c>
      <c r="B385" t="s">
        <v>827</v>
      </c>
      <c r="C385" t="s">
        <v>823</v>
      </c>
      <c r="D385" t="s">
        <v>746</v>
      </c>
      <c r="E385" t="s">
        <v>829</v>
      </c>
      <c r="F385" t="s">
        <v>803</v>
      </c>
      <c r="G385" t="s">
        <v>830</v>
      </c>
      <c r="H385" t="s">
        <v>831</v>
      </c>
      <c r="I385" t="s">
        <v>722</v>
      </c>
      <c r="J385" t="s">
        <v>721</v>
      </c>
      <c r="K385"/>
      <c r="L385"/>
      <c r="M385" t="s">
        <v>750</v>
      </c>
      <c r="N385" t="s">
        <v>751</v>
      </c>
      <c r="O385"/>
      <c r="P385" t="e">
        <f>VLOOKUP(N385,#REF!,2,FALSE)</f>
        <v>#REF!</v>
      </c>
      <c r="Q385" t="s">
        <v>879</v>
      </c>
      <c r="R385" s="345">
        <v>-1587.07</v>
      </c>
    </row>
    <row r="386" spans="1:18" x14ac:dyDescent="0.2">
      <c r="A386" s="344" t="s">
        <v>745</v>
      </c>
      <c r="B386" t="s">
        <v>827</v>
      </c>
      <c r="C386" t="s">
        <v>823</v>
      </c>
      <c r="D386" t="s">
        <v>746</v>
      </c>
      <c r="E386" t="s">
        <v>829</v>
      </c>
      <c r="F386" t="s">
        <v>803</v>
      </c>
      <c r="G386" t="s">
        <v>830</v>
      </c>
      <c r="H386" t="s">
        <v>831</v>
      </c>
      <c r="I386" t="s">
        <v>722</v>
      </c>
      <c r="J386" t="s">
        <v>721</v>
      </c>
      <c r="K386"/>
      <c r="L386"/>
      <c r="M386" t="s">
        <v>750</v>
      </c>
      <c r="N386" t="s">
        <v>751</v>
      </c>
      <c r="O386"/>
      <c r="P386" t="e">
        <f>VLOOKUP(N386,#REF!,2,FALSE)</f>
        <v>#REF!</v>
      </c>
      <c r="Q386" t="s">
        <v>879</v>
      </c>
      <c r="R386" s="345">
        <v>-1535.88</v>
      </c>
    </row>
    <row r="387" spans="1:18" x14ac:dyDescent="0.2">
      <c r="A387" s="344" t="s">
        <v>749</v>
      </c>
      <c r="B387" t="s">
        <v>827</v>
      </c>
      <c r="C387" t="s">
        <v>823</v>
      </c>
      <c r="D387" t="s">
        <v>746</v>
      </c>
      <c r="E387" t="s">
        <v>829</v>
      </c>
      <c r="F387" t="s">
        <v>803</v>
      </c>
      <c r="G387" t="s">
        <v>830</v>
      </c>
      <c r="H387" t="s">
        <v>831</v>
      </c>
      <c r="I387" t="s">
        <v>722</v>
      </c>
      <c r="J387" t="s">
        <v>721</v>
      </c>
      <c r="K387"/>
      <c r="L387"/>
      <c r="M387" t="s">
        <v>750</v>
      </c>
      <c r="N387" t="s">
        <v>751</v>
      </c>
      <c r="O387"/>
      <c r="P387" t="e">
        <f>VLOOKUP(N387,#REF!,2,FALSE)</f>
        <v>#REF!</v>
      </c>
      <c r="Q387" t="s">
        <v>880</v>
      </c>
      <c r="R387" s="345">
        <v>-7058441.9699999997</v>
      </c>
    </row>
    <row r="388" spans="1:18" x14ac:dyDescent="0.2">
      <c r="A388" s="344" t="s">
        <v>752</v>
      </c>
      <c r="B388" t="s">
        <v>827</v>
      </c>
      <c r="C388" t="s">
        <v>823</v>
      </c>
      <c r="D388" t="s">
        <v>746</v>
      </c>
      <c r="E388" t="s">
        <v>829</v>
      </c>
      <c r="F388" t="s">
        <v>803</v>
      </c>
      <c r="G388" t="s">
        <v>830</v>
      </c>
      <c r="H388" t="s">
        <v>831</v>
      </c>
      <c r="I388" t="s">
        <v>722</v>
      </c>
      <c r="J388" t="s">
        <v>721</v>
      </c>
      <c r="K388"/>
      <c r="L388"/>
      <c r="M388" t="s">
        <v>750</v>
      </c>
      <c r="N388" t="s">
        <v>751</v>
      </c>
      <c r="O388"/>
      <c r="P388" t="e">
        <f>VLOOKUP(N388,#REF!,2,FALSE)</f>
        <v>#REF!</v>
      </c>
      <c r="Q388" t="s">
        <v>880</v>
      </c>
      <c r="R388" s="345">
        <v>-7058441.9699999997</v>
      </c>
    </row>
    <row r="389" spans="1:18" x14ac:dyDescent="0.2">
      <c r="A389" s="344" t="s">
        <v>753</v>
      </c>
      <c r="B389" t="s">
        <v>827</v>
      </c>
      <c r="C389" t="s">
        <v>823</v>
      </c>
      <c r="D389" t="s">
        <v>746</v>
      </c>
      <c r="E389" t="s">
        <v>829</v>
      </c>
      <c r="F389" t="s">
        <v>803</v>
      </c>
      <c r="G389" t="s">
        <v>830</v>
      </c>
      <c r="H389" t="s">
        <v>831</v>
      </c>
      <c r="I389" t="s">
        <v>722</v>
      </c>
      <c r="J389" t="s">
        <v>721</v>
      </c>
      <c r="K389"/>
      <c r="L389"/>
      <c r="M389" t="s">
        <v>750</v>
      </c>
      <c r="N389" t="s">
        <v>751</v>
      </c>
      <c r="O389"/>
      <c r="P389" t="e">
        <f>VLOOKUP(N389,#REF!,2,FALSE)</f>
        <v>#REF!</v>
      </c>
      <c r="Q389" t="s">
        <v>880</v>
      </c>
      <c r="R389" s="345">
        <v>-6830750.29</v>
      </c>
    </row>
    <row r="390" spans="1:18" x14ac:dyDescent="0.2">
      <c r="A390" s="344" t="s">
        <v>754</v>
      </c>
      <c r="B390" t="s">
        <v>827</v>
      </c>
      <c r="C390" t="s">
        <v>823</v>
      </c>
      <c r="D390" t="s">
        <v>746</v>
      </c>
      <c r="E390" t="s">
        <v>829</v>
      </c>
      <c r="F390" t="s">
        <v>803</v>
      </c>
      <c r="G390" t="s">
        <v>830</v>
      </c>
      <c r="H390" t="s">
        <v>831</v>
      </c>
      <c r="I390" t="s">
        <v>722</v>
      </c>
      <c r="J390" t="s">
        <v>721</v>
      </c>
      <c r="K390"/>
      <c r="L390"/>
      <c r="M390" t="s">
        <v>750</v>
      </c>
      <c r="N390" t="s">
        <v>751</v>
      </c>
      <c r="O390"/>
      <c r="P390" t="e">
        <f>VLOOKUP(N390,#REF!,2,FALSE)</f>
        <v>#REF!</v>
      </c>
      <c r="Q390" t="s">
        <v>880</v>
      </c>
      <c r="R390" s="345">
        <v>-4306185.51</v>
      </c>
    </row>
    <row r="391" spans="1:18" x14ac:dyDescent="0.2">
      <c r="A391" s="344" t="s">
        <v>755</v>
      </c>
      <c r="B391" t="s">
        <v>827</v>
      </c>
      <c r="C391" t="s">
        <v>823</v>
      </c>
      <c r="D391" t="s">
        <v>746</v>
      </c>
      <c r="E391" t="s">
        <v>829</v>
      </c>
      <c r="F391" t="s">
        <v>803</v>
      </c>
      <c r="G391" t="s">
        <v>830</v>
      </c>
      <c r="H391" t="s">
        <v>831</v>
      </c>
      <c r="I391" t="s">
        <v>722</v>
      </c>
      <c r="J391" t="s">
        <v>721</v>
      </c>
      <c r="K391"/>
      <c r="L391"/>
      <c r="M391" t="s">
        <v>750</v>
      </c>
      <c r="N391" t="s">
        <v>751</v>
      </c>
      <c r="O391"/>
      <c r="P391" t="e">
        <f>VLOOKUP(N391,#REF!,2,FALSE)</f>
        <v>#REF!</v>
      </c>
      <c r="Q391" t="s">
        <v>880</v>
      </c>
      <c r="R391" s="345">
        <v>-4167276.3</v>
      </c>
    </row>
    <row r="392" spans="1:18" x14ac:dyDescent="0.2">
      <c r="A392" s="344" t="s">
        <v>756</v>
      </c>
      <c r="B392" t="s">
        <v>827</v>
      </c>
      <c r="C392" t="s">
        <v>823</v>
      </c>
      <c r="D392" t="s">
        <v>746</v>
      </c>
      <c r="E392" t="s">
        <v>829</v>
      </c>
      <c r="F392" t="s">
        <v>803</v>
      </c>
      <c r="G392" t="s">
        <v>830</v>
      </c>
      <c r="H392" t="s">
        <v>831</v>
      </c>
      <c r="I392" t="s">
        <v>722</v>
      </c>
      <c r="J392" t="s">
        <v>721</v>
      </c>
      <c r="K392"/>
      <c r="L392"/>
      <c r="M392" t="s">
        <v>750</v>
      </c>
      <c r="N392" t="s">
        <v>751</v>
      </c>
      <c r="O392"/>
      <c r="P392" t="e">
        <f>VLOOKUP(N392,#REF!,2,FALSE)</f>
        <v>#REF!</v>
      </c>
      <c r="Q392" t="s">
        <v>880</v>
      </c>
      <c r="R392" s="345">
        <v>-4306185.51</v>
      </c>
    </row>
    <row r="393" spans="1:18" x14ac:dyDescent="0.2">
      <c r="A393" s="344" t="s">
        <v>757</v>
      </c>
      <c r="B393" t="s">
        <v>827</v>
      </c>
      <c r="C393" t="s">
        <v>823</v>
      </c>
      <c r="D393" t="s">
        <v>746</v>
      </c>
      <c r="E393" t="s">
        <v>829</v>
      </c>
      <c r="F393" t="s">
        <v>803</v>
      </c>
      <c r="G393" t="s">
        <v>830</v>
      </c>
      <c r="H393" t="s">
        <v>831</v>
      </c>
      <c r="I393" t="s">
        <v>722</v>
      </c>
      <c r="J393" t="s">
        <v>721</v>
      </c>
      <c r="K393"/>
      <c r="L393"/>
      <c r="M393" t="s">
        <v>750</v>
      </c>
      <c r="N393" t="s">
        <v>751</v>
      </c>
      <c r="O393"/>
      <c r="P393" t="e">
        <f>VLOOKUP(N393,#REF!,2,FALSE)</f>
        <v>#REF!</v>
      </c>
      <c r="Q393" t="s">
        <v>880</v>
      </c>
      <c r="R393" s="345">
        <v>-4427126.74</v>
      </c>
    </row>
    <row r="394" spans="1:18" x14ac:dyDescent="0.2">
      <c r="A394" s="344" t="s">
        <v>758</v>
      </c>
      <c r="B394" t="s">
        <v>827</v>
      </c>
      <c r="C394" t="s">
        <v>823</v>
      </c>
      <c r="D394" t="s">
        <v>746</v>
      </c>
      <c r="E394" t="s">
        <v>829</v>
      </c>
      <c r="F394" t="s">
        <v>803</v>
      </c>
      <c r="G394" t="s">
        <v>830</v>
      </c>
      <c r="H394" t="s">
        <v>831</v>
      </c>
      <c r="I394" t="s">
        <v>722</v>
      </c>
      <c r="J394" t="s">
        <v>721</v>
      </c>
      <c r="K394"/>
      <c r="L394"/>
      <c r="M394" t="s">
        <v>750</v>
      </c>
      <c r="N394" t="s">
        <v>751</v>
      </c>
      <c r="O394"/>
      <c r="P394" t="e">
        <f>VLOOKUP(N394,#REF!,2,FALSE)</f>
        <v>#REF!</v>
      </c>
      <c r="Q394" t="s">
        <v>880</v>
      </c>
      <c r="R394" s="345">
        <v>-3998695.12</v>
      </c>
    </row>
    <row r="395" spans="1:18" x14ac:dyDescent="0.2">
      <c r="A395" s="344" t="s">
        <v>759</v>
      </c>
      <c r="B395" t="s">
        <v>827</v>
      </c>
      <c r="C395" t="s">
        <v>823</v>
      </c>
      <c r="D395" t="s">
        <v>746</v>
      </c>
      <c r="E395" t="s">
        <v>829</v>
      </c>
      <c r="F395" t="s">
        <v>803</v>
      </c>
      <c r="G395" t="s">
        <v>830</v>
      </c>
      <c r="H395" t="s">
        <v>831</v>
      </c>
      <c r="I395" t="s">
        <v>722</v>
      </c>
      <c r="J395" t="s">
        <v>721</v>
      </c>
      <c r="K395"/>
      <c r="L395"/>
      <c r="M395" t="s">
        <v>750</v>
      </c>
      <c r="N395" t="s">
        <v>751</v>
      </c>
      <c r="O395"/>
      <c r="P395" t="e">
        <f>VLOOKUP(N395,#REF!,2,FALSE)</f>
        <v>#REF!</v>
      </c>
      <c r="Q395" t="s">
        <v>880</v>
      </c>
      <c r="R395" s="345">
        <v>-4427126.74</v>
      </c>
    </row>
    <row r="396" spans="1:18" x14ac:dyDescent="0.2">
      <c r="A396" s="344" t="s">
        <v>743</v>
      </c>
      <c r="B396" t="s">
        <v>827</v>
      </c>
      <c r="C396" t="s">
        <v>823</v>
      </c>
      <c r="D396" t="s">
        <v>746</v>
      </c>
      <c r="E396" t="s">
        <v>829</v>
      </c>
      <c r="F396" t="s">
        <v>803</v>
      </c>
      <c r="G396" t="s">
        <v>830</v>
      </c>
      <c r="H396" t="s">
        <v>831</v>
      </c>
      <c r="I396" t="s">
        <v>722</v>
      </c>
      <c r="J396" t="s">
        <v>721</v>
      </c>
      <c r="K396"/>
      <c r="L396"/>
      <c r="M396" t="s">
        <v>750</v>
      </c>
      <c r="N396" t="s">
        <v>751</v>
      </c>
      <c r="O396"/>
      <c r="P396" t="e">
        <f>VLOOKUP(N396,#REF!,2,FALSE)</f>
        <v>#REF!</v>
      </c>
      <c r="Q396" t="s">
        <v>880</v>
      </c>
      <c r="R396" s="345">
        <v>-4284316.2</v>
      </c>
    </row>
    <row r="397" spans="1:18" x14ac:dyDescent="0.2">
      <c r="A397" s="344" t="s">
        <v>760</v>
      </c>
      <c r="B397" t="s">
        <v>827</v>
      </c>
      <c r="C397" t="s">
        <v>823</v>
      </c>
      <c r="D397" t="s">
        <v>746</v>
      </c>
      <c r="E397" t="s">
        <v>829</v>
      </c>
      <c r="F397" t="s">
        <v>803</v>
      </c>
      <c r="G397" t="s">
        <v>830</v>
      </c>
      <c r="H397" t="s">
        <v>831</v>
      </c>
      <c r="I397" t="s">
        <v>722</v>
      </c>
      <c r="J397" t="s">
        <v>721</v>
      </c>
      <c r="K397"/>
      <c r="L397"/>
      <c r="M397" t="s">
        <v>750</v>
      </c>
      <c r="N397" t="s">
        <v>751</v>
      </c>
      <c r="O397"/>
      <c r="P397" t="e">
        <f>VLOOKUP(N397,#REF!,2,FALSE)</f>
        <v>#REF!</v>
      </c>
      <c r="Q397" t="s">
        <v>880</v>
      </c>
      <c r="R397" s="345">
        <v>-7256682.7199999997</v>
      </c>
    </row>
    <row r="398" spans="1:18" x14ac:dyDescent="0.2">
      <c r="A398" s="344" t="s">
        <v>745</v>
      </c>
      <c r="B398" t="s">
        <v>827</v>
      </c>
      <c r="C398" t="s">
        <v>823</v>
      </c>
      <c r="D398" t="s">
        <v>746</v>
      </c>
      <c r="E398" t="s">
        <v>829</v>
      </c>
      <c r="F398" t="s">
        <v>803</v>
      </c>
      <c r="G398" t="s">
        <v>830</v>
      </c>
      <c r="H398" t="s">
        <v>831</v>
      </c>
      <c r="I398" t="s">
        <v>722</v>
      </c>
      <c r="J398" t="s">
        <v>721</v>
      </c>
      <c r="K398"/>
      <c r="L398"/>
      <c r="M398" t="s">
        <v>750</v>
      </c>
      <c r="N398" t="s">
        <v>751</v>
      </c>
      <c r="O398"/>
      <c r="P398" t="e">
        <f>VLOOKUP(N398,#REF!,2,FALSE)</f>
        <v>#REF!</v>
      </c>
      <c r="Q398" t="s">
        <v>880</v>
      </c>
      <c r="R398" s="345">
        <v>-7022596.1900000004</v>
      </c>
    </row>
    <row r="399" spans="1:18" x14ac:dyDescent="0.2">
      <c r="A399" s="344" t="s">
        <v>757</v>
      </c>
      <c r="B399" t="s">
        <v>827</v>
      </c>
      <c r="C399" t="s">
        <v>823</v>
      </c>
      <c r="D399" t="s">
        <v>746</v>
      </c>
      <c r="E399" t="s">
        <v>829</v>
      </c>
      <c r="F399" t="s">
        <v>803</v>
      </c>
      <c r="G399" t="s">
        <v>830</v>
      </c>
      <c r="H399" t="s">
        <v>831</v>
      </c>
      <c r="I399" t="s">
        <v>722</v>
      </c>
      <c r="J399" t="s">
        <v>721</v>
      </c>
      <c r="K399"/>
      <c r="L399"/>
      <c r="M399" t="s">
        <v>750</v>
      </c>
      <c r="N399" t="s">
        <v>751</v>
      </c>
      <c r="O399"/>
      <c r="P399" t="e">
        <f>VLOOKUP(N399,#REF!,2,FALSE)</f>
        <v>#REF!</v>
      </c>
      <c r="Q399" t="s">
        <v>863</v>
      </c>
      <c r="R399" s="345">
        <v>-39347.089999999997</v>
      </c>
    </row>
    <row r="400" spans="1:18" x14ac:dyDescent="0.2">
      <c r="A400" s="344" t="s">
        <v>758</v>
      </c>
      <c r="B400" t="s">
        <v>827</v>
      </c>
      <c r="C400" t="s">
        <v>823</v>
      </c>
      <c r="D400" t="s">
        <v>746</v>
      </c>
      <c r="E400" t="s">
        <v>829</v>
      </c>
      <c r="F400" t="s">
        <v>803</v>
      </c>
      <c r="G400" t="s">
        <v>830</v>
      </c>
      <c r="H400" t="s">
        <v>831</v>
      </c>
      <c r="I400" t="s">
        <v>722</v>
      </c>
      <c r="J400" t="s">
        <v>721</v>
      </c>
      <c r="K400"/>
      <c r="L400"/>
      <c r="M400" t="s">
        <v>750</v>
      </c>
      <c r="N400" t="s">
        <v>751</v>
      </c>
      <c r="O400"/>
      <c r="P400" t="e">
        <f>VLOOKUP(N400,#REF!,2,FALSE)</f>
        <v>#REF!</v>
      </c>
      <c r="Q400" t="s">
        <v>863</v>
      </c>
      <c r="R400" s="345">
        <v>-35083.769999999997</v>
      </c>
    </row>
    <row r="401" spans="1:18" x14ac:dyDescent="0.2">
      <c r="A401" s="344" t="s">
        <v>759</v>
      </c>
      <c r="B401" t="s">
        <v>827</v>
      </c>
      <c r="C401" t="s">
        <v>823</v>
      </c>
      <c r="D401" t="s">
        <v>746</v>
      </c>
      <c r="E401" t="s">
        <v>829</v>
      </c>
      <c r="F401" t="s">
        <v>803</v>
      </c>
      <c r="G401" t="s">
        <v>830</v>
      </c>
      <c r="H401" t="s">
        <v>831</v>
      </c>
      <c r="I401" t="s">
        <v>722</v>
      </c>
      <c r="J401" t="s">
        <v>721</v>
      </c>
      <c r="K401"/>
      <c r="L401"/>
      <c r="M401" t="s">
        <v>750</v>
      </c>
      <c r="N401" t="s">
        <v>751</v>
      </c>
      <c r="O401"/>
      <c r="P401" t="e">
        <f>VLOOKUP(N401,#REF!,2,FALSE)</f>
        <v>#REF!</v>
      </c>
      <c r="Q401" t="s">
        <v>863</v>
      </c>
      <c r="R401" s="345">
        <v>-39107.74</v>
      </c>
    </row>
    <row r="402" spans="1:18" x14ac:dyDescent="0.2">
      <c r="A402" s="344" t="s">
        <v>743</v>
      </c>
      <c r="B402" t="s">
        <v>827</v>
      </c>
      <c r="C402" t="s">
        <v>823</v>
      </c>
      <c r="D402" t="s">
        <v>746</v>
      </c>
      <c r="E402" t="s">
        <v>829</v>
      </c>
      <c r="F402" t="s">
        <v>803</v>
      </c>
      <c r="G402" t="s">
        <v>830</v>
      </c>
      <c r="H402" t="s">
        <v>831</v>
      </c>
      <c r="I402" t="s">
        <v>722</v>
      </c>
      <c r="J402" t="s">
        <v>721</v>
      </c>
      <c r="K402"/>
      <c r="L402"/>
      <c r="M402" t="s">
        <v>750</v>
      </c>
      <c r="N402" t="s">
        <v>751</v>
      </c>
      <c r="O402"/>
      <c r="P402" t="e">
        <f>VLOOKUP(N402,#REF!,2,FALSE)</f>
        <v>#REF!</v>
      </c>
      <c r="Q402" t="s">
        <v>863</v>
      </c>
      <c r="R402" s="345">
        <v>-38199.15</v>
      </c>
    </row>
    <row r="403" spans="1:18" x14ac:dyDescent="0.2">
      <c r="A403" s="344" t="s">
        <v>760</v>
      </c>
      <c r="B403" t="s">
        <v>827</v>
      </c>
      <c r="C403" t="s">
        <v>823</v>
      </c>
      <c r="D403" t="s">
        <v>746</v>
      </c>
      <c r="E403" t="s">
        <v>829</v>
      </c>
      <c r="F403" t="s">
        <v>803</v>
      </c>
      <c r="G403" t="s">
        <v>830</v>
      </c>
      <c r="H403" t="s">
        <v>831</v>
      </c>
      <c r="I403" t="s">
        <v>722</v>
      </c>
      <c r="J403" t="s">
        <v>721</v>
      </c>
      <c r="K403"/>
      <c r="L403"/>
      <c r="M403" t="s">
        <v>750</v>
      </c>
      <c r="N403" t="s">
        <v>751</v>
      </c>
      <c r="O403"/>
      <c r="P403" t="e">
        <f>VLOOKUP(N403,#REF!,2,FALSE)</f>
        <v>#REF!</v>
      </c>
      <c r="Q403" t="s">
        <v>863</v>
      </c>
      <c r="R403" s="345">
        <v>-39472.46</v>
      </c>
    </row>
    <row r="404" spans="1:18" x14ac:dyDescent="0.2">
      <c r="A404" s="344" t="s">
        <v>745</v>
      </c>
      <c r="B404" t="s">
        <v>827</v>
      </c>
      <c r="C404" t="s">
        <v>823</v>
      </c>
      <c r="D404" t="s">
        <v>746</v>
      </c>
      <c r="E404" t="s">
        <v>829</v>
      </c>
      <c r="F404" t="s">
        <v>803</v>
      </c>
      <c r="G404" t="s">
        <v>830</v>
      </c>
      <c r="H404" t="s">
        <v>831</v>
      </c>
      <c r="I404" t="s">
        <v>722</v>
      </c>
      <c r="J404" t="s">
        <v>721</v>
      </c>
      <c r="K404"/>
      <c r="L404"/>
      <c r="M404" t="s">
        <v>750</v>
      </c>
      <c r="N404" t="s">
        <v>751</v>
      </c>
      <c r="O404"/>
      <c r="P404" t="e">
        <f>VLOOKUP(N404,#REF!,2,FALSE)</f>
        <v>#REF!</v>
      </c>
      <c r="Q404" t="s">
        <v>863</v>
      </c>
      <c r="R404" s="345">
        <v>-38199.15</v>
      </c>
    </row>
    <row r="405" spans="1:18" x14ac:dyDescent="0.2">
      <c r="A405" s="344" t="s">
        <v>749</v>
      </c>
      <c r="B405" t="s">
        <v>827</v>
      </c>
      <c r="C405" t="s">
        <v>823</v>
      </c>
      <c r="D405" t="s">
        <v>746</v>
      </c>
      <c r="E405" t="s">
        <v>829</v>
      </c>
      <c r="F405" t="s">
        <v>803</v>
      </c>
      <c r="G405" t="s">
        <v>830</v>
      </c>
      <c r="H405" t="s">
        <v>831</v>
      </c>
      <c r="I405" t="s">
        <v>722</v>
      </c>
      <c r="J405" t="s">
        <v>721</v>
      </c>
      <c r="K405"/>
      <c r="L405"/>
      <c r="M405" t="s">
        <v>750</v>
      </c>
      <c r="N405" t="s">
        <v>751</v>
      </c>
      <c r="O405"/>
      <c r="P405" t="e">
        <f>VLOOKUP(N405,#REF!,2,FALSE)</f>
        <v>#REF!</v>
      </c>
      <c r="Q405" t="s">
        <v>881</v>
      </c>
      <c r="R405" s="345">
        <v>-23486.27</v>
      </c>
    </row>
    <row r="406" spans="1:18" x14ac:dyDescent="0.2">
      <c r="A406" s="344" t="s">
        <v>752</v>
      </c>
      <c r="B406" t="s">
        <v>827</v>
      </c>
      <c r="C406" t="s">
        <v>823</v>
      </c>
      <c r="D406" t="s">
        <v>746</v>
      </c>
      <c r="E406" t="s">
        <v>829</v>
      </c>
      <c r="F406" t="s">
        <v>803</v>
      </c>
      <c r="G406" t="s">
        <v>830</v>
      </c>
      <c r="H406" t="s">
        <v>831</v>
      </c>
      <c r="I406" t="s">
        <v>722</v>
      </c>
      <c r="J406" t="s">
        <v>721</v>
      </c>
      <c r="K406"/>
      <c r="L406"/>
      <c r="M406" t="s">
        <v>750</v>
      </c>
      <c r="N406" t="s">
        <v>751</v>
      </c>
      <c r="O406"/>
      <c r="P406" t="e">
        <f>VLOOKUP(N406,#REF!,2,FALSE)</f>
        <v>#REF!</v>
      </c>
      <c r="Q406" t="s">
        <v>881</v>
      </c>
      <c r="R406" s="345">
        <v>-23486.27</v>
      </c>
    </row>
    <row r="407" spans="1:18" x14ac:dyDescent="0.2">
      <c r="A407" s="344" t="s">
        <v>753</v>
      </c>
      <c r="B407" t="s">
        <v>827</v>
      </c>
      <c r="C407" t="s">
        <v>823</v>
      </c>
      <c r="D407" t="s">
        <v>746</v>
      </c>
      <c r="E407" t="s">
        <v>829</v>
      </c>
      <c r="F407" t="s">
        <v>803</v>
      </c>
      <c r="G407" t="s">
        <v>830</v>
      </c>
      <c r="H407" t="s">
        <v>831</v>
      </c>
      <c r="I407" t="s">
        <v>722</v>
      </c>
      <c r="J407" t="s">
        <v>721</v>
      </c>
      <c r="K407"/>
      <c r="L407"/>
      <c r="M407" t="s">
        <v>750</v>
      </c>
      <c r="N407" t="s">
        <v>751</v>
      </c>
      <c r="O407"/>
      <c r="P407" t="e">
        <f>VLOOKUP(N407,#REF!,2,FALSE)</f>
        <v>#REF!</v>
      </c>
      <c r="Q407" t="s">
        <v>881</v>
      </c>
      <c r="R407" s="345">
        <v>-22728.65</v>
      </c>
    </row>
    <row r="408" spans="1:18" x14ac:dyDescent="0.2">
      <c r="A408" s="344" t="s">
        <v>754</v>
      </c>
      <c r="B408" t="s">
        <v>827</v>
      </c>
      <c r="C408" t="s">
        <v>823</v>
      </c>
      <c r="D408" t="s">
        <v>746</v>
      </c>
      <c r="E408" t="s">
        <v>829</v>
      </c>
      <c r="F408" t="s">
        <v>803</v>
      </c>
      <c r="G408" t="s">
        <v>830</v>
      </c>
      <c r="H408" t="s">
        <v>831</v>
      </c>
      <c r="I408" t="s">
        <v>722</v>
      </c>
      <c r="J408" t="s">
        <v>721</v>
      </c>
      <c r="K408"/>
      <c r="L408"/>
      <c r="M408" t="s">
        <v>750</v>
      </c>
      <c r="N408" t="s">
        <v>751</v>
      </c>
      <c r="O408"/>
      <c r="P408" t="e">
        <f>VLOOKUP(N408,#REF!,2,FALSE)</f>
        <v>#REF!</v>
      </c>
      <c r="Q408" t="s">
        <v>881</v>
      </c>
      <c r="R408" s="345">
        <v>-23537.040000000001</v>
      </c>
    </row>
    <row r="409" spans="1:18" x14ac:dyDescent="0.2">
      <c r="A409" s="344" t="s">
        <v>755</v>
      </c>
      <c r="B409" t="s">
        <v>827</v>
      </c>
      <c r="C409" t="s">
        <v>823</v>
      </c>
      <c r="D409" t="s">
        <v>746</v>
      </c>
      <c r="E409" t="s">
        <v>829</v>
      </c>
      <c r="F409" t="s">
        <v>803</v>
      </c>
      <c r="G409" t="s">
        <v>830</v>
      </c>
      <c r="H409" t="s">
        <v>831</v>
      </c>
      <c r="I409" t="s">
        <v>722</v>
      </c>
      <c r="J409" t="s">
        <v>721</v>
      </c>
      <c r="K409"/>
      <c r="L409"/>
      <c r="M409" t="s">
        <v>750</v>
      </c>
      <c r="N409" t="s">
        <v>751</v>
      </c>
      <c r="O409"/>
      <c r="P409" t="e">
        <f>VLOOKUP(N409,#REF!,2,FALSE)</f>
        <v>#REF!</v>
      </c>
      <c r="Q409" t="s">
        <v>881</v>
      </c>
      <c r="R409" s="345">
        <v>-22777.79</v>
      </c>
    </row>
    <row r="410" spans="1:18" x14ac:dyDescent="0.2">
      <c r="A410" s="344" t="s">
        <v>756</v>
      </c>
      <c r="B410" t="s">
        <v>827</v>
      </c>
      <c r="C410" t="s">
        <v>823</v>
      </c>
      <c r="D410" t="s">
        <v>746</v>
      </c>
      <c r="E410" t="s">
        <v>829</v>
      </c>
      <c r="F410" t="s">
        <v>803</v>
      </c>
      <c r="G410" t="s">
        <v>830</v>
      </c>
      <c r="H410" t="s">
        <v>831</v>
      </c>
      <c r="I410" t="s">
        <v>722</v>
      </c>
      <c r="J410" t="s">
        <v>721</v>
      </c>
      <c r="K410"/>
      <c r="L410"/>
      <c r="M410" t="s">
        <v>750</v>
      </c>
      <c r="N410" t="s">
        <v>751</v>
      </c>
      <c r="O410"/>
      <c r="P410" t="e">
        <f>VLOOKUP(N410,#REF!,2,FALSE)</f>
        <v>#REF!</v>
      </c>
      <c r="Q410" t="s">
        <v>881</v>
      </c>
      <c r="R410" s="345">
        <v>-23537.040000000001</v>
      </c>
    </row>
    <row r="411" spans="1:18" x14ac:dyDescent="0.2">
      <c r="A411" s="344" t="s">
        <v>757</v>
      </c>
      <c r="B411" t="s">
        <v>827</v>
      </c>
      <c r="C411" t="s">
        <v>823</v>
      </c>
      <c r="D411" t="s">
        <v>746</v>
      </c>
      <c r="E411" t="s">
        <v>829</v>
      </c>
      <c r="F411" t="s">
        <v>803</v>
      </c>
      <c r="G411" t="s">
        <v>830</v>
      </c>
      <c r="H411" t="s">
        <v>831</v>
      </c>
      <c r="I411" t="s">
        <v>722</v>
      </c>
      <c r="J411" t="s">
        <v>721</v>
      </c>
      <c r="K411"/>
      <c r="L411"/>
      <c r="M411" t="s">
        <v>750</v>
      </c>
      <c r="N411" t="s">
        <v>751</v>
      </c>
      <c r="O411"/>
      <c r="P411" t="e">
        <f>VLOOKUP(N411,#REF!,2,FALSE)</f>
        <v>#REF!</v>
      </c>
      <c r="Q411" t="s">
        <v>881</v>
      </c>
      <c r="R411" s="345">
        <v>-23587.82</v>
      </c>
    </row>
    <row r="412" spans="1:18" x14ac:dyDescent="0.2">
      <c r="A412" s="344" t="s">
        <v>758</v>
      </c>
      <c r="B412" t="s">
        <v>827</v>
      </c>
      <c r="C412" t="s">
        <v>823</v>
      </c>
      <c r="D412" t="s">
        <v>746</v>
      </c>
      <c r="E412" t="s">
        <v>829</v>
      </c>
      <c r="F412" t="s">
        <v>803</v>
      </c>
      <c r="G412" t="s">
        <v>830</v>
      </c>
      <c r="H412" t="s">
        <v>831</v>
      </c>
      <c r="I412" t="s">
        <v>722</v>
      </c>
      <c r="J412" t="s">
        <v>721</v>
      </c>
      <c r="K412"/>
      <c r="L412"/>
      <c r="M412" t="s">
        <v>750</v>
      </c>
      <c r="N412" t="s">
        <v>751</v>
      </c>
      <c r="O412"/>
      <c r="P412" t="e">
        <f>VLOOKUP(N412,#REF!,2,FALSE)</f>
        <v>#REF!</v>
      </c>
      <c r="Q412" t="s">
        <v>881</v>
      </c>
      <c r="R412" s="345">
        <v>-21305.13</v>
      </c>
    </row>
    <row r="413" spans="1:18" x14ac:dyDescent="0.2">
      <c r="A413" s="344" t="s">
        <v>759</v>
      </c>
      <c r="B413" t="s">
        <v>827</v>
      </c>
      <c r="C413" t="s">
        <v>823</v>
      </c>
      <c r="D413" t="s">
        <v>746</v>
      </c>
      <c r="E413" t="s">
        <v>829</v>
      </c>
      <c r="F413" t="s">
        <v>803</v>
      </c>
      <c r="G413" t="s">
        <v>830</v>
      </c>
      <c r="H413" t="s">
        <v>831</v>
      </c>
      <c r="I413" t="s">
        <v>722</v>
      </c>
      <c r="J413" t="s">
        <v>721</v>
      </c>
      <c r="K413"/>
      <c r="L413"/>
      <c r="M413" t="s">
        <v>750</v>
      </c>
      <c r="N413" t="s">
        <v>751</v>
      </c>
      <c r="O413"/>
      <c r="P413" t="e">
        <f>VLOOKUP(N413,#REF!,2,FALSE)</f>
        <v>#REF!</v>
      </c>
      <c r="Q413" t="s">
        <v>881</v>
      </c>
      <c r="R413" s="345">
        <v>-23587.82</v>
      </c>
    </row>
    <row r="414" spans="1:18" x14ac:dyDescent="0.2">
      <c r="A414" s="344" t="s">
        <v>743</v>
      </c>
      <c r="B414" t="s">
        <v>827</v>
      </c>
      <c r="C414" t="s">
        <v>823</v>
      </c>
      <c r="D414" t="s">
        <v>746</v>
      </c>
      <c r="E414" t="s">
        <v>829</v>
      </c>
      <c r="F414" t="s">
        <v>803</v>
      </c>
      <c r="G414" t="s">
        <v>830</v>
      </c>
      <c r="H414" t="s">
        <v>831</v>
      </c>
      <c r="I414" t="s">
        <v>722</v>
      </c>
      <c r="J414" t="s">
        <v>721</v>
      </c>
      <c r="K414"/>
      <c r="L414"/>
      <c r="M414" t="s">
        <v>750</v>
      </c>
      <c r="N414" t="s">
        <v>751</v>
      </c>
      <c r="O414"/>
      <c r="P414" t="e">
        <f>VLOOKUP(N414,#REF!,2,FALSE)</f>
        <v>#REF!</v>
      </c>
      <c r="Q414" t="s">
        <v>881</v>
      </c>
      <c r="R414" s="345">
        <v>-23039.82</v>
      </c>
    </row>
    <row r="415" spans="1:18" x14ac:dyDescent="0.2">
      <c r="A415" s="344" t="s">
        <v>760</v>
      </c>
      <c r="B415" t="s">
        <v>827</v>
      </c>
      <c r="C415" t="s">
        <v>823</v>
      </c>
      <c r="D415" t="s">
        <v>746</v>
      </c>
      <c r="E415" t="s">
        <v>829</v>
      </c>
      <c r="F415" t="s">
        <v>803</v>
      </c>
      <c r="G415" t="s">
        <v>830</v>
      </c>
      <c r="H415" t="s">
        <v>831</v>
      </c>
      <c r="I415" t="s">
        <v>722</v>
      </c>
      <c r="J415" t="s">
        <v>721</v>
      </c>
      <c r="K415"/>
      <c r="L415"/>
      <c r="M415" t="s">
        <v>750</v>
      </c>
      <c r="N415" t="s">
        <v>751</v>
      </c>
      <c r="O415"/>
      <c r="P415" t="e">
        <f>VLOOKUP(N415,#REF!,2,FALSE)</f>
        <v>#REF!</v>
      </c>
      <c r="Q415" t="s">
        <v>881</v>
      </c>
      <c r="R415" s="345">
        <v>-23807.81</v>
      </c>
    </row>
    <row r="416" spans="1:18" x14ac:dyDescent="0.2">
      <c r="A416" s="344" t="s">
        <v>745</v>
      </c>
      <c r="B416" t="s">
        <v>827</v>
      </c>
      <c r="C416" t="s">
        <v>823</v>
      </c>
      <c r="D416" t="s">
        <v>746</v>
      </c>
      <c r="E416" t="s">
        <v>829</v>
      </c>
      <c r="F416" t="s">
        <v>803</v>
      </c>
      <c r="G416" t="s">
        <v>830</v>
      </c>
      <c r="H416" t="s">
        <v>831</v>
      </c>
      <c r="I416" t="s">
        <v>722</v>
      </c>
      <c r="J416" t="s">
        <v>721</v>
      </c>
      <c r="K416"/>
      <c r="L416"/>
      <c r="M416" t="s">
        <v>750</v>
      </c>
      <c r="N416" t="s">
        <v>751</v>
      </c>
      <c r="O416"/>
      <c r="P416" t="e">
        <f>VLOOKUP(N416,#REF!,2,FALSE)</f>
        <v>#REF!</v>
      </c>
      <c r="Q416" t="s">
        <v>881</v>
      </c>
      <c r="R416" s="345">
        <v>-23039.82</v>
      </c>
    </row>
    <row r="417" spans="1:18" x14ac:dyDescent="0.2">
      <c r="A417" s="344" t="s">
        <v>749</v>
      </c>
      <c r="B417" t="s">
        <v>827</v>
      </c>
      <c r="C417" t="s">
        <v>823</v>
      </c>
      <c r="D417" t="s">
        <v>746</v>
      </c>
      <c r="E417" t="s">
        <v>829</v>
      </c>
      <c r="F417" t="s">
        <v>803</v>
      </c>
      <c r="G417" t="s">
        <v>830</v>
      </c>
      <c r="H417" t="s">
        <v>831</v>
      </c>
      <c r="I417" t="s">
        <v>722</v>
      </c>
      <c r="J417" t="s">
        <v>721</v>
      </c>
      <c r="K417"/>
      <c r="L417"/>
      <c r="M417" t="s">
        <v>750</v>
      </c>
      <c r="N417" t="s">
        <v>751</v>
      </c>
      <c r="O417"/>
      <c r="P417" t="e">
        <f>VLOOKUP(N417,#REF!,2,FALSE)</f>
        <v>#REF!</v>
      </c>
      <c r="Q417" t="s">
        <v>882</v>
      </c>
      <c r="R417" s="345">
        <v>-7827.61</v>
      </c>
    </row>
    <row r="418" spans="1:18" x14ac:dyDescent="0.2">
      <c r="A418" s="344" t="s">
        <v>752</v>
      </c>
      <c r="B418" t="s">
        <v>827</v>
      </c>
      <c r="C418" t="s">
        <v>823</v>
      </c>
      <c r="D418" t="s">
        <v>746</v>
      </c>
      <c r="E418" t="s">
        <v>829</v>
      </c>
      <c r="F418" t="s">
        <v>803</v>
      </c>
      <c r="G418" t="s">
        <v>830</v>
      </c>
      <c r="H418" t="s">
        <v>831</v>
      </c>
      <c r="I418" t="s">
        <v>722</v>
      </c>
      <c r="J418" t="s">
        <v>721</v>
      </c>
      <c r="K418"/>
      <c r="L418"/>
      <c r="M418" t="s">
        <v>750</v>
      </c>
      <c r="N418" t="s">
        <v>751</v>
      </c>
      <c r="O418"/>
      <c r="P418" t="e">
        <f>VLOOKUP(N418,#REF!,2,FALSE)</f>
        <v>#REF!</v>
      </c>
      <c r="Q418" t="s">
        <v>882</v>
      </c>
      <c r="R418" s="345">
        <v>-7827.61</v>
      </c>
    </row>
    <row r="419" spans="1:18" x14ac:dyDescent="0.2">
      <c r="A419" s="344" t="s">
        <v>753</v>
      </c>
      <c r="B419" t="s">
        <v>827</v>
      </c>
      <c r="C419" t="s">
        <v>823</v>
      </c>
      <c r="D419" t="s">
        <v>746</v>
      </c>
      <c r="E419" t="s">
        <v>829</v>
      </c>
      <c r="F419" t="s">
        <v>803</v>
      </c>
      <c r="G419" t="s">
        <v>830</v>
      </c>
      <c r="H419" t="s">
        <v>831</v>
      </c>
      <c r="I419" t="s">
        <v>722</v>
      </c>
      <c r="J419" t="s">
        <v>721</v>
      </c>
      <c r="K419"/>
      <c r="L419"/>
      <c r="M419" t="s">
        <v>750</v>
      </c>
      <c r="N419" t="s">
        <v>751</v>
      </c>
      <c r="O419"/>
      <c r="P419" t="e">
        <f>VLOOKUP(N419,#REF!,2,FALSE)</f>
        <v>#REF!</v>
      </c>
      <c r="Q419" t="s">
        <v>882</v>
      </c>
      <c r="R419" s="345">
        <v>-7575.11</v>
      </c>
    </row>
    <row r="420" spans="1:18" x14ac:dyDescent="0.2">
      <c r="A420" s="344" t="s">
        <v>754</v>
      </c>
      <c r="B420" t="s">
        <v>827</v>
      </c>
      <c r="C420" t="s">
        <v>823</v>
      </c>
      <c r="D420" t="s">
        <v>746</v>
      </c>
      <c r="E420" t="s">
        <v>829</v>
      </c>
      <c r="F420" t="s">
        <v>803</v>
      </c>
      <c r="G420" t="s">
        <v>830</v>
      </c>
      <c r="H420" t="s">
        <v>831</v>
      </c>
      <c r="I420" t="s">
        <v>722</v>
      </c>
      <c r="J420" t="s">
        <v>721</v>
      </c>
      <c r="K420"/>
      <c r="L420"/>
      <c r="M420" t="s">
        <v>750</v>
      </c>
      <c r="N420" t="s">
        <v>751</v>
      </c>
      <c r="O420"/>
      <c r="P420" t="e">
        <f>VLOOKUP(N420,#REF!,2,FALSE)</f>
        <v>#REF!</v>
      </c>
      <c r="Q420" t="s">
        <v>882</v>
      </c>
      <c r="R420" s="345">
        <v>-7844.53</v>
      </c>
    </row>
    <row r="421" spans="1:18" x14ac:dyDescent="0.2">
      <c r="A421" s="344" t="s">
        <v>755</v>
      </c>
      <c r="B421" t="s">
        <v>827</v>
      </c>
      <c r="C421" t="s">
        <v>823</v>
      </c>
      <c r="D421" t="s">
        <v>746</v>
      </c>
      <c r="E421" t="s">
        <v>829</v>
      </c>
      <c r="F421" t="s">
        <v>803</v>
      </c>
      <c r="G421" t="s">
        <v>830</v>
      </c>
      <c r="H421" t="s">
        <v>831</v>
      </c>
      <c r="I421" t="s">
        <v>722</v>
      </c>
      <c r="J421" t="s">
        <v>721</v>
      </c>
      <c r="K421"/>
      <c r="L421"/>
      <c r="M421" t="s">
        <v>750</v>
      </c>
      <c r="N421" t="s">
        <v>751</v>
      </c>
      <c r="O421"/>
      <c r="P421" t="e">
        <f>VLOOKUP(N421,#REF!,2,FALSE)</f>
        <v>#REF!</v>
      </c>
      <c r="Q421" t="s">
        <v>882</v>
      </c>
      <c r="R421" s="345">
        <v>-7591.49</v>
      </c>
    </row>
    <row r="422" spans="1:18" x14ac:dyDescent="0.2">
      <c r="A422" s="344" t="s">
        <v>756</v>
      </c>
      <c r="B422" t="s">
        <v>827</v>
      </c>
      <c r="C422" t="s">
        <v>823</v>
      </c>
      <c r="D422" t="s">
        <v>746</v>
      </c>
      <c r="E422" t="s">
        <v>829</v>
      </c>
      <c r="F422" t="s">
        <v>803</v>
      </c>
      <c r="G422" t="s">
        <v>830</v>
      </c>
      <c r="H422" t="s">
        <v>831</v>
      </c>
      <c r="I422" t="s">
        <v>722</v>
      </c>
      <c r="J422" t="s">
        <v>721</v>
      </c>
      <c r="K422"/>
      <c r="L422"/>
      <c r="M422" t="s">
        <v>750</v>
      </c>
      <c r="N422" t="s">
        <v>751</v>
      </c>
      <c r="O422"/>
      <c r="P422" t="e">
        <f>VLOOKUP(N422,#REF!,2,FALSE)</f>
        <v>#REF!</v>
      </c>
      <c r="Q422" t="s">
        <v>882</v>
      </c>
      <c r="R422" s="345">
        <v>-7844.53</v>
      </c>
    </row>
    <row r="423" spans="1:18" x14ac:dyDescent="0.2">
      <c r="A423" s="344" t="s">
        <v>757</v>
      </c>
      <c r="B423" t="s">
        <v>827</v>
      </c>
      <c r="C423" t="s">
        <v>823</v>
      </c>
      <c r="D423" t="s">
        <v>746</v>
      </c>
      <c r="E423" t="s">
        <v>829</v>
      </c>
      <c r="F423" t="s">
        <v>803</v>
      </c>
      <c r="G423" t="s">
        <v>830</v>
      </c>
      <c r="H423" t="s">
        <v>831</v>
      </c>
      <c r="I423" t="s">
        <v>722</v>
      </c>
      <c r="J423" t="s">
        <v>721</v>
      </c>
      <c r="K423"/>
      <c r="L423"/>
      <c r="M423" t="s">
        <v>750</v>
      </c>
      <c r="N423" t="s">
        <v>751</v>
      </c>
      <c r="O423"/>
      <c r="P423" t="e">
        <f>VLOOKUP(N423,#REF!,2,FALSE)</f>
        <v>#REF!</v>
      </c>
      <c r="Q423" t="s">
        <v>882</v>
      </c>
      <c r="R423" s="345">
        <v>-7861.46</v>
      </c>
    </row>
    <row r="424" spans="1:18" x14ac:dyDescent="0.2">
      <c r="A424" s="344" t="s">
        <v>758</v>
      </c>
      <c r="B424" t="s">
        <v>827</v>
      </c>
      <c r="C424" t="s">
        <v>823</v>
      </c>
      <c r="D424" t="s">
        <v>746</v>
      </c>
      <c r="E424" t="s">
        <v>829</v>
      </c>
      <c r="F424" t="s">
        <v>803</v>
      </c>
      <c r="G424" t="s">
        <v>830</v>
      </c>
      <c r="H424" t="s">
        <v>831</v>
      </c>
      <c r="I424" t="s">
        <v>722</v>
      </c>
      <c r="J424" t="s">
        <v>721</v>
      </c>
      <c r="K424"/>
      <c r="L424"/>
      <c r="M424" t="s">
        <v>750</v>
      </c>
      <c r="N424" t="s">
        <v>751</v>
      </c>
      <c r="O424"/>
      <c r="P424" t="e">
        <f>VLOOKUP(N424,#REF!,2,FALSE)</f>
        <v>#REF!</v>
      </c>
      <c r="Q424" t="s">
        <v>882</v>
      </c>
      <c r="R424" s="345">
        <v>-7100.67</v>
      </c>
    </row>
    <row r="425" spans="1:18" x14ac:dyDescent="0.2">
      <c r="A425" s="344" t="s">
        <v>759</v>
      </c>
      <c r="B425" t="s">
        <v>827</v>
      </c>
      <c r="C425" t="s">
        <v>823</v>
      </c>
      <c r="D425" t="s">
        <v>746</v>
      </c>
      <c r="E425" t="s">
        <v>829</v>
      </c>
      <c r="F425" t="s">
        <v>803</v>
      </c>
      <c r="G425" t="s">
        <v>830</v>
      </c>
      <c r="H425" t="s">
        <v>831</v>
      </c>
      <c r="I425" t="s">
        <v>722</v>
      </c>
      <c r="J425" t="s">
        <v>721</v>
      </c>
      <c r="K425"/>
      <c r="L425"/>
      <c r="M425" t="s">
        <v>750</v>
      </c>
      <c r="N425" t="s">
        <v>751</v>
      </c>
      <c r="O425"/>
      <c r="P425" t="e">
        <f>VLOOKUP(N425,#REF!,2,FALSE)</f>
        <v>#REF!</v>
      </c>
      <c r="Q425" t="s">
        <v>882</v>
      </c>
      <c r="R425" s="345">
        <v>-7861.46</v>
      </c>
    </row>
    <row r="426" spans="1:18" x14ac:dyDescent="0.2">
      <c r="A426" s="344" t="s">
        <v>743</v>
      </c>
      <c r="B426" t="s">
        <v>827</v>
      </c>
      <c r="C426" t="s">
        <v>823</v>
      </c>
      <c r="D426" t="s">
        <v>746</v>
      </c>
      <c r="E426" t="s">
        <v>829</v>
      </c>
      <c r="F426" t="s">
        <v>803</v>
      </c>
      <c r="G426" t="s">
        <v>830</v>
      </c>
      <c r="H426" t="s">
        <v>831</v>
      </c>
      <c r="I426" t="s">
        <v>722</v>
      </c>
      <c r="J426" t="s">
        <v>721</v>
      </c>
      <c r="K426"/>
      <c r="L426"/>
      <c r="M426" t="s">
        <v>750</v>
      </c>
      <c r="N426" t="s">
        <v>751</v>
      </c>
      <c r="O426"/>
      <c r="P426" t="e">
        <f>VLOOKUP(N426,#REF!,2,FALSE)</f>
        <v>#REF!</v>
      </c>
      <c r="Q426" t="s">
        <v>882</v>
      </c>
      <c r="R426" s="345">
        <v>-7678.82</v>
      </c>
    </row>
    <row r="427" spans="1:18" x14ac:dyDescent="0.2">
      <c r="A427" s="344" t="s">
        <v>760</v>
      </c>
      <c r="B427" t="s">
        <v>827</v>
      </c>
      <c r="C427" t="s">
        <v>823</v>
      </c>
      <c r="D427" t="s">
        <v>746</v>
      </c>
      <c r="E427" t="s">
        <v>829</v>
      </c>
      <c r="F427" t="s">
        <v>803</v>
      </c>
      <c r="G427" t="s">
        <v>830</v>
      </c>
      <c r="H427" t="s">
        <v>831</v>
      </c>
      <c r="I427" t="s">
        <v>722</v>
      </c>
      <c r="J427" t="s">
        <v>721</v>
      </c>
      <c r="K427"/>
      <c r="L427"/>
      <c r="M427" t="s">
        <v>750</v>
      </c>
      <c r="N427" t="s">
        <v>751</v>
      </c>
      <c r="O427"/>
      <c r="P427" t="e">
        <f>VLOOKUP(N427,#REF!,2,FALSE)</f>
        <v>#REF!</v>
      </c>
      <c r="Q427" t="s">
        <v>882</v>
      </c>
      <c r="R427" s="345">
        <v>-7934.78</v>
      </c>
    </row>
    <row r="428" spans="1:18" x14ac:dyDescent="0.2">
      <c r="A428" s="344" t="s">
        <v>745</v>
      </c>
      <c r="B428" t="s">
        <v>827</v>
      </c>
      <c r="C428" t="s">
        <v>823</v>
      </c>
      <c r="D428" t="s">
        <v>746</v>
      </c>
      <c r="E428" t="s">
        <v>829</v>
      </c>
      <c r="F428" t="s">
        <v>803</v>
      </c>
      <c r="G428" t="s">
        <v>830</v>
      </c>
      <c r="H428" t="s">
        <v>831</v>
      </c>
      <c r="I428" t="s">
        <v>722</v>
      </c>
      <c r="J428" t="s">
        <v>721</v>
      </c>
      <c r="K428"/>
      <c r="L428"/>
      <c r="M428" t="s">
        <v>750</v>
      </c>
      <c r="N428" t="s">
        <v>751</v>
      </c>
      <c r="O428"/>
      <c r="P428" t="e">
        <f>VLOOKUP(N428,#REF!,2,FALSE)</f>
        <v>#REF!</v>
      </c>
      <c r="Q428" t="s">
        <v>882</v>
      </c>
      <c r="R428" s="345">
        <v>-7678.82</v>
      </c>
    </row>
    <row r="429" spans="1:18" x14ac:dyDescent="0.2">
      <c r="A429" s="344" t="s">
        <v>749</v>
      </c>
      <c r="B429" t="s">
        <v>827</v>
      </c>
      <c r="C429" t="s">
        <v>823</v>
      </c>
      <c r="D429" t="s">
        <v>746</v>
      </c>
      <c r="E429" t="s">
        <v>829</v>
      </c>
      <c r="F429" t="s">
        <v>803</v>
      </c>
      <c r="G429" t="s">
        <v>830</v>
      </c>
      <c r="H429" t="s">
        <v>831</v>
      </c>
      <c r="I429" t="s">
        <v>722</v>
      </c>
      <c r="J429" t="s">
        <v>721</v>
      </c>
      <c r="K429"/>
      <c r="L429"/>
      <c r="M429" t="s">
        <v>750</v>
      </c>
      <c r="N429" t="s">
        <v>751</v>
      </c>
      <c r="O429"/>
      <c r="P429" t="e">
        <f>VLOOKUP(N429,#REF!,2,FALSE)</f>
        <v>#REF!</v>
      </c>
      <c r="Q429" t="s">
        <v>883</v>
      </c>
      <c r="R429" s="345">
        <v>-6889.02</v>
      </c>
    </row>
    <row r="430" spans="1:18" x14ac:dyDescent="0.2">
      <c r="A430" s="344" t="s">
        <v>752</v>
      </c>
      <c r="B430" t="s">
        <v>827</v>
      </c>
      <c r="C430" t="s">
        <v>823</v>
      </c>
      <c r="D430" t="s">
        <v>746</v>
      </c>
      <c r="E430" t="s">
        <v>829</v>
      </c>
      <c r="F430" t="s">
        <v>803</v>
      </c>
      <c r="G430" t="s">
        <v>830</v>
      </c>
      <c r="H430" t="s">
        <v>831</v>
      </c>
      <c r="I430" t="s">
        <v>722</v>
      </c>
      <c r="J430" t="s">
        <v>721</v>
      </c>
      <c r="K430"/>
      <c r="L430"/>
      <c r="M430" t="s">
        <v>750</v>
      </c>
      <c r="N430" t="s">
        <v>751</v>
      </c>
      <c r="O430"/>
      <c r="P430" t="e">
        <f>VLOOKUP(N430,#REF!,2,FALSE)</f>
        <v>#REF!</v>
      </c>
      <c r="Q430" t="s">
        <v>883</v>
      </c>
      <c r="R430" s="345">
        <v>-6889.02</v>
      </c>
    </row>
    <row r="431" spans="1:18" x14ac:dyDescent="0.2">
      <c r="A431" s="344" t="s">
        <v>753</v>
      </c>
      <c r="B431" t="s">
        <v>827</v>
      </c>
      <c r="C431" t="s">
        <v>823</v>
      </c>
      <c r="D431" t="s">
        <v>746</v>
      </c>
      <c r="E431" t="s">
        <v>829</v>
      </c>
      <c r="F431" t="s">
        <v>803</v>
      </c>
      <c r="G431" t="s">
        <v>830</v>
      </c>
      <c r="H431" t="s">
        <v>831</v>
      </c>
      <c r="I431" t="s">
        <v>722</v>
      </c>
      <c r="J431" t="s">
        <v>721</v>
      </c>
      <c r="K431"/>
      <c r="L431"/>
      <c r="M431" t="s">
        <v>750</v>
      </c>
      <c r="N431" t="s">
        <v>751</v>
      </c>
      <c r="O431"/>
      <c r="P431" t="e">
        <f>VLOOKUP(N431,#REF!,2,FALSE)</f>
        <v>#REF!</v>
      </c>
      <c r="Q431" t="s">
        <v>883</v>
      </c>
      <c r="R431" s="345">
        <v>-6666.79</v>
      </c>
    </row>
    <row r="432" spans="1:18" x14ac:dyDescent="0.2">
      <c r="A432" s="344" t="s">
        <v>754</v>
      </c>
      <c r="B432" t="s">
        <v>827</v>
      </c>
      <c r="C432" t="s">
        <v>823</v>
      </c>
      <c r="D432" t="s">
        <v>746</v>
      </c>
      <c r="E432" t="s">
        <v>829</v>
      </c>
      <c r="F432" t="s">
        <v>803</v>
      </c>
      <c r="G432" t="s">
        <v>830</v>
      </c>
      <c r="H432" t="s">
        <v>831</v>
      </c>
      <c r="I432" t="s">
        <v>722</v>
      </c>
      <c r="J432" t="s">
        <v>721</v>
      </c>
      <c r="K432"/>
      <c r="L432"/>
      <c r="M432" t="s">
        <v>750</v>
      </c>
      <c r="N432" t="s">
        <v>751</v>
      </c>
      <c r="O432"/>
      <c r="P432" t="e">
        <f>VLOOKUP(N432,#REF!,2,FALSE)</f>
        <v>#REF!</v>
      </c>
      <c r="Q432" t="s">
        <v>883</v>
      </c>
      <c r="R432" s="345">
        <v>-6903.91</v>
      </c>
    </row>
    <row r="433" spans="1:18" x14ac:dyDescent="0.2">
      <c r="A433" s="344" t="s">
        <v>755</v>
      </c>
      <c r="B433" t="s">
        <v>827</v>
      </c>
      <c r="C433" t="s">
        <v>823</v>
      </c>
      <c r="D433" t="s">
        <v>746</v>
      </c>
      <c r="E433" t="s">
        <v>829</v>
      </c>
      <c r="F433" t="s">
        <v>803</v>
      </c>
      <c r="G433" t="s">
        <v>830</v>
      </c>
      <c r="H433" t="s">
        <v>831</v>
      </c>
      <c r="I433" t="s">
        <v>722</v>
      </c>
      <c r="J433" t="s">
        <v>721</v>
      </c>
      <c r="K433"/>
      <c r="L433"/>
      <c r="M433" t="s">
        <v>750</v>
      </c>
      <c r="N433" t="s">
        <v>751</v>
      </c>
      <c r="O433"/>
      <c r="P433" t="e">
        <f>VLOOKUP(N433,#REF!,2,FALSE)</f>
        <v>#REF!</v>
      </c>
      <c r="Q433" t="s">
        <v>883</v>
      </c>
      <c r="R433" s="345">
        <v>-6681.21</v>
      </c>
    </row>
    <row r="434" spans="1:18" x14ac:dyDescent="0.2">
      <c r="A434" s="344" t="s">
        <v>756</v>
      </c>
      <c r="B434" t="s">
        <v>827</v>
      </c>
      <c r="C434" t="s">
        <v>823</v>
      </c>
      <c r="D434" t="s">
        <v>746</v>
      </c>
      <c r="E434" t="s">
        <v>829</v>
      </c>
      <c r="F434" t="s">
        <v>803</v>
      </c>
      <c r="G434" t="s">
        <v>830</v>
      </c>
      <c r="H434" t="s">
        <v>831</v>
      </c>
      <c r="I434" t="s">
        <v>722</v>
      </c>
      <c r="J434" t="s">
        <v>721</v>
      </c>
      <c r="K434"/>
      <c r="L434"/>
      <c r="M434" t="s">
        <v>750</v>
      </c>
      <c r="N434" t="s">
        <v>751</v>
      </c>
      <c r="O434"/>
      <c r="P434" t="e">
        <f>VLOOKUP(N434,#REF!,2,FALSE)</f>
        <v>#REF!</v>
      </c>
      <c r="Q434" t="s">
        <v>883</v>
      </c>
      <c r="R434" s="345">
        <v>-6903.91</v>
      </c>
    </row>
    <row r="435" spans="1:18" x14ac:dyDescent="0.2">
      <c r="A435" s="344" t="s">
        <v>757</v>
      </c>
      <c r="B435" t="s">
        <v>827</v>
      </c>
      <c r="C435" t="s">
        <v>823</v>
      </c>
      <c r="D435" t="s">
        <v>746</v>
      </c>
      <c r="E435" t="s">
        <v>829</v>
      </c>
      <c r="F435" t="s">
        <v>803</v>
      </c>
      <c r="G435" t="s">
        <v>830</v>
      </c>
      <c r="H435" t="s">
        <v>831</v>
      </c>
      <c r="I435" t="s">
        <v>722</v>
      </c>
      <c r="J435" t="s">
        <v>721</v>
      </c>
      <c r="K435"/>
      <c r="L435"/>
      <c r="M435" t="s">
        <v>750</v>
      </c>
      <c r="N435" t="s">
        <v>751</v>
      </c>
      <c r="O435"/>
      <c r="P435" t="e">
        <f>VLOOKUP(N435,#REF!,2,FALSE)</f>
        <v>#REF!</v>
      </c>
      <c r="Q435" t="s">
        <v>883</v>
      </c>
      <c r="R435" s="345">
        <v>-6918.81</v>
      </c>
    </row>
    <row r="436" spans="1:18" x14ac:dyDescent="0.2">
      <c r="A436" s="344" t="s">
        <v>758</v>
      </c>
      <c r="B436" t="s">
        <v>827</v>
      </c>
      <c r="C436" t="s">
        <v>823</v>
      </c>
      <c r="D436" t="s">
        <v>746</v>
      </c>
      <c r="E436" t="s">
        <v>829</v>
      </c>
      <c r="F436" t="s">
        <v>803</v>
      </c>
      <c r="G436" t="s">
        <v>830</v>
      </c>
      <c r="H436" t="s">
        <v>831</v>
      </c>
      <c r="I436" t="s">
        <v>722</v>
      </c>
      <c r="J436" t="s">
        <v>721</v>
      </c>
      <c r="K436"/>
      <c r="L436"/>
      <c r="M436" t="s">
        <v>750</v>
      </c>
      <c r="N436" t="s">
        <v>751</v>
      </c>
      <c r="O436"/>
      <c r="P436" t="e">
        <f>VLOOKUP(N436,#REF!,2,FALSE)</f>
        <v>#REF!</v>
      </c>
      <c r="Q436" t="s">
        <v>883</v>
      </c>
      <c r="R436" s="345">
        <v>-6249.25</v>
      </c>
    </row>
    <row r="437" spans="1:18" x14ac:dyDescent="0.2">
      <c r="A437" s="344" t="s">
        <v>759</v>
      </c>
      <c r="B437" t="s">
        <v>827</v>
      </c>
      <c r="C437" t="s">
        <v>823</v>
      </c>
      <c r="D437" t="s">
        <v>746</v>
      </c>
      <c r="E437" t="s">
        <v>829</v>
      </c>
      <c r="F437" t="s">
        <v>803</v>
      </c>
      <c r="G437" t="s">
        <v>830</v>
      </c>
      <c r="H437" t="s">
        <v>831</v>
      </c>
      <c r="I437" t="s">
        <v>722</v>
      </c>
      <c r="J437" t="s">
        <v>721</v>
      </c>
      <c r="K437"/>
      <c r="L437"/>
      <c r="M437" t="s">
        <v>750</v>
      </c>
      <c r="N437" t="s">
        <v>751</v>
      </c>
      <c r="O437"/>
      <c r="P437" t="e">
        <f>VLOOKUP(N437,#REF!,2,FALSE)</f>
        <v>#REF!</v>
      </c>
      <c r="Q437" t="s">
        <v>883</v>
      </c>
      <c r="R437" s="345">
        <v>-6918.81</v>
      </c>
    </row>
    <row r="438" spans="1:18" x14ac:dyDescent="0.2">
      <c r="A438" s="344" t="s">
        <v>743</v>
      </c>
      <c r="B438" t="s">
        <v>827</v>
      </c>
      <c r="C438" t="s">
        <v>823</v>
      </c>
      <c r="D438" t="s">
        <v>746</v>
      </c>
      <c r="E438" t="s">
        <v>829</v>
      </c>
      <c r="F438" t="s">
        <v>803</v>
      </c>
      <c r="G438" t="s">
        <v>830</v>
      </c>
      <c r="H438" t="s">
        <v>831</v>
      </c>
      <c r="I438" t="s">
        <v>722</v>
      </c>
      <c r="J438" t="s">
        <v>721</v>
      </c>
      <c r="K438"/>
      <c r="L438"/>
      <c r="M438" t="s">
        <v>750</v>
      </c>
      <c r="N438" t="s">
        <v>751</v>
      </c>
      <c r="O438"/>
      <c r="P438" t="e">
        <f>VLOOKUP(N438,#REF!,2,FALSE)</f>
        <v>#REF!</v>
      </c>
      <c r="Q438" t="s">
        <v>883</v>
      </c>
      <c r="R438" s="345">
        <v>-6911.65</v>
      </c>
    </row>
    <row r="439" spans="1:18" x14ac:dyDescent="0.2">
      <c r="A439" s="344" t="s">
        <v>760</v>
      </c>
      <c r="B439" t="s">
        <v>827</v>
      </c>
      <c r="C439" t="s">
        <v>823</v>
      </c>
      <c r="D439" t="s">
        <v>746</v>
      </c>
      <c r="E439" t="s">
        <v>829</v>
      </c>
      <c r="F439" t="s">
        <v>803</v>
      </c>
      <c r="G439" t="s">
        <v>830</v>
      </c>
      <c r="H439" t="s">
        <v>831</v>
      </c>
      <c r="I439" t="s">
        <v>722</v>
      </c>
      <c r="J439" t="s">
        <v>721</v>
      </c>
      <c r="K439"/>
      <c r="L439"/>
      <c r="M439" t="s">
        <v>750</v>
      </c>
      <c r="N439" t="s">
        <v>751</v>
      </c>
      <c r="O439"/>
      <c r="P439" t="e">
        <f>VLOOKUP(N439,#REF!,2,FALSE)</f>
        <v>#REF!</v>
      </c>
      <c r="Q439" t="s">
        <v>883</v>
      </c>
      <c r="R439" s="345">
        <v>-7142.04</v>
      </c>
    </row>
    <row r="440" spans="1:18" x14ac:dyDescent="0.2">
      <c r="A440" s="344" t="s">
        <v>745</v>
      </c>
      <c r="B440" t="s">
        <v>827</v>
      </c>
      <c r="C440" t="s">
        <v>823</v>
      </c>
      <c r="D440" t="s">
        <v>746</v>
      </c>
      <c r="E440" t="s">
        <v>829</v>
      </c>
      <c r="F440" t="s">
        <v>803</v>
      </c>
      <c r="G440" t="s">
        <v>830</v>
      </c>
      <c r="H440" t="s">
        <v>831</v>
      </c>
      <c r="I440" t="s">
        <v>722</v>
      </c>
      <c r="J440" t="s">
        <v>721</v>
      </c>
      <c r="K440"/>
      <c r="L440"/>
      <c r="M440" t="s">
        <v>750</v>
      </c>
      <c r="N440" t="s">
        <v>751</v>
      </c>
      <c r="O440"/>
      <c r="P440" t="e">
        <f>VLOOKUP(N440,#REF!,2,FALSE)</f>
        <v>#REF!</v>
      </c>
      <c r="Q440" t="s">
        <v>883</v>
      </c>
      <c r="R440" s="345">
        <v>-6911.65</v>
      </c>
    </row>
    <row r="441" spans="1:18" x14ac:dyDescent="0.2">
      <c r="A441" s="344" t="s">
        <v>749</v>
      </c>
      <c r="B441" t="s">
        <v>827</v>
      </c>
      <c r="C441" t="s">
        <v>823</v>
      </c>
      <c r="D441" t="s">
        <v>746</v>
      </c>
      <c r="E441" t="s">
        <v>829</v>
      </c>
      <c r="F441" t="s">
        <v>803</v>
      </c>
      <c r="G441" t="s">
        <v>830</v>
      </c>
      <c r="H441" t="s">
        <v>831</v>
      </c>
      <c r="I441" t="s">
        <v>722</v>
      </c>
      <c r="J441" t="s">
        <v>721</v>
      </c>
      <c r="K441"/>
      <c r="L441"/>
      <c r="M441" t="s">
        <v>884</v>
      </c>
      <c r="N441" t="s">
        <v>885</v>
      </c>
      <c r="O441"/>
      <c r="P441" t="e">
        <f>VLOOKUP(N441,#REF!,2,FALSE)</f>
        <v>#REF!</v>
      </c>
      <c r="Q441" t="s">
        <v>873</v>
      </c>
      <c r="R441" s="345">
        <v>-199577.59</v>
      </c>
    </row>
    <row r="442" spans="1:18" x14ac:dyDescent="0.2">
      <c r="A442" s="344" t="s">
        <v>752</v>
      </c>
      <c r="B442" t="s">
        <v>827</v>
      </c>
      <c r="C442" t="s">
        <v>823</v>
      </c>
      <c r="D442" t="s">
        <v>746</v>
      </c>
      <c r="E442" t="s">
        <v>829</v>
      </c>
      <c r="F442" t="s">
        <v>803</v>
      </c>
      <c r="G442" t="s">
        <v>830</v>
      </c>
      <c r="H442" t="s">
        <v>831</v>
      </c>
      <c r="I442" t="s">
        <v>722</v>
      </c>
      <c r="J442" t="s">
        <v>721</v>
      </c>
      <c r="K442"/>
      <c r="L442"/>
      <c r="M442" t="s">
        <v>884</v>
      </c>
      <c r="N442" t="s">
        <v>885</v>
      </c>
      <c r="O442"/>
      <c r="P442" t="e">
        <f>VLOOKUP(N442,#REF!,2,FALSE)</f>
        <v>#REF!</v>
      </c>
      <c r="Q442" t="s">
        <v>873</v>
      </c>
      <c r="R442" s="345">
        <v>-199577.79</v>
      </c>
    </row>
    <row r="443" spans="1:18" x14ac:dyDescent="0.2">
      <c r="A443" s="344" t="s">
        <v>753</v>
      </c>
      <c r="B443" t="s">
        <v>827</v>
      </c>
      <c r="C443" t="s">
        <v>823</v>
      </c>
      <c r="D443" t="s">
        <v>746</v>
      </c>
      <c r="E443" t="s">
        <v>829</v>
      </c>
      <c r="F443" t="s">
        <v>803</v>
      </c>
      <c r="G443" t="s">
        <v>830</v>
      </c>
      <c r="H443" t="s">
        <v>831</v>
      </c>
      <c r="I443" t="s">
        <v>722</v>
      </c>
      <c r="J443" t="s">
        <v>721</v>
      </c>
      <c r="K443"/>
      <c r="L443"/>
      <c r="M443" t="s">
        <v>884</v>
      </c>
      <c r="N443" t="s">
        <v>885</v>
      </c>
      <c r="O443"/>
      <c r="P443" t="e">
        <f>VLOOKUP(N443,#REF!,2,FALSE)</f>
        <v>#REF!</v>
      </c>
      <c r="Q443" t="s">
        <v>873</v>
      </c>
      <c r="R443" s="345">
        <v>-199577.69</v>
      </c>
    </row>
    <row r="444" spans="1:18" x14ac:dyDescent="0.2">
      <c r="A444" s="344" t="s">
        <v>754</v>
      </c>
      <c r="B444" t="s">
        <v>827</v>
      </c>
      <c r="C444" t="s">
        <v>823</v>
      </c>
      <c r="D444" t="s">
        <v>746</v>
      </c>
      <c r="E444" t="s">
        <v>829</v>
      </c>
      <c r="F444" t="s">
        <v>803</v>
      </c>
      <c r="G444" t="s">
        <v>830</v>
      </c>
      <c r="H444" t="s">
        <v>831</v>
      </c>
      <c r="I444" t="s">
        <v>722</v>
      </c>
      <c r="J444" t="s">
        <v>721</v>
      </c>
      <c r="K444"/>
      <c r="L444"/>
      <c r="M444" t="s">
        <v>884</v>
      </c>
      <c r="N444" t="s">
        <v>885</v>
      </c>
      <c r="O444"/>
      <c r="P444" t="e">
        <f>VLOOKUP(N444,#REF!,2,FALSE)</f>
        <v>#REF!</v>
      </c>
      <c r="Q444" t="s">
        <v>873</v>
      </c>
      <c r="R444" s="345">
        <v>6437.99</v>
      </c>
    </row>
    <row r="445" spans="1:18" x14ac:dyDescent="0.2">
      <c r="A445" s="344" t="s">
        <v>749</v>
      </c>
      <c r="B445" t="s">
        <v>827</v>
      </c>
      <c r="C445" t="s">
        <v>823</v>
      </c>
      <c r="D445" t="s">
        <v>746</v>
      </c>
      <c r="E445" t="s">
        <v>829</v>
      </c>
      <c r="F445" t="s">
        <v>803</v>
      </c>
      <c r="G445" t="s">
        <v>830</v>
      </c>
      <c r="H445" t="s">
        <v>831</v>
      </c>
      <c r="I445" t="s">
        <v>722</v>
      </c>
      <c r="J445" t="s">
        <v>721</v>
      </c>
      <c r="K445"/>
      <c r="L445"/>
      <c r="M445" t="s">
        <v>884</v>
      </c>
      <c r="N445" t="s">
        <v>885</v>
      </c>
      <c r="O445"/>
      <c r="P445" t="e">
        <f>VLOOKUP(N445,#REF!,2,FALSE)</f>
        <v>#REF!</v>
      </c>
      <c r="Q445" t="s">
        <v>874</v>
      </c>
      <c r="R445" s="345">
        <v>-1809609.5</v>
      </c>
    </row>
    <row r="446" spans="1:18" x14ac:dyDescent="0.2">
      <c r="A446" s="344" t="s">
        <v>752</v>
      </c>
      <c r="B446" t="s">
        <v>827</v>
      </c>
      <c r="C446" t="s">
        <v>823</v>
      </c>
      <c r="D446" t="s">
        <v>746</v>
      </c>
      <c r="E446" t="s">
        <v>829</v>
      </c>
      <c r="F446" t="s">
        <v>803</v>
      </c>
      <c r="G446" t="s">
        <v>830</v>
      </c>
      <c r="H446" t="s">
        <v>831</v>
      </c>
      <c r="I446" t="s">
        <v>722</v>
      </c>
      <c r="J446" t="s">
        <v>721</v>
      </c>
      <c r="K446"/>
      <c r="L446"/>
      <c r="M446" t="s">
        <v>884</v>
      </c>
      <c r="N446" t="s">
        <v>885</v>
      </c>
      <c r="O446"/>
      <c r="P446" t="e">
        <f>VLOOKUP(N446,#REF!,2,FALSE)</f>
        <v>#REF!</v>
      </c>
      <c r="Q446" t="s">
        <v>874</v>
      </c>
      <c r="R446" s="345">
        <v>-1805180.22</v>
      </c>
    </row>
    <row r="447" spans="1:18" x14ac:dyDescent="0.2">
      <c r="A447" s="344" t="s">
        <v>753</v>
      </c>
      <c r="B447" t="s">
        <v>827</v>
      </c>
      <c r="C447" t="s">
        <v>823</v>
      </c>
      <c r="D447" t="s">
        <v>746</v>
      </c>
      <c r="E447" t="s">
        <v>829</v>
      </c>
      <c r="F447" t="s">
        <v>803</v>
      </c>
      <c r="G447" t="s">
        <v>830</v>
      </c>
      <c r="H447" t="s">
        <v>831</v>
      </c>
      <c r="I447" t="s">
        <v>722</v>
      </c>
      <c r="J447" t="s">
        <v>721</v>
      </c>
      <c r="K447"/>
      <c r="L447"/>
      <c r="M447" t="s">
        <v>884</v>
      </c>
      <c r="N447" t="s">
        <v>885</v>
      </c>
      <c r="O447"/>
      <c r="P447" t="e">
        <f>VLOOKUP(N447,#REF!,2,FALSE)</f>
        <v>#REF!</v>
      </c>
      <c r="Q447" t="s">
        <v>874</v>
      </c>
      <c r="R447" s="345">
        <v>-1749091.8</v>
      </c>
    </row>
    <row r="448" spans="1:18" x14ac:dyDescent="0.2">
      <c r="A448" s="344" t="s">
        <v>754</v>
      </c>
      <c r="B448" t="s">
        <v>827</v>
      </c>
      <c r="C448" t="s">
        <v>823</v>
      </c>
      <c r="D448" t="s">
        <v>746</v>
      </c>
      <c r="E448" t="s">
        <v>829</v>
      </c>
      <c r="F448" t="s">
        <v>803</v>
      </c>
      <c r="G448" t="s">
        <v>830</v>
      </c>
      <c r="H448" t="s">
        <v>831</v>
      </c>
      <c r="I448" t="s">
        <v>722</v>
      </c>
      <c r="J448" t="s">
        <v>721</v>
      </c>
      <c r="K448"/>
      <c r="L448"/>
      <c r="M448" t="s">
        <v>884</v>
      </c>
      <c r="N448" t="s">
        <v>885</v>
      </c>
      <c r="O448"/>
      <c r="P448" t="e">
        <f>VLOOKUP(N448,#REF!,2,FALSE)</f>
        <v>#REF!</v>
      </c>
      <c r="Q448" t="s">
        <v>874</v>
      </c>
      <c r="R448" s="345">
        <v>0</v>
      </c>
    </row>
    <row r="449" spans="1:18" x14ac:dyDescent="0.2">
      <c r="A449" s="344" t="s">
        <v>755</v>
      </c>
      <c r="B449" t="s">
        <v>827</v>
      </c>
      <c r="C449" t="s">
        <v>823</v>
      </c>
      <c r="D449" t="s">
        <v>746</v>
      </c>
      <c r="E449" t="s">
        <v>829</v>
      </c>
      <c r="F449" t="s">
        <v>803</v>
      </c>
      <c r="G449" t="s">
        <v>830</v>
      </c>
      <c r="H449" t="s">
        <v>831</v>
      </c>
      <c r="I449" t="s">
        <v>722</v>
      </c>
      <c r="J449" t="s">
        <v>721</v>
      </c>
      <c r="K449"/>
      <c r="L449"/>
      <c r="M449" t="s">
        <v>884</v>
      </c>
      <c r="N449" t="s">
        <v>885</v>
      </c>
      <c r="O449"/>
      <c r="P449" t="e">
        <f>VLOOKUP(N449,#REF!,2,FALSE)</f>
        <v>#REF!</v>
      </c>
      <c r="Q449" t="s">
        <v>874</v>
      </c>
      <c r="R449" s="345">
        <v>-771373.2</v>
      </c>
    </row>
    <row r="450" spans="1:18" x14ac:dyDescent="0.2">
      <c r="A450" s="344" t="s">
        <v>756</v>
      </c>
      <c r="B450" t="s">
        <v>827</v>
      </c>
      <c r="C450" t="s">
        <v>823</v>
      </c>
      <c r="D450" t="s">
        <v>746</v>
      </c>
      <c r="E450" t="s">
        <v>829</v>
      </c>
      <c r="F450" t="s">
        <v>803</v>
      </c>
      <c r="G450" t="s">
        <v>830</v>
      </c>
      <c r="H450" t="s">
        <v>831</v>
      </c>
      <c r="I450" t="s">
        <v>722</v>
      </c>
      <c r="J450" t="s">
        <v>721</v>
      </c>
      <c r="K450"/>
      <c r="L450"/>
      <c r="M450" t="s">
        <v>884</v>
      </c>
      <c r="N450" t="s">
        <v>885</v>
      </c>
      <c r="O450"/>
      <c r="P450" t="e">
        <f>VLOOKUP(N450,#REF!,2,FALSE)</f>
        <v>#REF!</v>
      </c>
      <c r="Q450" t="s">
        <v>874</v>
      </c>
      <c r="R450" s="345">
        <v>-754107.86</v>
      </c>
    </row>
    <row r="451" spans="1:18" x14ac:dyDescent="0.2">
      <c r="A451" s="344" t="s">
        <v>757</v>
      </c>
      <c r="B451" t="s">
        <v>827</v>
      </c>
      <c r="C451" t="s">
        <v>823</v>
      </c>
      <c r="D451" t="s">
        <v>746</v>
      </c>
      <c r="E451" t="s">
        <v>829</v>
      </c>
      <c r="F451" t="s">
        <v>803</v>
      </c>
      <c r="G451" t="s">
        <v>830</v>
      </c>
      <c r="H451" t="s">
        <v>831</v>
      </c>
      <c r="I451" t="s">
        <v>722</v>
      </c>
      <c r="J451" t="s">
        <v>721</v>
      </c>
      <c r="K451"/>
      <c r="L451"/>
      <c r="M451" t="s">
        <v>884</v>
      </c>
      <c r="N451" t="s">
        <v>885</v>
      </c>
      <c r="O451"/>
      <c r="P451" t="e">
        <f>VLOOKUP(N451,#REF!,2,FALSE)</f>
        <v>#REF!</v>
      </c>
      <c r="Q451" t="s">
        <v>874</v>
      </c>
      <c r="R451" s="345">
        <v>-42977.78</v>
      </c>
    </row>
    <row r="452" spans="1:18" x14ac:dyDescent="0.2">
      <c r="A452" s="344" t="s">
        <v>749</v>
      </c>
      <c r="B452" t="s">
        <v>827</v>
      </c>
      <c r="C452" t="s">
        <v>823</v>
      </c>
      <c r="D452" t="s">
        <v>746</v>
      </c>
      <c r="E452" t="s">
        <v>829</v>
      </c>
      <c r="F452" t="s">
        <v>803</v>
      </c>
      <c r="G452" t="s">
        <v>830</v>
      </c>
      <c r="H452" t="s">
        <v>831</v>
      </c>
      <c r="I452" t="s">
        <v>722</v>
      </c>
      <c r="J452" t="s">
        <v>721</v>
      </c>
      <c r="K452"/>
      <c r="L452"/>
      <c r="M452" t="s">
        <v>884</v>
      </c>
      <c r="N452" t="s">
        <v>885</v>
      </c>
      <c r="O452"/>
      <c r="P452" t="e">
        <f>VLOOKUP(N452,#REF!,2,FALSE)</f>
        <v>#REF!</v>
      </c>
      <c r="Q452" t="s">
        <v>859</v>
      </c>
      <c r="R452" s="345">
        <v>-338634.2</v>
      </c>
    </row>
    <row r="453" spans="1:18" x14ac:dyDescent="0.2">
      <c r="A453" s="344" t="s">
        <v>752</v>
      </c>
      <c r="B453" t="s">
        <v>827</v>
      </c>
      <c r="C453" t="s">
        <v>823</v>
      </c>
      <c r="D453" t="s">
        <v>746</v>
      </c>
      <c r="E453" t="s">
        <v>829</v>
      </c>
      <c r="F453" t="s">
        <v>803</v>
      </c>
      <c r="G453" t="s">
        <v>830</v>
      </c>
      <c r="H453" t="s">
        <v>831</v>
      </c>
      <c r="I453" t="s">
        <v>722</v>
      </c>
      <c r="J453" t="s">
        <v>721</v>
      </c>
      <c r="K453"/>
      <c r="L453"/>
      <c r="M453" t="s">
        <v>884</v>
      </c>
      <c r="N453" t="s">
        <v>885</v>
      </c>
      <c r="O453"/>
      <c r="P453" t="e">
        <f>VLOOKUP(N453,#REF!,2,FALSE)</f>
        <v>#REF!</v>
      </c>
      <c r="Q453" t="s">
        <v>859</v>
      </c>
      <c r="R453" s="345">
        <v>-257082.23</v>
      </c>
    </row>
    <row r="454" spans="1:18" x14ac:dyDescent="0.2">
      <c r="A454" s="344" t="s">
        <v>753</v>
      </c>
      <c r="B454" t="s">
        <v>827</v>
      </c>
      <c r="C454" t="s">
        <v>823</v>
      </c>
      <c r="D454" t="s">
        <v>746</v>
      </c>
      <c r="E454" t="s">
        <v>829</v>
      </c>
      <c r="F454" t="s">
        <v>803</v>
      </c>
      <c r="G454" t="s">
        <v>830</v>
      </c>
      <c r="H454" t="s">
        <v>831</v>
      </c>
      <c r="I454" t="s">
        <v>722</v>
      </c>
      <c r="J454" t="s">
        <v>721</v>
      </c>
      <c r="K454"/>
      <c r="L454"/>
      <c r="M454" t="s">
        <v>884</v>
      </c>
      <c r="N454" t="s">
        <v>885</v>
      </c>
      <c r="O454"/>
      <c r="P454" t="e">
        <f>VLOOKUP(N454,#REF!,2,FALSE)</f>
        <v>#REF!</v>
      </c>
      <c r="Q454" t="s">
        <v>859</v>
      </c>
      <c r="R454" s="345">
        <v>-296201.58</v>
      </c>
    </row>
    <row r="455" spans="1:18" x14ac:dyDescent="0.2">
      <c r="A455" s="344" t="s">
        <v>754</v>
      </c>
      <c r="B455" t="s">
        <v>827</v>
      </c>
      <c r="C455" t="s">
        <v>823</v>
      </c>
      <c r="D455" t="s">
        <v>746</v>
      </c>
      <c r="E455" t="s">
        <v>829</v>
      </c>
      <c r="F455" t="s">
        <v>803</v>
      </c>
      <c r="G455" t="s">
        <v>830</v>
      </c>
      <c r="H455" t="s">
        <v>831</v>
      </c>
      <c r="I455" t="s">
        <v>722</v>
      </c>
      <c r="J455" t="s">
        <v>721</v>
      </c>
      <c r="K455"/>
      <c r="L455"/>
      <c r="M455" t="s">
        <v>884</v>
      </c>
      <c r="N455" t="s">
        <v>885</v>
      </c>
      <c r="O455"/>
      <c r="P455" t="e">
        <f>VLOOKUP(N455,#REF!,2,FALSE)</f>
        <v>#REF!</v>
      </c>
      <c r="Q455" t="s">
        <v>859</v>
      </c>
      <c r="R455" s="345">
        <v>0</v>
      </c>
    </row>
    <row r="456" spans="1:18" x14ac:dyDescent="0.2">
      <c r="A456" s="344" t="s">
        <v>757</v>
      </c>
      <c r="B456" t="s">
        <v>827</v>
      </c>
      <c r="C456" t="s">
        <v>823</v>
      </c>
      <c r="D456" t="s">
        <v>746</v>
      </c>
      <c r="E456" t="s">
        <v>829</v>
      </c>
      <c r="F456" t="s">
        <v>803</v>
      </c>
      <c r="G456" t="s">
        <v>830</v>
      </c>
      <c r="H456" t="s">
        <v>831</v>
      </c>
      <c r="I456" t="s">
        <v>722</v>
      </c>
      <c r="J456" t="s">
        <v>721</v>
      </c>
      <c r="K456"/>
      <c r="L456"/>
      <c r="M456" t="s">
        <v>884</v>
      </c>
      <c r="N456" t="s">
        <v>885</v>
      </c>
      <c r="O456"/>
      <c r="P456" t="e">
        <f>VLOOKUP(N456,#REF!,2,FALSE)</f>
        <v>#REF!</v>
      </c>
      <c r="Q456" t="s">
        <v>859</v>
      </c>
      <c r="R456" s="345">
        <v>-492748.6</v>
      </c>
    </row>
    <row r="457" spans="1:18" x14ac:dyDescent="0.2">
      <c r="A457" s="344" t="s">
        <v>758</v>
      </c>
      <c r="B457" t="s">
        <v>827</v>
      </c>
      <c r="C457" t="s">
        <v>823</v>
      </c>
      <c r="D457" t="s">
        <v>746</v>
      </c>
      <c r="E457" t="s">
        <v>829</v>
      </c>
      <c r="F457" t="s">
        <v>803</v>
      </c>
      <c r="G457" t="s">
        <v>830</v>
      </c>
      <c r="H457" t="s">
        <v>831</v>
      </c>
      <c r="I457" t="s">
        <v>722</v>
      </c>
      <c r="J457" t="s">
        <v>721</v>
      </c>
      <c r="K457"/>
      <c r="L457"/>
      <c r="M457" t="s">
        <v>884</v>
      </c>
      <c r="N457" t="s">
        <v>885</v>
      </c>
      <c r="O457"/>
      <c r="P457" t="e">
        <f>VLOOKUP(N457,#REF!,2,FALSE)</f>
        <v>#REF!</v>
      </c>
      <c r="Q457" t="s">
        <v>859</v>
      </c>
      <c r="R457" s="345">
        <v>-445063.25</v>
      </c>
    </row>
    <row r="458" spans="1:18" x14ac:dyDescent="0.2">
      <c r="A458" s="344" t="s">
        <v>759</v>
      </c>
      <c r="B458" t="s">
        <v>827</v>
      </c>
      <c r="C458" t="s">
        <v>823</v>
      </c>
      <c r="D458" t="s">
        <v>746</v>
      </c>
      <c r="E458" t="s">
        <v>829</v>
      </c>
      <c r="F458" t="s">
        <v>803</v>
      </c>
      <c r="G458" t="s">
        <v>830</v>
      </c>
      <c r="H458" t="s">
        <v>831</v>
      </c>
      <c r="I458" t="s">
        <v>722</v>
      </c>
      <c r="J458" t="s">
        <v>721</v>
      </c>
      <c r="K458"/>
      <c r="L458"/>
      <c r="M458" t="s">
        <v>884</v>
      </c>
      <c r="N458" t="s">
        <v>885</v>
      </c>
      <c r="O458"/>
      <c r="P458" t="e">
        <f>VLOOKUP(N458,#REF!,2,FALSE)</f>
        <v>#REF!</v>
      </c>
      <c r="Q458" t="s">
        <v>859</v>
      </c>
      <c r="R458" s="345">
        <v>-492748.6</v>
      </c>
    </row>
    <row r="459" spans="1:18" x14ac:dyDescent="0.2">
      <c r="A459" s="344" t="s">
        <v>743</v>
      </c>
      <c r="B459" t="s">
        <v>827</v>
      </c>
      <c r="C459" t="s">
        <v>823</v>
      </c>
      <c r="D459" t="s">
        <v>746</v>
      </c>
      <c r="E459" t="s">
        <v>829</v>
      </c>
      <c r="F459" t="s">
        <v>803</v>
      </c>
      <c r="G459" t="s">
        <v>830</v>
      </c>
      <c r="H459" t="s">
        <v>831</v>
      </c>
      <c r="I459" t="s">
        <v>722</v>
      </c>
      <c r="J459" t="s">
        <v>721</v>
      </c>
      <c r="K459"/>
      <c r="L459"/>
      <c r="M459" t="s">
        <v>884</v>
      </c>
      <c r="N459" t="s">
        <v>885</v>
      </c>
      <c r="O459"/>
      <c r="P459" t="e">
        <f>VLOOKUP(N459,#REF!,2,FALSE)</f>
        <v>#REF!</v>
      </c>
      <c r="Q459" t="s">
        <v>859</v>
      </c>
      <c r="R459" s="345">
        <v>0</v>
      </c>
    </row>
    <row r="460" spans="1:18" x14ac:dyDescent="0.2">
      <c r="A460" s="344" t="s">
        <v>760</v>
      </c>
      <c r="B460" t="s">
        <v>827</v>
      </c>
      <c r="C460" t="s">
        <v>823</v>
      </c>
      <c r="D460" t="s">
        <v>746</v>
      </c>
      <c r="E460" t="s">
        <v>829</v>
      </c>
      <c r="F460" t="s">
        <v>803</v>
      </c>
      <c r="G460" t="s">
        <v>830</v>
      </c>
      <c r="H460" t="s">
        <v>831</v>
      </c>
      <c r="I460" t="s">
        <v>722</v>
      </c>
      <c r="J460" t="s">
        <v>721</v>
      </c>
      <c r="K460"/>
      <c r="L460"/>
      <c r="M460" t="s">
        <v>884</v>
      </c>
      <c r="N460" t="s">
        <v>885</v>
      </c>
      <c r="O460"/>
      <c r="P460" t="e">
        <f>VLOOKUP(N460,#REF!,2,FALSE)</f>
        <v>#REF!</v>
      </c>
      <c r="Q460" t="s">
        <v>859</v>
      </c>
      <c r="R460" s="345">
        <v>-1374636.12</v>
      </c>
    </row>
    <row r="461" spans="1:18" x14ac:dyDescent="0.2">
      <c r="A461" s="344" t="s">
        <v>745</v>
      </c>
      <c r="B461" t="s">
        <v>827</v>
      </c>
      <c r="C461" t="s">
        <v>823</v>
      </c>
      <c r="D461" t="s">
        <v>746</v>
      </c>
      <c r="E461" t="s">
        <v>829</v>
      </c>
      <c r="F461" t="s">
        <v>803</v>
      </c>
      <c r="G461" t="s">
        <v>830</v>
      </c>
      <c r="H461" t="s">
        <v>831</v>
      </c>
      <c r="I461" t="s">
        <v>722</v>
      </c>
      <c r="J461" t="s">
        <v>721</v>
      </c>
      <c r="K461"/>
      <c r="L461"/>
      <c r="M461" t="s">
        <v>884</v>
      </c>
      <c r="N461" t="s">
        <v>885</v>
      </c>
      <c r="O461"/>
      <c r="P461" t="e">
        <f>VLOOKUP(N461,#REF!,2,FALSE)</f>
        <v>#REF!</v>
      </c>
      <c r="Q461" t="s">
        <v>859</v>
      </c>
      <c r="R461" s="345">
        <v>-676050.55</v>
      </c>
    </row>
    <row r="462" spans="1:18" x14ac:dyDescent="0.2">
      <c r="A462" s="344" t="s">
        <v>749</v>
      </c>
      <c r="B462" t="s">
        <v>827</v>
      </c>
      <c r="C462" t="s">
        <v>823</v>
      </c>
      <c r="D462" t="s">
        <v>746</v>
      </c>
      <c r="E462" t="s">
        <v>829</v>
      </c>
      <c r="F462" t="s">
        <v>803</v>
      </c>
      <c r="G462" t="s">
        <v>830</v>
      </c>
      <c r="H462" t="s">
        <v>831</v>
      </c>
      <c r="I462" t="s">
        <v>722</v>
      </c>
      <c r="J462" t="s">
        <v>721</v>
      </c>
      <c r="K462"/>
      <c r="L462"/>
      <c r="M462" t="s">
        <v>884</v>
      </c>
      <c r="N462" t="s">
        <v>885</v>
      </c>
      <c r="O462"/>
      <c r="P462" t="e">
        <f>VLOOKUP(N462,#REF!,2,FALSE)</f>
        <v>#REF!</v>
      </c>
      <c r="Q462" t="s">
        <v>886</v>
      </c>
      <c r="R462" s="345">
        <v>0</v>
      </c>
    </row>
    <row r="463" spans="1:18" x14ac:dyDescent="0.2">
      <c r="A463" s="344" t="s">
        <v>749</v>
      </c>
      <c r="B463" t="s">
        <v>827</v>
      </c>
      <c r="C463" t="s">
        <v>823</v>
      </c>
      <c r="D463" t="s">
        <v>746</v>
      </c>
      <c r="E463" t="s">
        <v>829</v>
      </c>
      <c r="F463" t="s">
        <v>803</v>
      </c>
      <c r="G463" t="s">
        <v>830</v>
      </c>
      <c r="H463" t="s">
        <v>831</v>
      </c>
      <c r="I463" t="s">
        <v>722</v>
      </c>
      <c r="J463" t="s">
        <v>721</v>
      </c>
      <c r="K463"/>
      <c r="L463"/>
      <c r="M463" t="s">
        <v>837</v>
      </c>
      <c r="N463" t="s">
        <v>838</v>
      </c>
      <c r="O463"/>
      <c r="P463" t="e">
        <f>VLOOKUP(N463,#REF!,2,FALSE)</f>
        <v>#REF!</v>
      </c>
      <c r="Q463" t="s">
        <v>877</v>
      </c>
      <c r="R463" s="345">
        <v>0</v>
      </c>
    </row>
    <row r="464" spans="1:18" x14ac:dyDescent="0.2">
      <c r="A464" s="344" t="s">
        <v>756</v>
      </c>
      <c r="B464" t="s">
        <v>827</v>
      </c>
      <c r="C464" t="s">
        <v>823</v>
      </c>
      <c r="D464" t="s">
        <v>746</v>
      </c>
      <c r="E464" t="s">
        <v>829</v>
      </c>
      <c r="F464" t="s">
        <v>803</v>
      </c>
      <c r="G464" t="s">
        <v>830</v>
      </c>
      <c r="H464" t="s">
        <v>831</v>
      </c>
      <c r="I464" t="s">
        <v>722</v>
      </c>
      <c r="J464" t="s">
        <v>721</v>
      </c>
      <c r="K464"/>
      <c r="L464"/>
      <c r="M464" t="s">
        <v>837</v>
      </c>
      <c r="N464" t="s">
        <v>838</v>
      </c>
      <c r="O464"/>
      <c r="P464" t="e">
        <f>VLOOKUP(N464,#REF!,2,FALSE)</f>
        <v>#REF!</v>
      </c>
      <c r="Q464" t="s">
        <v>877</v>
      </c>
      <c r="R464" s="345">
        <v>-641.71</v>
      </c>
    </row>
    <row r="465" spans="1:18" x14ac:dyDescent="0.2">
      <c r="A465" s="344" t="s">
        <v>757</v>
      </c>
      <c r="B465" t="s">
        <v>827</v>
      </c>
      <c r="C465" t="s">
        <v>823</v>
      </c>
      <c r="D465" t="s">
        <v>746</v>
      </c>
      <c r="E465" t="s">
        <v>829</v>
      </c>
      <c r="F465" t="s">
        <v>803</v>
      </c>
      <c r="G465" t="s">
        <v>830</v>
      </c>
      <c r="H465" t="s">
        <v>831</v>
      </c>
      <c r="I465" t="s">
        <v>722</v>
      </c>
      <c r="J465" t="s">
        <v>721</v>
      </c>
      <c r="K465"/>
      <c r="L465"/>
      <c r="M465" t="s">
        <v>837</v>
      </c>
      <c r="N465" t="s">
        <v>838</v>
      </c>
      <c r="O465"/>
      <c r="P465" t="e">
        <f>VLOOKUP(N465,#REF!,2,FALSE)</f>
        <v>#REF!</v>
      </c>
      <c r="Q465" t="s">
        <v>877</v>
      </c>
      <c r="R465" s="345">
        <v>0</v>
      </c>
    </row>
    <row r="466" spans="1:18" x14ac:dyDescent="0.2">
      <c r="A466" s="344" t="s">
        <v>743</v>
      </c>
      <c r="B466" t="s">
        <v>827</v>
      </c>
      <c r="C466" t="s">
        <v>823</v>
      </c>
      <c r="D466" t="s">
        <v>746</v>
      </c>
      <c r="E466" t="s">
        <v>829</v>
      </c>
      <c r="F466" t="s">
        <v>803</v>
      </c>
      <c r="G466" t="s">
        <v>830</v>
      </c>
      <c r="H466" t="s">
        <v>831</v>
      </c>
      <c r="I466" t="s">
        <v>722</v>
      </c>
      <c r="J466" t="s">
        <v>721</v>
      </c>
      <c r="K466"/>
      <c r="L466"/>
      <c r="M466" t="s">
        <v>837</v>
      </c>
      <c r="N466" t="s">
        <v>838</v>
      </c>
      <c r="O466"/>
      <c r="P466" t="e">
        <f>VLOOKUP(N466,#REF!,2,FALSE)</f>
        <v>#REF!</v>
      </c>
      <c r="Q466" t="s">
        <v>877</v>
      </c>
      <c r="R466" s="345">
        <v>-418.68</v>
      </c>
    </row>
    <row r="467" spans="1:18" x14ac:dyDescent="0.2">
      <c r="A467" s="344" t="s">
        <v>760</v>
      </c>
      <c r="B467" t="s">
        <v>827</v>
      </c>
      <c r="C467" t="s">
        <v>823</v>
      </c>
      <c r="D467" t="s">
        <v>746</v>
      </c>
      <c r="E467" t="s">
        <v>829</v>
      </c>
      <c r="F467" t="s">
        <v>803</v>
      </c>
      <c r="G467" t="s">
        <v>830</v>
      </c>
      <c r="H467" t="s">
        <v>831</v>
      </c>
      <c r="I467" t="s">
        <v>722</v>
      </c>
      <c r="J467" t="s">
        <v>721</v>
      </c>
      <c r="K467"/>
      <c r="L467"/>
      <c r="M467" t="s">
        <v>837</v>
      </c>
      <c r="N467" t="s">
        <v>838</v>
      </c>
      <c r="O467"/>
      <c r="P467" t="e">
        <f>VLOOKUP(N467,#REF!,2,FALSE)</f>
        <v>#REF!</v>
      </c>
      <c r="Q467" t="s">
        <v>877</v>
      </c>
      <c r="R467" s="345">
        <v>0</v>
      </c>
    </row>
    <row r="468" spans="1:18" x14ac:dyDescent="0.2">
      <c r="A468" s="344" t="s">
        <v>757</v>
      </c>
      <c r="B468" t="s">
        <v>827</v>
      </c>
      <c r="C468" t="s">
        <v>823</v>
      </c>
      <c r="D468" t="s">
        <v>746</v>
      </c>
      <c r="E468" t="s">
        <v>829</v>
      </c>
      <c r="F468" t="s">
        <v>803</v>
      </c>
      <c r="G468" t="s">
        <v>830</v>
      </c>
      <c r="H468" t="s">
        <v>831</v>
      </c>
      <c r="I468" t="s">
        <v>722</v>
      </c>
      <c r="J468" t="s">
        <v>721</v>
      </c>
      <c r="K468"/>
      <c r="L468"/>
      <c r="M468" t="s">
        <v>837</v>
      </c>
      <c r="N468" t="s">
        <v>838</v>
      </c>
      <c r="O468"/>
      <c r="P468" t="e">
        <f>VLOOKUP(N468,#REF!,2,FALSE)</f>
        <v>#REF!</v>
      </c>
      <c r="Q468" t="s">
        <v>887</v>
      </c>
      <c r="R468" s="345">
        <v>-30831.63</v>
      </c>
    </row>
    <row r="469" spans="1:18" x14ac:dyDescent="0.2">
      <c r="A469" s="344" t="s">
        <v>758</v>
      </c>
      <c r="B469" t="s">
        <v>827</v>
      </c>
      <c r="C469" t="s">
        <v>823</v>
      </c>
      <c r="D469" t="s">
        <v>746</v>
      </c>
      <c r="E469" t="s">
        <v>829</v>
      </c>
      <c r="F469" t="s">
        <v>803</v>
      </c>
      <c r="G469" t="s">
        <v>830</v>
      </c>
      <c r="H469" t="s">
        <v>831</v>
      </c>
      <c r="I469" t="s">
        <v>722</v>
      </c>
      <c r="J469" t="s">
        <v>721</v>
      </c>
      <c r="K469"/>
      <c r="L469"/>
      <c r="M469" t="s">
        <v>837</v>
      </c>
      <c r="N469" t="s">
        <v>838</v>
      </c>
      <c r="O469"/>
      <c r="P469" t="e">
        <f>VLOOKUP(N469,#REF!,2,FALSE)</f>
        <v>#REF!</v>
      </c>
      <c r="Q469" t="s">
        <v>887</v>
      </c>
      <c r="R469" s="345">
        <v>4644.4399999999996</v>
      </c>
    </row>
    <row r="470" spans="1:18" x14ac:dyDescent="0.2">
      <c r="A470" s="344" t="s">
        <v>759</v>
      </c>
      <c r="B470" t="s">
        <v>827</v>
      </c>
      <c r="C470" t="s">
        <v>823</v>
      </c>
      <c r="D470" t="s">
        <v>746</v>
      </c>
      <c r="E470" t="s">
        <v>829</v>
      </c>
      <c r="F470" t="s">
        <v>803</v>
      </c>
      <c r="G470" t="s">
        <v>830</v>
      </c>
      <c r="H470" t="s">
        <v>831</v>
      </c>
      <c r="I470" t="s">
        <v>722</v>
      </c>
      <c r="J470" t="s">
        <v>721</v>
      </c>
      <c r="K470"/>
      <c r="L470"/>
      <c r="M470" t="s">
        <v>837</v>
      </c>
      <c r="N470" t="s">
        <v>838</v>
      </c>
      <c r="O470"/>
      <c r="P470" t="e">
        <f>VLOOKUP(N470,#REF!,2,FALSE)</f>
        <v>#REF!</v>
      </c>
      <c r="Q470" t="s">
        <v>887</v>
      </c>
      <c r="R470" s="345">
        <v>-14097.61</v>
      </c>
    </row>
    <row r="471" spans="1:18" x14ac:dyDescent="0.2">
      <c r="A471" s="344" t="s">
        <v>743</v>
      </c>
      <c r="B471" t="s">
        <v>827</v>
      </c>
      <c r="C471" t="s">
        <v>823</v>
      </c>
      <c r="D471" t="s">
        <v>746</v>
      </c>
      <c r="E471" t="s">
        <v>829</v>
      </c>
      <c r="F471" t="s">
        <v>803</v>
      </c>
      <c r="G471" t="s">
        <v>830</v>
      </c>
      <c r="H471" t="s">
        <v>831</v>
      </c>
      <c r="I471" t="s">
        <v>722</v>
      </c>
      <c r="J471" t="s">
        <v>721</v>
      </c>
      <c r="K471"/>
      <c r="L471"/>
      <c r="M471" t="s">
        <v>837</v>
      </c>
      <c r="N471" t="s">
        <v>838</v>
      </c>
      <c r="O471"/>
      <c r="P471" t="e">
        <f>VLOOKUP(N471,#REF!,2,FALSE)</f>
        <v>#REF!</v>
      </c>
      <c r="Q471" t="s">
        <v>887</v>
      </c>
      <c r="R471" s="345">
        <v>-9391.36</v>
      </c>
    </row>
    <row r="472" spans="1:18" x14ac:dyDescent="0.2">
      <c r="A472" s="344" t="s">
        <v>760</v>
      </c>
      <c r="B472" t="s">
        <v>827</v>
      </c>
      <c r="C472" t="s">
        <v>823</v>
      </c>
      <c r="D472" t="s">
        <v>746</v>
      </c>
      <c r="E472" t="s">
        <v>829</v>
      </c>
      <c r="F472" t="s">
        <v>803</v>
      </c>
      <c r="G472" t="s">
        <v>830</v>
      </c>
      <c r="H472" t="s">
        <v>831</v>
      </c>
      <c r="I472" t="s">
        <v>722</v>
      </c>
      <c r="J472" t="s">
        <v>721</v>
      </c>
      <c r="K472"/>
      <c r="L472"/>
      <c r="M472" t="s">
        <v>837</v>
      </c>
      <c r="N472" t="s">
        <v>838</v>
      </c>
      <c r="O472"/>
      <c r="P472" t="e">
        <f>VLOOKUP(N472,#REF!,2,FALSE)</f>
        <v>#REF!</v>
      </c>
      <c r="Q472" t="s">
        <v>887</v>
      </c>
      <c r="R472" s="345">
        <v>-4381.79</v>
      </c>
    </row>
    <row r="473" spans="1:18" x14ac:dyDescent="0.2">
      <c r="A473" s="344" t="s">
        <v>745</v>
      </c>
      <c r="B473" t="s">
        <v>827</v>
      </c>
      <c r="C473" t="s">
        <v>823</v>
      </c>
      <c r="D473" t="s">
        <v>746</v>
      </c>
      <c r="E473" t="s">
        <v>829</v>
      </c>
      <c r="F473" t="s">
        <v>803</v>
      </c>
      <c r="G473" t="s">
        <v>830</v>
      </c>
      <c r="H473" t="s">
        <v>831</v>
      </c>
      <c r="I473" t="s">
        <v>722</v>
      </c>
      <c r="J473" t="s">
        <v>721</v>
      </c>
      <c r="K473"/>
      <c r="L473"/>
      <c r="M473" t="s">
        <v>837</v>
      </c>
      <c r="N473" t="s">
        <v>838</v>
      </c>
      <c r="O473"/>
      <c r="P473" t="e">
        <f>VLOOKUP(N473,#REF!,2,FALSE)</f>
        <v>#REF!</v>
      </c>
      <c r="Q473" t="s">
        <v>887</v>
      </c>
      <c r="R473" s="345">
        <v>-5624.56</v>
      </c>
    </row>
    <row r="474" spans="1:18" x14ac:dyDescent="0.2">
      <c r="A474" s="344" t="s">
        <v>749</v>
      </c>
      <c r="B474" t="s">
        <v>827</v>
      </c>
      <c r="C474" t="s">
        <v>823</v>
      </c>
      <c r="D474" t="s">
        <v>746</v>
      </c>
      <c r="E474" t="s">
        <v>829</v>
      </c>
      <c r="F474" t="s">
        <v>803</v>
      </c>
      <c r="G474" t="s">
        <v>830</v>
      </c>
      <c r="H474" t="s">
        <v>831</v>
      </c>
      <c r="I474" t="s">
        <v>722</v>
      </c>
      <c r="J474" t="s">
        <v>721</v>
      </c>
      <c r="K474"/>
      <c r="L474"/>
      <c r="M474" t="s">
        <v>888</v>
      </c>
      <c r="N474" t="s">
        <v>889</v>
      </c>
      <c r="O474"/>
      <c r="P474" t="e">
        <f>VLOOKUP(N474,#REF!,2,FALSE)</f>
        <v>#REF!</v>
      </c>
      <c r="Q474" t="s">
        <v>890</v>
      </c>
      <c r="R474" s="345">
        <v>-12926.12</v>
      </c>
    </row>
    <row r="475" spans="1:18" x14ac:dyDescent="0.2">
      <c r="A475" s="344" t="s">
        <v>752</v>
      </c>
      <c r="B475" t="s">
        <v>827</v>
      </c>
      <c r="C475" t="s">
        <v>823</v>
      </c>
      <c r="D475" t="s">
        <v>746</v>
      </c>
      <c r="E475" t="s">
        <v>829</v>
      </c>
      <c r="F475" t="s">
        <v>803</v>
      </c>
      <c r="G475" t="s">
        <v>830</v>
      </c>
      <c r="H475" t="s">
        <v>831</v>
      </c>
      <c r="I475" t="s">
        <v>722</v>
      </c>
      <c r="J475" t="s">
        <v>721</v>
      </c>
      <c r="K475"/>
      <c r="L475"/>
      <c r="M475" t="s">
        <v>888</v>
      </c>
      <c r="N475" t="s">
        <v>889</v>
      </c>
      <c r="O475"/>
      <c r="P475" t="e">
        <f>VLOOKUP(N475,#REF!,2,FALSE)</f>
        <v>#REF!</v>
      </c>
      <c r="Q475" t="s">
        <v>890</v>
      </c>
      <c r="R475" s="345">
        <v>12926.12</v>
      </c>
    </row>
    <row r="476" spans="1:18" x14ac:dyDescent="0.2">
      <c r="A476" s="344" t="s">
        <v>749</v>
      </c>
      <c r="B476" t="s">
        <v>827</v>
      </c>
      <c r="C476" t="s">
        <v>823</v>
      </c>
      <c r="D476" t="s">
        <v>746</v>
      </c>
      <c r="E476" t="s">
        <v>829</v>
      </c>
      <c r="F476" t="s">
        <v>803</v>
      </c>
      <c r="G476" t="s">
        <v>830</v>
      </c>
      <c r="H476" t="s">
        <v>831</v>
      </c>
      <c r="I476" t="s">
        <v>722</v>
      </c>
      <c r="J476" t="s">
        <v>721</v>
      </c>
      <c r="K476"/>
      <c r="L476"/>
      <c r="M476" t="s">
        <v>888</v>
      </c>
      <c r="N476" t="s">
        <v>889</v>
      </c>
      <c r="O476"/>
      <c r="P476" t="e">
        <f>VLOOKUP(N476,#REF!,2,FALSE)</f>
        <v>#REF!</v>
      </c>
      <c r="Q476" t="s">
        <v>858</v>
      </c>
      <c r="R476" s="345">
        <v>-15567.08</v>
      </c>
    </row>
    <row r="477" spans="1:18" x14ac:dyDescent="0.2">
      <c r="A477" s="344" t="s">
        <v>752</v>
      </c>
      <c r="B477" t="s">
        <v>827</v>
      </c>
      <c r="C477" t="s">
        <v>823</v>
      </c>
      <c r="D477" t="s">
        <v>746</v>
      </c>
      <c r="E477" t="s">
        <v>829</v>
      </c>
      <c r="F477" t="s">
        <v>803</v>
      </c>
      <c r="G477" t="s">
        <v>830</v>
      </c>
      <c r="H477" t="s">
        <v>831</v>
      </c>
      <c r="I477" t="s">
        <v>722</v>
      </c>
      <c r="J477" t="s">
        <v>721</v>
      </c>
      <c r="K477"/>
      <c r="L477"/>
      <c r="M477" t="s">
        <v>888</v>
      </c>
      <c r="N477" t="s">
        <v>889</v>
      </c>
      <c r="O477"/>
      <c r="P477" t="e">
        <f>VLOOKUP(N477,#REF!,2,FALSE)</f>
        <v>#REF!</v>
      </c>
      <c r="Q477" t="s">
        <v>858</v>
      </c>
      <c r="R477" s="345">
        <v>0</v>
      </c>
    </row>
    <row r="478" spans="1:18" x14ac:dyDescent="0.2">
      <c r="A478" s="344" t="s">
        <v>753</v>
      </c>
      <c r="B478" t="s">
        <v>827</v>
      </c>
      <c r="C478" t="s">
        <v>823</v>
      </c>
      <c r="D478" t="s">
        <v>746</v>
      </c>
      <c r="E478" t="s">
        <v>829</v>
      </c>
      <c r="F478" t="s">
        <v>803</v>
      </c>
      <c r="G478" t="s">
        <v>830</v>
      </c>
      <c r="H478" t="s">
        <v>831</v>
      </c>
      <c r="I478" t="s">
        <v>722</v>
      </c>
      <c r="J478" t="s">
        <v>721</v>
      </c>
      <c r="K478"/>
      <c r="L478"/>
      <c r="M478" t="s">
        <v>888</v>
      </c>
      <c r="N478" t="s">
        <v>889</v>
      </c>
      <c r="O478"/>
      <c r="P478" t="e">
        <f>VLOOKUP(N478,#REF!,2,FALSE)</f>
        <v>#REF!</v>
      </c>
      <c r="Q478" t="s">
        <v>858</v>
      </c>
      <c r="R478" s="345">
        <v>15567.08</v>
      </c>
    </row>
    <row r="479" spans="1:18" x14ac:dyDescent="0.2">
      <c r="A479" s="344" t="s">
        <v>754</v>
      </c>
      <c r="B479" t="s">
        <v>827</v>
      </c>
      <c r="C479" t="s">
        <v>823</v>
      </c>
      <c r="D479" t="s">
        <v>746</v>
      </c>
      <c r="E479" t="s">
        <v>829</v>
      </c>
      <c r="F479" t="s">
        <v>803</v>
      </c>
      <c r="G479" t="s">
        <v>830</v>
      </c>
      <c r="H479" t="s">
        <v>831</v>
      </c>
      <c r="I479" t="s">
        <v>722</v>
      </c>
      <c r="J479" t="s">
        <v>721</v>
      </c>
      <c r="K479"/>
      <c r="L479"/>
      <c r="M479" t="s">
        <v>888</v>
      </c>
      <c r="N479" t="s">
        <v>889</v>
      </c>
      <c r="O479"/>
      <c r="P479" t="e">
        <f>VLOOKUP(N479,#REF!,2,FALSE)</f>
        <v>#REF!</v>
      </c>
      <c r="Q479" t="s">
        <v>891</v>
      </c>
      <c r="R479" s="345">
        <v>-46.44</v>
      </c>
    </row>
    <row r="480" spans="1:18" x14ac:dyDescent="0.2">
      <c r="A480" s="344" t="s">
        <v>757</v>
      </c>
      <c r="B480" t="s">
        <v>827</v>
      </c>
      <c r="C480" t="s">
        <v>823</v>
      </c>
      <c r="D480" t="s">
        <v>746</v>
      </c>
      <c r="E480" t="s">
        <v>829</v>
      </c>
      <c r="F480" t="s">
        <v>803</v>
      </c>
      <c r="G480" t="s">
        <v>830</v>
      </c>
      <c r="H480" t="s">
        <v>831</v>
      </c>
      <c r="I480" t="s">
        <v>722</v>
      </c>
      <c r="J480" t="s">
        <v>721</v>
      </c>
      <c r="K480"/>
      <c r="L480"/>
      <c r="M480" t="s">
        <v>888</v>
      </c>
      <c r="N480" t="s">
        <v>889</v>
      </c>
      <c r="O480"/>
      <c r="P480" t="e">
        <f>VLOOKUP(N480,#REF!,2,FALSE)</f>
        <v>#REF!</v>
      </c>
      <c r="Q480" t="s">
        <v>891</v>
      </c>
      <c r="R480" s="345">
        <v>-56.4</v>
      </c>
    </row>
    <row r="481" spans="1:18" x14ac:dyDescent="0.2">
      <c r="A481" s="344" t="s">
        <v>759</v>
      </c>
      <c r="B481" t="s">
        <v>827</v>
      </c>
      <c r="C481" t="s">
        <v>823</v>
      </c>
      <c r="D481" t="s">
        <v>746</v>
      </c>
      <c r="E481" t="s">
        <v>829</v>
      </c>
      <c r="F481" t="s">
        <v>803</v>
      </c>
      <c r="G481" t="s">
        <v>830</v>
      </c>
      <c r="H481" t="s">
        <v>831</v>
      </c>
      <c r="I481" t="s">
        <v>722</v>
      </c>
      <c r="J481" t="s">
        <v>721</v>
      </c>
      <c r="K481"/>
      <c r="L481"/>
      <c r="M481" t="s">
        <v>888</v>
      </c>
      <c r="N481" t="s">
        <v>889</v>
      </c>
      <c r="O481"/>
      <c r="P481" t="e">
        <f>VLOOKUP(N481,#REF!,2,FALSE)</f>
        <v>#REF!</v>
      </c>
      <c r="Q481" t="s">
        <v>891</v>
      </c>
      <c r="R481" s="345">
        <v>-64.91</v>
      </c>
    </row>
    <row r="482" spans="1:18" x14ac:dyDescent="0.2">
      <c r="A482" s="344" t="s">
        <v>743</v>
      </c>
      <c r="B482" t="s">
        <v>827</v>
      </c>
      <c r="C482" t="s">
        <v>823</v>
      </c>
      <c r="D482" t="s">
        <v>746</v>
      </c>
      <c r="E482" t="s">
        <v>829</v>
      </c>
      <c r="F482" t="s">
        <v>803</v>
      </c>
      <c r="G482" t="s">
        <v>830</v>
      </c>
      <c r="H482" t="s">
        <v>831</v>
      </c>
      <c r="I482" t="s">
        <v>722</v>
      </c>
      <c r="J482" t="s">
        <v>721</v>
      </c>
      <c r="K482"/>
      <c r="L482"/>
      <c r="M482" t="s">
        <v>888</v>
      </c>
      <c r="N482" t="s">
        <v>889</v>
      </c>
      <c r="O482"/>
      <c r="P482" t="e">
        <f>VLOOKUP(N482,#REF!,2,FALSE)</f>
        <v>#REF!</v>
      </c>
      <c r="Q482" t="s">
        <v>891</v>
      </c>
      <c r="R482" s="345">
        <v>0</v>
      </c>
    </row>
    <row r="483" spans="1:18" x14ac:dyDescent="0.2">
      <c r="A483" s="344" t="s">
        <v>745</v>
      </c>
      <c r="B483" t="s">
        <v>827</v>
      </c>
      <c r="C483" t="s">
        <v>823</v>
      </c>
      <c r="D483" t="s">
        <v>746</v>
      </c>
      <c r="E483" t="s">
        <v>829</v>
      </c>
      <c r="F483" t="s">
        <v>803</v>
      </c>
      <c r="G483" t="s">
        <v>830</v>
      </c>
      <c r="H483" t="s">
        <v>831</v>
      </c>
      <c r="I483" t="s">
        <v>722</v>
      </c>
      <c r="J483" t="s">
        <v>721</v>
      </c>
      <c r="K483"/>
      <c r="L483"/>
      <c r="M483" t="s">
        <v>888</v>
      </c>
      <c r="N483" t="s">
        <v>889</v>
      </c>
      <c r="O483"/>
      <c r="P483" t="e">
        <f>VLOOKUP(N483,#REF!,2,FALSE)</f>
        <v>#REF!</v>
      </c>
      <c r="Q483" t="s">
        <v>891</v>
      </c>
      <c r="R483" s="345">
        <v>-108.29</v>
      </c>
    </row>
    <row r="484" spans="1:18" x14ac:dyDescent="0.2">
      <c r="A484" s="344" t="s">
        <v>749</v>
      </c>
      <c r="B484" t="s">
        <v>827</v>
      </c>
      <c r="C484" t="s">
        <v>823</v>
      </c>
      <c r="D484" t="s">
        <v>746</v>
      </c>
      <c r="E484" t="s">
        <v>829</v>
      </c>
      <c r="F484" t="s">
        <v>803</v>
      </c>
      <c r="G484" t="s">
        <v>830</v>
      </c>
      <c r="H484" t="s">
        <v>831</v>
      </c>
      <c r="I484" t="s">
        <v>722</v>
      </c>
      <c r="J484" t="s">
        <v>721</v>
      </c>
      <c r="K484"/>
      <c r="L484"/>
      <c r="M484" t="s">
        <v>888</v>
      </c>
      <c r="N484" t="s">
        <v>889</v>
      </c>
      <c r="O484"/>
      <c r="P484" t="e">
        <f>VLOOKUP(N484,#REF!,2,FALSE)</f>
        <v>#REF!</v>
      </c>
      <c r="Q484" t="s">
        <v>892</v>
      </c>
      <c r="R484" s="345">
        <v>-2506.29</v>
      </c>
    </row>
    <row r="485" spans="1:18" x14ac:dyDescent="0.2">
      <c r="A485" s="344" t="s">
        <v>752</v>
      </c>
      <c r="B485" t="s">
        <v>827</v>
      </c>
      <c r="C485" t="s">
        <v>823</v>
      </c>
      <c r="D485" t="s">
        <v>746</v>
      </c>
      <c r="E485" t="s">
        <v>829</v>
      </c>
      <c r="F485" t="s">
        <v>803</v>
      </c>
      <c r="G485" t="s">
        <v>830</v>
      </c>
      <c r="H485" t="s">
        <v>831</v>
      </c>
      <c r="I485" t="s">
        <v>722</v>
      </c>
      <c r="J485" t="s">
        <v>721</v>
      </c>
      <c r="K485"/>
      <c r="L485"/>
      <c r="M485" t="s">
        <v>888</v>
      </c>
      <c r="N485" t="s">
        <v>889</v>
      </c>
      <c r="O485"/>
      <c r="P485" t="e">
        <f>VLOOKUP(N485,#REF!,2,FALSE)</f>
        <v>#REF!</v>
      </c>
      <c r="Q485" t="s">
        <v>892</v>
      </c>
      <c r="R485" s="345">
        <v>1280.04</v>
      </c>
    </row>
    <row r="486" spans="1:18" x14ac:dyDescent="0.2">
      <c r="A486" s="344" t="s">
        <v>749</v>
      </c>
      <c r="B486" t="s">
        <v>827</v>
      </c>
      <c r="C486" t="s">
        <v>823</v>
      </c>
      <c r="D486" t="s">
        <v>746</v>
      </c>
      <c r="E486" t="s">
        <v>829</v>
      </c>
      <c r="F486" t="s">
        <v>803</v>
      </c>
      <c r="G486" t="s">
        <v>830</v>
      </c>
      <c r="H486" t="s">
        <v>831</v>
      </c>
      <c r="I486" t="s">
        <v>722</v>
      </c>
      <c r="J486" t="s">
        <v>721</v>
      </c>
      <c r="K486"/>
      <c r="L486"/>
      <c r="M486" t="s">
        <v>888</v>
      </c>
      <c r="N486" t="s">
        <v>889</v>
      </c>
      <c r="O486"/>
      <c r="P486" t="e">
        <f>VLOOKUP(N486,#REF!,2,FALSE)</f>
        <v>#REF!</v>
      </c>
      <c r="Q486" t="s">
        <v>879</v>
      </c>
      <c r="R486" s="345">
        <v>-7755.46</v>
      </c>
    </row>
    <row r="487" spans="1:18" x14ac:dyDescent="0.2">
      <c r="A487" s="344" t="s">
        <v>752</v>
      </c>
      <c r="B487" t="s">
        <v>827</v>
      </c>
      <c r="C487" t="s">
        <v>823</v>
      </c>
      <c r="D487" t="s">
        <v>746</v>
      </c>
      <c r="E487" t="s">
        <v>829</v>
      </c>
      <c r="F487" t="s">
        <v>803</v>
      </c>
      <c r="G487" t="s">
        <v>830</v>
      </c>
      <c r="H487" t="s">
        <v>831</v>
      </c>
      <c r="I487" t="s">
        <v>722</v>
      </c>
      <c r="J487" t="s">
        <v>721</v>
      </c>
      <c r="K487"/>
      <c r="L487"/>
      <c r="M487" t="s">
        <v>888</v>
      </c>
      <c r="N487" t="s">
        <v>889</v>
      </c>
      <c r="O487"/>
      <c r="P487" t="e">
        <f>VLOOKUP(N487,#REF!,2,FALSE)</f>
        <v>#REF!</v>
      </c>
      <c r="Q487" t="s">
        <v>879</v>
      </c>
      <c r="R487" s="345">
        <v>-7755.46</v>
      </c>
    </row>
    <row r="488" spans="1:18" x14ac:dyDescent="0.2">
      <c r="A488" s="344" t="s">
        <v>753</v>
      </c>
      <c r="B488" t="s">
        <v>827</v>
      </c>
      <c r="C488" t="s">
        <v>823</v>
      </c>
      <c r="D488" t="s">
        <v>746</v>
      </c>
      <c r="E488" t="s">
        <v>829</v>
      </c>
      <c r="F488" t="s">
        <v>803</v>
      </c>
      <c r="G488" t="s">
        <v>830</v>
      </c>
      <c r="H488" t="s">
        <v>831</v>
      </c>
      <c r="I488" t="s">
        <v>722</v>
      </c>
      <c r="J488" t="s">
        <v>721</v>
      </c>
      <c r="K488"/>
      <c r="L488"/>
      <c r="M488" t="s">
        <v>888</v>
      </c>
      <c r="N488" t="s">
        <v>889</v>
      </c>
      <c r="O488"/>
      <c r="P488" t="e">
        <f>VLOOKUP(N488,#REF!,2,FALSE)</f>
        <v>#REF!</v>
      </c>
      <c r="Q488" t="s">
        <v>879</v>
      </c>
      <c r="R488" s="345">
        <v>-7505.28</v>
      </c>
    </row>
    <row r="489" spans="1:18" x14ac:dyDescent="0.2">
      <c r="A489" s="344" t="s">
        <v>754</v>
      </c>
      <c r="B489" t="s">
        <v>827</v>
      </c>
      <c r="C489" t="s">
        <v>823</v>
      </c>
      <c r="D489" t="s">
        <v>746</v>
      </c>
      <c r="E489" t="s">
        <v>829</v>
      </c>
      <c r="F489" t="s">
        <v>803</v>
      </c>
      <c r="G489" t="s">
        <v>830</v>
      </c>
      <c r="H489" t="s">
        <v>831</v>
      </c>
      <c r="I489" t="s">
        <v>722</v>
      </c>
      <c r="J489" t="s">
        <v>721</v>
      </c>
      <c r="K489"/>
      <c r="L489"/>
      <c r="M489" t="s">
        <v>888</v>
      </c>
      <c r="N489" t="s">
        <v>889</v>
      </c>
      <c r="O489"/>
      <c r="P489" t="e">
        <f>VLOOKUP(N489,#REF!,2,FALSE)</f>
        <v>#REF!</v>
      </c>
      <c r="Q489" t="s">
        <v>879</v>
      </c>
      <c r="R489" s="345">
        <v>-7772.23</v>
      </c>
    </row>
    <row r="490" spans="1:18" x14ac:dyDescent="0.2">
      <c r="A490" s="344" t="s">
        <v>755</v>
      </c>
      <c r="B490" t="s">
        <v>827</v>
      </c>
      <c r="C490" t="s">
        <v>823</v>
      </c>
      <c r="D490" t="s">
        <v>746</v>
      </c>
      <c r="E490" t="s">
        <v>829</v>
      </c>
      <c r="F490" t="s">
        <v>803</v>
      </c>
      <c r="G490" t="s">
        <v>830</v>
      </c>
      <c r="H490" t="s">
        <v>831</v>
      </c>
      <c r="I490" t="s">
        <v>722</v>
      </c>
      <c r="J490" t="s">
        <v>721</v>
      </c>
      <c r="K490"/>
      <c r="L490"/>
      <c r="M490" t="s">
        <v>888</v>
      </c>
      <c r="N490" t="s">
        <v>889</v>
      </c>
      <c r="O490"/>
      <c r="P490" t="e">
        <f>VLOOKUP(N490,#REF!,2,FALSE)</f>
        <v>#REF!</v>
      </c>
      <c r="Q490" t="s">
        <v>879</v>
      </c>
      <c r="R490" s="345">
        <v>-7521.51</v>
      </c>
    </row>
    <row r="491" spans="1:18" x14ac:dyDescent="0.2">
      <c r="A491" s="344" t="s">
        <v>756</v>
      </c>
      <c r="B491" t="s">
        <v>827</v>
      </c>
      <c r="C491" t="s">
        <v>823</v>
      </c>
      <c r="D491" t="s">
        <v>746</v>
      </c>
      <c r="E491" t="s">
        <v>829</v>
      </c>
      <c r="F491" t="s">
        <v>803</v>
      </c>
      <c r="G491" t="s">
        <v>830</v>
      </c>
      <c r="H491" t="s">
        <v>831</v>
      </c>
      <c r="I491" t="s">
        <v>722</v>
      </c>
      <c r="J491" t="s">
        <v>721</v>
      </c>
      <c r="K491"/>
      <c r="L491"/>
      <c r="M491" t="s">
        <v>888</v>
      </c>
      <c r="N491" t="s">
        <v>889</v>
      </c>
      <c r="O491"/>
      <c r="P491" t="e">
        <f>VLOOKUP(N491,#REF!,2,FALSE)</f>
        <v>#REF!</v>
      </c>
      <c r="Q491" t="s">
        <v>879</v>
      </c>
      <c r="R491" s="345">
        <v>-7772.23</v>
      </c>
    </row>
    <row r="492" spans="1:18" x14ac:dyDescent="0.2">
      <c r="A492" s="344" t="s">
        <v>757</v>
      </c>
      <c r="B492" t="s">
        <v>827</v>
      </c>
      <c r="C492" t="s">
        <v>823</v>
      </c>
      <c r="D492" t="s">
        <v>746</v>
      </c>
      <c r="E492" t="s">
        <v>829</v>
      </c>
      <c r="F492" t="s">
        <v>803</v>
      </c>
      <c r="G492" t="s">
        <v>830</v>
      </c>
      <c r="H492" t="s">
        <v>831</v>
      </c>
      <c r="I492" t="s">
        <v>722</v>
      </c>
      <c r="J492" t="s">
        <v>721</v>
      </c>
      <c r="K492"/>
      <c r="L492"/>
      <c r="M492" t="s">
        <v>888</v>
      </c>
      <c r="N492" t="s">
        <v>889</v>
      </c>
      <c r="O492"/>
      <c r="P492" t="e">
        <f>VLOOKUP(N492,#REF!,2,FALSE)</f>
        <v>#REF!</v>
      </c>
      <c r="Q492" t="s">
        <v>879</v>
      </c>
      <c r="R492" s="345">
        <v>-7789</v>
      </c>
    </row>
    <row r="493" spans="1:18" x14ac:dyDescent="0.2">
      <c r="A493" s="344" t="s">
        <v>758</v>
      </c>
      <c r="B493" t="s">
        <v>827</v>
      </c>
      <c r="C493" t="s">
        <v>823</v>
      </c>
      <c r="D493" t="s">
        <v>746</v>
      </c>
      <c r="E493" t="s">
        <v>829</v>
      </c>
      <c r="F493" t="s">
        <v>803</v>
      </c>
      <c r="G493" t="s">
        <v>830</v>
      </c>
      <c r="H493" t="s">
        <v>831</v>
      </c>
      <c r="I493" t="s">
        <v>722</v>
      </c>
      <c r="J493" t="s">
        <v>721</v>
      </c>
      <c r="K493"/>
      <c r="L493"/>
      <c r="M493" t="s">
        <v>888</v>
      </c>
      <c r="N493" t="s">
        <v>889</v>
      </c>
      <c r="O493"/>
      <c r="P493" t="e">
        <f>VLOOKUP(N493,#REF!,2,FALSE)</f>
        <v>#REF!</v>
      </c>
      <c r="Q493" t="s">
        <v>879</v>
      </c>
      <c r="R493" s="345">
        <v>-7035.22</v>
      </c>
    </row>
    <row r="494" spans="1:18" x14ac:dyDescent="0.2">
      <c r="A494" s="344" t="s">
        <v>759</v>
      </c>
      <c r="B494" t="s">
        <v>827</v>
      </c>
      <c r="C494" t="s">
        <v>823</v>
      </c>
      <c r="D494" t="s">
        <v>746</v>
      </c>
      <c r="E494" t="s">
        <v>829</v>
      </c>
      <c r="F494" t="s">
        <v>803</v>
      </c>
      <c r="G494" t="s">
        <v>830</v>
      </c>
      <c r="H494" t="s">
        <v>831</v>
      </c>
      <c r="I494" t="s">
        <v>722</v>
      </c>
      <c r="J494" t="s">
        <v>721</v>
      </c>
      <c r="K494"/>
      <c r="L494"/>
      <c r="M494" t="s">
        <v>888</v>
      </c>
      <c r="N494" t="s">
        <v>889</v>
      </c>
      <c r="O494"/>
      <c r="P494" t="e">
        <f>VLOOKUP(N494,#REF!,2,FALSE)</f>
        <v>#REF!</v>
      </c>
      <c r="Q494" t="s">
        <v>879</v>
      </c>
      <c r="R494" s="345">
        <v>-7789</v>
      </c>
    </row>
    <row r="495" spans="1:18" x14ac:dyDescent="0.2">
      <c r="A495" s="344" t="s">
        <v>743</v>
      </c>
      <c r="B495" t="s">
        <v>827</v>
      </c>
      <c r="C495" t="s">
        <v>823</v>
      </c>
      <c r="D495" t="s">
        <v>746</v>
      </c>
      <c r="E495" t="s">
        <v>829</v>
      </c>
      <c r="F495" t="s">
        <v>803</v>
      </c>
      <c r="G495" t="s">
        <v>830</v>
      </c>
      <c r="H495" t="s">
        <v>831</v>
      </c>
      <c r="I495" t="s">
        <v>722</v>
      </c>
      <c r="J495" t="s">
        <v>721</v>
      </c>
      <c r="K495"/>
      <c r="L495"/>
      <c r="M495" t="s">
        <v>888</v>
      </c>
      <c r="N495" t="s">
        <v>889</v>
      </c>
      <c r="O495"/>
      <c r="P495" t="e">
        <f>VLOOKUP(N495,#REF!,2,FALSE)</f>
        <v>#REF!</v>
      </c>
      <c r="Q495" t="s">
        <v>879</v>
      </c>
      <c r="R495" s="345">
        <v>-7608.03</v>
      </c>
    </row>
    <row r="496" spans="1:18" x14ac:dyDescent="0.2">
      <c r="A496" s="344" t="s">
        <v>760</v>
      </c>
      <c r="B496" t="s">
        <v>827</v>
      </c>
      <c r="C496" t="s">
        <v>823</v>
      </c>
      <c r="D496" t="s">
        <v>746</v>
      </c>
      <c r="E496" t="s">
        <v>829</v>
      </c>
      <c r="F496" t="s">
        <v>803</v>
      </c>
      <c r="G496" t="s">
        <v>830</v>
      </c>
      <c r="H496" t="s">
        <v>831</v>
      </c>
      <c r="I496" t="s">
        <v>722</v>
      </c>
      <c r="J496" t="s">
        <v>721</v>
      </c>
      <c r="K496"/>
      <c r="L496"/>
      <c r="M496" t="s">
        <v>888</v>
      </c>
      <c r="N496" t="s">
        <v>889</v>
      </c>
      <c r="O496"/>
      <c r="P496" t="e">
        <f>VLOOKUP(N496,#REF!,2,FALSE)</f>
        <v>#REF!</v>
      </c>
      <c r="Q496" t="s">
        <v>879</v>
      </c>
      <c r="R496" s="345">
        <v>-7861.63</v>
      </c>
    </row>
    <row r="497" spans="1:18" x14ac:dyDescent="0.2">
      <c r="A497" s="344" t="s">
        <v>745</v>
      </c>
      <c r="B497" t="s">
        <v>827</v>
      </c>
      <c r="C497" t="s">
        <v>823</v>
      </c>
      <c r="D497" t="s">
        <v>746</v>
      </c>
      <c r="E497" t="s">
        <v>829</v>
      </c>
      <c r="F497" t="s">
        <v>803</v>
      </c>
      <c r="G497" t="s">
        <v>830</v>
      </c>
      <c r="H497" t="s">
        <v>831</v>
      </c>
      <c r="I497" t="s">
        <v>722</v>
      </c>
      <c r="J497" t="s">
        <v>721</v>
      </c>
      <c r="K497"/>
      <c r="L497"/>
      <c r="M497" t="s">
        <v>888</v>
      </c>
      <c r="N497" t="s">
        <v>889</v>
      </c>
      <c r="O497"/>
      <c r="P497" t="e">
        <f>VLOOKUP(N497,#REF!,2,FALSE)</f>
        <v>#REF!</v>
      </c>
      <c r="Q497" t="s">
        <v>879</v>
      </c>
      <c r="R497" s="345">
        <v>-7608.03</v>
      </c>
    </row>
    <row r="498" spans="1:18" x14ac:dyDescent="0.2">
      <c r="A498" s="344" t="s">
        <v>749</v>
      </c>
      <c r="B498" t="s">
        <v>827</v>
      </c>
      <c r="C498" t="s">
        <v>823</v>
      </c>
      <c r="D498" t="s">
        <v>746</v>
      </c>
      <c r="E498" t="s">
        <v>829</v>
      </c>
      <c r="F498" t="s">
        <v>803</v>
      </c>
      <c r="G498" t="s">
        <v>830</v>
      </c>
      <c r="H498" t="s">
        <v>831</v>
      </c>
      <c r="I498" t="s">
        <v>722</v>
      </c>
      <c r="J498" t="s">
        <v>721</v>
      </c>
      <c r="K498"/>
      <c r="L498"/>
      <c r="M498" t="s">
        <v>888</v>
      </c>
      <c r="N498" t="s">
        <v>889</v>
      </c>
      <c r="O498"/>
      <c r="P498" t="e">
        <f>VLOOKUP(N498,#REF!,2,FALSE)</f>
        <v>#REF!</v>
      </c>
      <c r="Q498" t="s">
        <v>880</v>
      </c>
      <c r="R498" s="345">
        <v>-762696.1</v>
      </c>
    </row>
    <row r="499" spans="1:18" x14ac:dyDescent="0.2">
      <c r="A499" s="344" t="s">
        <v>752</v>
      </c>
      <c r="B499" t="s">
        <v>827</v>
      </c>
      <c r="C499" t="s">
        <v>823</v>
      </c>
      <c r="D499" t="s">
        <v>746</v>
      </c>
      <c r="E499" t="s">
        <v>829</v>
      </c>
      <c r="F499" t="s">
        <v>803</v>
      </c>
      <c r="G499" t="s">
        <v>830</v>
      </c>
      <c r="H499" t="s">
        <v>831</v>
      </c>
      <c r="I499" t="s">
        <v>722</v>
      </c>
      <c r="J499" t="s">
        <v>721</v>
      </c>
      <c r="K499"/>
      <c r="L499"/>
      <c r="M499" t="s">
        <v>888</v>
      </c>
      <c r="N499" t="s">
        <v>889</v>
      </c>
      <c r="O499"/>
      <c r="P499" t="e">
        <f>VLOOKUP(N499,#REF!,2,FALSE)</f>
        <v>#REF!</v>
      </c>
      <c r="Q499" t="s">
        <v>880</v>
      </c>
      <c r="R499" s="345">
        <v>-762696.1</v>
      </c>
    </row>
    <row r="500" spans="1:18" x14ac:dyDescent="0.2">
      <c r="A500" s="344" t="s">
        <v>753</v>
      </c>
      <c r="B500" t="s">
        <v>827</v>
      </c>
      <c r="C500" t="s">
        <v>823</v>
      </c>
      <c r="D500" t="s">
        <v>746</v>
      </c>
      <c r="E500" t="s">
        <v>829</v>
      </c>
      <c r="F500" t="s">
        <v>803</v>
      </c>
      <c r="G500" t="s">
        <v>830</v>
      </c>
      <c r="H500" t="s">
        <v>831</v>
      </c>
      <c r="I500" t="s">
        <v>722</v>
      </c>
      <c r="J500" t="s">
        <v>721</v>
      </c>
      <c r="K500"/>
      <c r="L500"/>
      <c r="M500" t="s">
        <v>888</v>
      </c>
      <c r="N500" t="s">
        <v>889</v>
      </c>
      <c r="O500"/>
      <c r="P500" t="e">
        <f>VLOOKUP(N500,#REF!,2,FALSE)</f>
        <v>#REF!</v>
      </c>
      <c r="Q500" t="s">
        <v>880</v>
      </c>
      <c r="R500" s="345">
        <v>-738093</v>
      </c>
    </row>
    <row r="501" spans="1:18" x14ac:dyDescent="0.2">
      <c r="A501" s="344" t="s">
        <v>754</v>
      </c>
      <c r="B501" t="s">
        <v>827</v>
      </c>
      <c r="C501" t="s">
        <v>823</v>
      </c>
      <c r="D501" t="s">
        <v>746</v>
      </c>
      <c r="E501" t="s">
        <v>829</v>
      </c>
      <c r="F501" t="s">
        <v>803</v>
      </c>
      <c r="G501" t="s">
        <v>830</v>
      </c>
      <c r="H501" t="s">
        <v>831</v>
      </c>
      <c r="I501" t="s">
        <v>722</v>
      </c>
      <c r="J501" t="s">
        <v>721</v>
      </c>
      <c r="K501"/>
      <c r="L501"/>
      <c r="M501" t="s">
        <v>888</v>
      </c>
      <c r="N501" t="s">
        <v>889</v>
      </c>
      <c r="O501"/>
      <c r="P501" t="e">
        <f>VLOOKUP(N501,#REF!,2,FALSE)</f>
        <v>#REF!</v>
      </c>
      <c r="Q501" t="s">
        <v>880</v>
      </c>
      <c r="R501" s="345">
        <v>-762696.1</v>
      </c>
    </row>
    <row r="502" spans="1:18" x14ac:dyDescent="0.2">
      <c r="A502" s="344" t="s">
        <v>755</v>
      </c>
      <c r="B502" t="s">
        <v>827</v>
      </c>
      <c r="C502" t="s">
        <v>823</v>
      </c>
      <c r="D502" t="s">
        <v>746</v>
      </c>
      <c r="E502" t="s">
        <v>829</v>
      </c>
      <c r="F502" t="s">
        <v>803</v>
      </c>
      <c r="G502" t="s">
        <v>830</v>
      </c>
      <c r="H502" t="s">
        <v>831</v>
      </c>
      <c r="I502" t="s">
        <v>722</v>
      </c>
      <c r="J502" t="s">
        <v>721</v>
      </c>
      <c r="K502"/>
      <c r="L502"/>
      <c r="M502" t="s">
        <v>888</v>
      </c>
      <c r="N502" t="s">
        <v>889</v>
      </c>
      <c r="O502"/>
      <c r="P502" t="e">
        <f>VLOOKUP(N502,#REF!,2,FALSE)</f>
        <v>#REF!</v>
      </c>
      <c r="Q502" t="s">
        <v>880</v>
      </c>
      <c r="R502" s="345">
        <v>-738093</v>
      </c>
    </row>
    <row r="503" spans="1:18" x14ac:dyDescent="0.2">
      <c r="A503" s="344" t="s">
        <v>756</v>
      </c>
      <c r="B503" t="s">
        <v>827</v>
      </c>
      <c r="C503" t="s">
        <v>823</v>
      </c>
      <c r="D503" t="s">
        <v>746</v>
      </c>
      <c r="E503" t="s">
        <v>829</v>
      </c>
      <c r="F503" t="s">
        <v>803</v>
      </c>
      <c r="G503" t="s">
        <v>830</v>
      </c>
      <c r="H503" t="s">
        <v>831</v>
      </c>
      <c r="I503" t="s">
        <v>722</v>
      </c>
      <c r="J503" t="s">
        <v>721</v>
      </c>
      <c r="K503"/>
      <c r="L503"/>
      <c r="M503" t="s">
        <v>888</v>
      </c>
      <c r="N503" t="s">
        <v>889</v>
      </c>
      <c r="O503"/>
      <c r="P503" t="e">
        <f>VLOOKUP(N503,#REF!,2,FALSE)</f>
        <v>#REF!</v>
      </c>
      <c r="Q503" t="s">
        <v>880</v>
      </c>
      <c r="R503" s="345">
        <v>-762696.1</v>
      </c>
    </row>
    <row r="504" spans="1:18" x14ac:dyDescent="0.2">
      <c r="A504" s="344" t="s">
        <v>757</v>
      </c>
      <c r="B504" t="s">
        <v>827</v>
      </c>
      <c r="C504" t="s">
        <v>823</v>
      </c>
      <c r="D504" t="s">
        <v>746</v>
      </c>
      <c r="E504" t="s">
        <v>829</v>
      </c>
      <c r="F504" t="s">
        <v>803</v>
      </c>
      <c r="G504" t="s">
        <v>830</v>
      </c>
      <c r="H504" t="s">
        <v>831</v>
      </c>
      <c r="I504" t="s">
        <v>722</v>
      </c>
      <c r="J504" t="s">
        <v>721</v>
      </c>
      <c r="K504"/>
      <c r="L504"/>
      <c r="M504" t="s">
        <v>888</v>
      </c>
      <c r="N504" t="s">
        <v>889</v>
      </c>
      <c r="O504"/>
      <c r="P504" t="e">
        <f>VLOOKUP(N504,#REF!,2,FALSE)</f>
        <v>#REF!</v>
      </c>
      <c r="Q504" t="s">
        <v>880</v>
      </c>
      <c r="R504" s="345">
        <v>-784117.1</v>
      </c>
    </row>
    <row r="505" spans="1:18" x14ac:dyDescent="0.2">
      <c r="A505" s="344" t="s">
        <v>758</v>
      </c>
      <c r="B505" t="s">
        <v>827</v>
      </c>
      <c r="C505" t="s">
        <v>823</v>
      </c>
      <c r="D505" t="s">
        <v>746</v>
      </c>
      <c r="E505" t="s">
        <v>829</v>
      </c>
      <c r="F505" t="s">
        <v>803</v>
      </c>
      <c r="G505" t="s">
        <v>830</v>
      </c>
      <c r="H505" t="s">
        <v>831</v>
      </c>
      <c r="I505" t="s">
        <v>722</v>
      </c>
      <c r="J505" t="s">
        <v>721</v>
      </c>
      <c r="K505"/>
      <c r="L505"/>
      <c r="M505" t="s">
        <v>888</v>
      </c>
      <c r="N505" t="s">
        <v>889</v>
      </c>
      <c r="O505"/>
      <c r="P505" t="e">
        <f>VLOOKUP(N505,#REF!,2,FALSE)</f>
        <v>#REF!</v>
      </c>
      <c r="Q505" t="s">
        <v>880</v>
      </c>
      <c r="R505" s="345">
        <v>-708234.8</v>
      </c>
    </row>
    <row r="506" spans="1:18" x14ac:dyDescent="0.2">
      <c r="A506" s="344" t="s">
        <v>759</v>
      </c>
      <c r="B506" t="s">
        <v>827</v>
      </c>
      <c r="C506" t="s">
        <v>823</v>
      </c>
      <c r="D506" t="s">
        <v>746</v>
      </c>
      <c r="E506" t="s">
        <v>829</v>
      </c>
      <c r="F506" t="s">
        <v>803</v>
      </c>
      <c r="G506" t="s">
        <v>830</v>
      </c>
      <c r="H506" t="s">
        <v>831</v>
      </c>
      <c r="I506" t="s">
        <v>722</v>
      </c>
      <c r="J506" t="s">
        <v>721</v>
      </c>
      <c r="K506"/>
      <c r="L506"/>
      <c r="M506" t="s">
        <v>888</v>
      </c>
      <c r="N506" t="s">
        <v>889</v>
      </c>
      <c r="O506"/>
      <c r="P506" t="e">
        <f>VLOOKUP(N506,#REF!,2,FALSE)</f>
        <v>#REF!</v>
      </c>
      <c r="Q506" t="s">
        <v>880</v>
      </c>
      <c r="R506" s="345">
        <v>-784117.1</v>
      </c>
    </row>
    <row r="507" spans="1:18" x14ac:dyDescent="0.2">
      <c r="A507" s="344" t="s">
        <v>743</v>
      </c>
      <c r="B507" t="s">
        <v>827</v>
      </c>
      <c r="C507" t="s">
        <v>823</v>
      </c>
      <c r="D507" t="s">
        <v>746</v>
      </c>
      <c r="E507" t="s">
        <v>829</v>
      </c>
      <c r="F507" t="s">
        <v>803</v>
      </c>
      <c r="G507" t="s">
        <v>830</v>
      </c>
      <c r="H507" t="s">
        <v>831</v>
      </c>
      <c r="I507" t="s">
        <v>722</v>
      </c>
      <c r="J507" t="s">
        <v>721</v>
      </c>
      <c r="K507"/>
      <c r="L507"/>
      <c r="M507" t="s">
        <v>888</v>
      </c>
      <c r="N507" t="s">
        <v>889</v>
      </c>
      <c r="O507"/>
      <c r="P507" t="e">
        <f>VLOOKUP(N507,#REF!,2,FALSE)</f>
        <v>#REF!</v>
      </c>
      <c r="Q507" t="s">
        <v>880</v>
      </c>
      <c r="R507" s="345">
        <v>-758823</v>
      </c>
    </row>
    <row r="508" spans="1:18" x14ac:dyDescent="0.2">
      <c r="A508" s="344" t="s">
        <v>760</v>
      </c>
      <c r="B508" t="s">
        <v>827</v>
      </c>
      <c r="C508" t="s">
        <v>823</v>
      </c>
      <c r="D508" t="s">
        <v>746</v>
      </c>
      <c r="E508" t="s">
        <v>829</v>
      </c>
      <c r="F508" t="s">
        <v>803</v>
      </c>
      <c r="G508" t="s">
        <v>830</v>
      </c>
      <c r="H508" t="s">
        <v>831</v>
      </c>
      <c r="I508" t="s">
        <v>722</v>
      </c>
      <c r="J508" t="s">
        <v>721</v>
      </c>
      <c r="K508"/>
      <c r="L508"/>
      <c r="M508" t="s">
        <v>888</v>
      </c>
      <c r="N508" t="s">
        <v>889</v>
      </c>
      <c r="O508"/>
      <c r="P508" t="e">
        <f>VLOOKUP(N508,#REF!,2,FALSE)</f>
        <v>#REF!</v>
      </c>
      <c r="Q508" t="s">
        <v>880</v>
      </c>
      <c r="R508" s="345">
        <v>-784117.1</v>
      </c>
    </row>
    <row r="509" spans="1:18" x14ac:dyDescent="0.2">
      <c r="A509" s="344" t="s">
        <v>745</v>
      </c>
      <c r="B509" t="s">
        <v>827</v>
      </c>
      <c r="C509" t="s">
        <v>823</v>
      </c>
      <c r="D509" t="s">
        <v>746</v>
      </c>
      <c r="E509" t="s">
        <v>829</v>
      </c>
      <c r="F509" t="s">
        <v>803</v>
      </c>
      <c r="G509" t="s">
        <v>830</v>
      </c>
      <c r="H509" t="s">
        <v>831</v>
      </c>
      <c r="I509" t="s">
        <v>722</v>
      </c>
      <c r="J509" t="s">
        <v>721</v>
      </c>
      <c r="K509"/>
      <c r="L509"/>
      <c r="M509" t="s">
        <v>888</v>
      </c>
      <c r="N509" t="s">
        <v>889</v>
      </c>
      <c r="O509"/>
      <c r="P509" t="e">
        <f>VLOOKUP(N509,#REF!,2,FALSE)</f>
        <v>#REF!</v>
      </c>
      <c r="Q509" t="s">
        <v>880</v>
      </c>
      <c r="R509" s="345">
        <v>-758823</v>
      </c>
    </row>
    <row r="510" spans="1:18" x14ac:dyDescent="0.2">
      <c r="A510" s="344" t="s">
        <v>749</v>
      </c>
      <c r="B510" t="s">
        <v>827</v>
      </c>
      <c r="C510" t="s">
        <v>823</v>
      </c>
      <c r="D510" t="s">
        <v>746</v>
      </c>
      <c r="E510" t="s">
        <v>829</v>
      </c>
      <c r="F510" t="s">
        <v>803</v>
      </c>
      <c r="G510" t="s">
        <v>830</v>
      </c>
      <c r="H510" t="s">
        <v>831</v>
      </c>
      <c r="I510" t="s">
        <v>722</v>
      </c>
      <c r="J510" t="s">
        <v>721</v>
      </c>
      <c r="K510"/>
      <c r="L510"/>
      <c r="M510" t="s">
        <v>888</v>
      </c>
      <c r="N510" t="s">
        <v>889</v>
      </c>
      <c r="O510"/>
      <c r="P510" t="e">
        <f>VLOOKUP(N510,#REF!,2,FALSE)</f>
        <v>#REF!</v>
      </c>
      <c r="Q510" t="s">
        <v>882</v>
      </c>
      <c r="R510" s="345">
        <v>-3877.99</v>
      </c>
    </row>
    <row r="511" spans="1:18" x14ac:dyDescent="0.2">
      <c r="A511" s="344" t="s">
        <v>752</v>
      </c>
      <c r="B511" t="s">
        <v>827</v>
      </c>
      <c r="C511" t="s">
        <v>823</v>
      </c>
      <c r="D511" t="s">
        <v>746</v>
      </c>
      <c r="E511" t="s">
        <v>829</v>
      </c>
      <c r="F511" t="s">
        <v>803</v>
      </c>
      <c r="G511" t="s">
        <v>830</v>
      </c>
      <c r="H511" t="s">
        <v>831</v>
      </c>
      <c r="I511" t="s">
        <v>722</v>
      </c>
      <c r="J511" t="s">
        <v>721</v>
      </c>
      <c r="K511"/>
      <c r="L511"/>
      <c r="M511" t="s">
        <v>888</v>
      </c>
      <c r="N511" t="s">
        <v>889</v>
      </c>
      <c r="O511"/>
      <c r="P511" t="e">
        <f>VLOOKUP(N511,#REF!,2,FALSE)</f>
        <v>#REF!</v>
      </c>
      <c r="Q511" t="s">
        <v>882</v>
      </c>
      <c r="R511" s="345">
        <v>-3877.99</v>
      </c>
    </row>
    <row r="512" spans="1:18" x14ac:dyDescent="0.2">
      <c r="A512" s="344" t="s">
        <v>753</v>
      </c>
      <c r="B512" t="s">
        <v>827</v>
      </c>
      <c r="C512" t="s">
        <v>823</v>
      </c>
      <c r="D512" t="s">
        <v>746</v>
      </c>
      <c r="E512" t="s">
        <v>829</v>
      </c>
      <c r="F512" t="s">
        <v>803</v>
      </c>
      <c r="G512" t="s">
        <v>830</v>
      </c>
      <c r="H512" t="s">
        <v>831</v>
      </c>
      <c r="I512" t="s">
        <v>722</v>
      </c>
      <c r="J512" t="s">
        <v>721</v>
      </c>
      <c r="K512"/>
      <c r="L512"/>
      <c r="M512" t="s">
        <v>888</v>
      </c>
      <c r="N512" t="s">
        <v>889</v>
      </c>
      <c r="O512"/>
      <c r="P512" t="e">
        <f>VLOOKUP(N512,#REF!,2,FALSE)</f>
        <v>#REF!</v>
      </c>
      <c r="Q512" t="s">
        <v>882</v>
      </c>
      <c r="R512" s="345">
        <v>-3752.9</v>
      </c>
    </row>
    <row r="513" spans="1:18" x14ac:dyDescent="0.2">
      <c r="A513" s="344" t="s">
        <v>754</v>
      </c>
      <c r="B513" t="s">
        <v>827</v>
      </c>
      <c r="C513" t="s">
        <v>823</v>
      </c>
      <c r="D513" t="s">
        <v>746</v>
      </c>
      <c r="E513" t="s">
        <v>829</v>
      </c>
      <c r="F513" t="s">
        <v>803</v>
      </c>
      <c r="G513" t="s">
        <v>830</v>
      </c>
      <c r="H513" t="s">
        <v>831</v>
      </c>
      <c r="I513" t="s">
        <v>722</v>
      </c>
      <c r="J513" t="s">
        <v>721</v>
      </c>
      <c r="K513"/>
      <c r="L513"/>
      <c r="M513" t="s">
        <v>888</v>
      </c>
      <c r="N513" t="s">
        <v>889</v>
      </c>
      <c r="O513"/>
      <c r="P513" t="e">
        <f>VLOOKUP(N513,#REF!,2,FALSE)</f>
        <v>#REF!</v>
      </c>
      <c r="Q513" t="s">
        <v>882</v>
      </c>
      <c r="R513" s="345">
        <v>-3886.38</v>
      </c>
    </row>
    <row r="514" spans="1:18" x14ac:dyDescent="0.2">
      <c r="A514" s="344" t="s">
        <v>755</v>
      </c>
      <c r="B514" t="s">
        <v>827</v>
      </c>
      <c r="C514" t="s">
        <v>823</v>
      </c>
      <c r="D514" t="s">
        <v>746</v>
      </c>
      <c r="E514" t="s">
        <v>829</v>
      </c>
      <c r="F514" t="s">
        <v>803</v>
      </c>
      <c r="G514" t="s">
        <v>830</v>
      </c>
      <c r="H514" t="s">
        <v>831</v>
      </c>
      <c r="I514" t="s">
        <v>722</v>
      </c>
      <c r="J514" t="s">
        <v>721</v>
      </c>
      <c r="K514"/>
      <c r="L514"/>
      <c r="M514" t="s">
        <v>888</v>
      </c>
      <c r="N514" t="s">
        <v>889</v>
      </c>
      <c r="O514"/>
      <c r="P514" t="e">
        <f>VLOOKUP(N514,#REF!,2,FALSE)</f>
        <v>#REF!</v>
      </c>
      <c r="Q514" t="s">
        <v>882</v>
      </c>
      <c r="R514" s="345">
        <v>-3761.01</v>
      </c>
    </row>
    <row r="515" spans="1:18" x14ac:dyDescent="0.2">
      <c r="A515" s="344" t="s">
        <v>756</v>
      </c>
      <c r="B515" t="s">
        <v>827</v>
      </c>
      <c r="C515" t="s">
        <v>823</v>
      </c>
      <c r="D515" t="s">
        <v>746</v>
      </c>
      <c r="E515" t="s">
        <v>829</v>
      </c>
      <c r="F515" t="s">
        <v>803</v>
      </c>
      <c r="G515" t="s">
        <v>830</v>
      </c>
      <c r="H515" t="s">
        <v>831</v>
      </c>
      <c r="I515" t="s">
        <v>722</v>
      </c>
      <c r="J515" t="s">
        <v>721</v>
      </c>
      <c r="K515"/>
      <c r="L515"/>
      <c r="M515" t="s">
        <v>888</v>
      </c>
      <c r="N515" t="s">
        <v>889</v>
      </c>
      <c r="O515"/>
      <c r="P515" t="e">
        <f>VLOOKUP(N515,#REF!,2,FALSE)</f>
        <v>#REF!</v>
      </c>
      <c r="Q515" t="s">
        <v>882</v>
      </c>
      <c r="R515" s="345">
        <v>-3886.38</v>
      </c>
    </row>
    <row r="516" spans="1:18" x14ac:dyDescent="0.2">
      <c r="A516" s="344" t="s">
        <v>757</v>
      </c>
      <c r="B516" t="s">
        <v>827</v>
      </c>
      <c r="C516" t="s">
        <v>823</v>
      </c>
      <c r="D516" t="s">
        <v>746</v>
      </c>
      <c r="E516" t="s">
        <v>829</v>
      </c>
      <c r="F516" t="s">
        <v>803</v>
      </c>
      <c r="G516" t="s">
        <v>830</v>
      </c>
      <c r="H516" t="s">
        <v>831</v>
      </c>
      <c r="I516" t="s">
        <v>722</v>
      </c>
      <c r="J516" t="s">
        <v>721</v>
      </c>
      <c r="K516"/>
      <c r="L516"/>
      <c r="M516" t="s">
        <v>888</v>
      </c>
      <c r="N516" t="s">
        <v>889</v>
      </c>
      <c r="O516"/>
      <c r="P516" t="e">
        <f>VLOOKUP(N516,#REF!,2,FALSE)</f>
        <v>#REF!</v>
      </c>
      <c r="Q516" t="s">
        <v>882</v>
      </c>
      <c r="R516" s="345">
        <v>-3894.76</v>
      </c>
    </row>
    <row r="517" spans="1:18" x14ac:dyDescent="0.2">
      <c r="A517" s="344" t="s">
        <v>758</v>
      </c>
      <c r="B517" t="s">
        <v>827</v>
      </c>
      <c r="C517" t="s">
        <v>823</v>
      </c>
      <c r="D517" t="s">
        <v>746</v>
      </c>
      <c r="E517" t="s">
        <v>829</v>
      </c>
      <c r="F517" t="s">
        <v>803</v>
      </c>
      <c r="G517" t="s">
        <v>830</v>
      </c>
      <c r="H517" t="s">
        <v>831</v>
      </c>
      <c r="I517" t="s">
        <v>722</v>
      </c>
      <c r="J517" t="s">
        <v>721</v>
      </c>
      <c r="K517"/>
      <c r="L517"/>
      <c r="M517" t="s">
        <v>888</v>
      </c>
      <c r="N517" t="s">
        <v>889</v>
      </c>
      <c r="O517"/>
      <c r="P517" t="e">
        <f>VLOOKUP(N517,#REF!,2,FALSE)</f>
        <v>#REF!</v>
      </c>
      <c r="Q517" t="s">
        <v>882</v>
      </c>
      <c r="R517" s="345">
        <v>-3517.85</v>
      </c>
    </row>
    <row r="518" spans="1:18" x14ac:dyDescent="0.2">
      <c r="A518" s="344" t="s">
        <v>759</v>
      </c>
      <c r="B518" t="s">
        <v>827</v>
      </c>
      <c r="C518" t="s">
        <v>823</v>
      </c>
      <c r="D518" t="s">
        <v>746</v>
      </c>
      <c r="E518" t="s">
        <v>829</v>
      </c>
      <c r="F518" t="s">
        <v>803</v>
      </c>
      <c r="G518" t="s">
        <v>830</v>
      </c>
      <c r="H518" t="s">
        <v>831</v>
      </c>
      <c r="I518" t="s">
        <v>722</v>
      </c>
      <c r="J518" t="s">
        <v>721</v>
      </c>
      <c r="K518"/>
      <c r="L518"/>
      <c r="M518" t="s">
        <v>888</v>
      </c>
      <c r="N518" t="s">
        <v>889</v>
      </c>
      <c r="O518"/>
      <c r="P518" t="e">
        <f>VLOOKUP(N518,#REF!,2,FALSE)</f>
        <v>#REF!</v>
      </c>
      <c r="Q518" t="s">
        <v>882</v>
      </c>
      <c r="R518" s="345">
        <v>-3894.76</v>
      </c>
    </row>
    <row r="519" spans="1:18" x14ac:dyDescent="0.2">
      <c r="A519" s="344" t="s">
        <v>743</v>
      </c>
      <c r="B519" t="s">
        <v>827</v>
      </c>
      <c r="C519" t="s">
        <v>823</v>
      </c>
      <c r="D519" t="s">
        <v>746</v>
      </c>
      <c r="E519" t="s">
        <v>829</v>
      </c>
      <c r="F519" t="s">
        <v>803</v>
      </c>
      <c r="G519" t="s">
        <v>830</v>
      </c>
      <c r="H519" t="s">
        <v>831</v>
      </c>
      <c r="I519" t="s">
        <v>722</v>
      </c>
      <c r="J519" t="s">
        <v>721</v>
      </c>
      <c r="K519"/>
      <c r="L519"/>
      <c r="M519" t="s">
        <v>888</v>
      </c>
      <c r="N519" t="s">
        <v>889</v>
      </c>
      <c r="O519"/>
      <c r="P519" t="e">
        <f>VLOOKUP(N519,#REF!,2,FALSE)</f>
        <v>#REF!</v>
      </c>
      <c r="Q519" t="s">
        <v>882</v>
      </c>
      <c r="R519" s="345">
        <v>-3804.27</v>
      </c>
    </row>
    <row r="520" spans="1:18" x14ac:dyDescent="0.2">
      <c r="A520" s="344" t="s">
        <v>760</v>
      </c>
      <c r="B520" t="s">
        <v>827</v>
      </c>
      <c r="C520" t="s">
        <v>823</v>
      </c>
      <c r="D520" t="s">
        <v>746</v>
      </c>
      <c r="E520" t="s">
        <v>829</v>
      </c>
      <c r="F520" t="s">
        <v>803</v>
      </c>
      <c r="G520" t="s">
        <v>830</v>
      </c>
      <c r="H520" t="s">
        <v>831</v>
      </c>
      <c r="I520" t="s">
        <v>722</v>
      </c>
      <c r="J520" t="s">
        <v>721</v>
      </c>
      <c r="K520"/>
      <c r="L520"/>
      <c r="M520" t="s">
        <v>888</v>
      </c>
      <c r="N520" t="s">
        <v>889</v>
      </c>
      <c r="O520"/>
      <c r="P520" t="e">
        <f>VLOOKUP(N520,#REF!,2,FALSE)</f>
        <v>#REF!</v>
      </c>
      <c r="Q520" t="s">
        <v>882</v>
      </c>
      <c r="R520" s="345">
        <v>-3931.08</v>
      </c>
    </row>
    <row r="521" spans="1:18" x14ac:dyDescent="0.2">
      <c r="A521" s="344" t="s">
        <v>745</v>
      </c>
      <c r="B521" t="s">
        <v>827</v>
      </c>
      <c r="C521" t="s">
        <v>823</v>
      </c>
      <c r="D521" t="s">
        <v>746</v>
      </c>
      <c r="E521" t="s">
        <v>829</v>
      </c>
      <c r="F521" t="s">
        <v>803</v>
      </c>
      <c r="G521" t="s">
        <v>830</v>
      </c>
      <c r="H521" t="s">
        <v>831</v>
      </c>
      <c r="I521" t="s">
        <v>722</v>
      </c>
      <c r="J521" t="s">
        <v>721</v>
      </c>
      <c r="K521"/>
      <c r="L521"/>
      <c r="M521" t="s">
        <v>888</v>
      </c>
      <c r="N521" t="s">
        <v>889</v>
      </c>
      <c r="O521"/>
      <c r="P521" t="e">
        <f>VLOOKUP(N521,#REF!,2,FALSE)</f>
        <v>#REF!</v>
      </c>
      <c r="Q521" t="s">
        <v>882</v>
      </c>
      <c r="R521" s="345">
        <v>-3804.27</v>
      </c>
    </row>
    <row r="522" spans="1:18" x14ac:dyDescent="0.2">
      <c r="A522" s="344" t="s">
        <v>749</v>
      </c>
      <c r="B522" t="s">
        <v>827</v>
      </c>
      <c r="C522" t="s">
        <v>823</v>
      </c>
      <c r="D522" t="s">
        <v>746</v>
      </c>
      <c r="E522" t="s">
        <v>829</v>
      </c>
      <c r="F522" t="s">
        <v>803</v>
      </c>
      <c r="G522" t="s">
        <v>830</v>
      </c>
      <c r="H522" t="s">
        <v>831</v>
      </c>
      <c r="I522" t="s">
        <v>722</v>
      </c>
      <c r="J522" t="s">
        <v>721</v>
      </c>
      <c r="K522"/>
      <c r="L522"/>
      <c r="M522" t="s">
        <v>888</v>
      </c>
      <c r="N522" t="s">
        <v>889</v>
      </c>
      <c r="O522"/>
      <c r="P522" t="e">
        <f>VLOOKUP(N522,#REF!,2,FALSE)</f>
        <v>#REF!</v>
      </c>
      <c r="Q522" t="s">
        <v>869</v>
      </c>
      <c r="R522" s="345">
        <v>0</v>
      </c>
    </row>
    <row r="523" spans="1:18" x14ac:dyDescent="0.2">
      <c r="A523" s="344" t="s">
        <v>752</v>
      </c>
      <c r="B523" t="s">
        <v>827</v>
      </c>
      <c r="C523" t="s">
        <v>823</v>
      </c>
      <c r="D523" t="s">
        <v>746</v>
      </c>
      <c r="E523" t="s">
        <v>829</v>
      </c>
      <c r="F523" t="s">
        <v>803</v>
      </c>
      <c r="G523" t="s">
        <v>830</v>
      </c>
      <c r="H523" t="s">
        <v>831</v>
      </c>
      <c r="I523" t="s">
        <v>722</v>
      </c>
      <c r="J523" t="s">
        <v>721</v>
      </c>
      <c r="K523"/>
      <c r="L523"/>
      <c r="M523" t="s">
        <v>888</v>
      </c>
      <c r="N523" t="s">
        <v>889</v>
      </c>
      <c r="O523"/>
      <c r="P523" t="e">
        <f>VLOOKUP(N523,#REF!,2,FALSE)</f>
        <v>#REF!</v>
      </c>
      <c r="Q523" t="s">
        <v>870</v>
      </c>
      <c r="R523" s="345">
        <v>-15567.08</v>
      </c>
    </row>
    <row r="524" spans="1:18" x14ac:dyDescent="0.2">
      <c r="A524" s="344" t="s">
        <v>753</v>
      </c>
      <c r="B524" t="s">
        <v>827</v>
      </c>
      <c r="C524" t="s">
        <v>823</v>
      </c>
      <c r="D524" t="s">
        <v>746</v>
      </c>
      <c r="E524" t="s">
        <v>829</v>
      </c>
      <c r="F524" t="s">
        <v>803</v>
      </c>
      <c r="G524" t="s">
        <v>830</v>
      </c>
      <c r="H524" t="s">
        <v>831</v>
      </c>
      <c r="I524" t="s">
        <v>722</v>
      </c>
      <c r="J524" t="s">
        <v>721</v>
      </c>
      <c r="K524"/>
      <c r="L524"/>
      <c r="M524" t="s">
        <v>888</v>
      </c>
      <c r="N524" t="s">
        <v>889</v>
      </c>
      <c r="O524"/>
      <c r="P524" t="e">
        <f>VLOOKUP(N524,#REF!,2,FALSE)</f>
        <v>#REF!</v>
      </c>
      <c r="Q524" t="s">
        <v>870</v>
      </c>
      <c r="R524" s="345">
        <v>-15064.92</v>
      </c>
    </row>
    <row r="525" spans="1:18" x14ac:dyDescent="0.2">
      <c r="A525" s="344" t="s">
        <v>754</v>
      </c>
      <c r="B525" t="s">
        <v>827</v>
      </c>
      <c r="C525" t="s">
        <v>823</v>
      </c>
      <c r="D525" t="s">
        <v>746</v>
      </c>
      <c r="E525" t="s">
        <v>829</v>
      </c>
      <c r="F525" t="s">
        <v>803</v>
      </c>
      <c r="G525" t="s">
        <v>830</v>
      </c>
      <c r="H525" t="s">
        <v>831</v>
      </c>
      <c r="I525" t="s">
        <v>722</v>
      </c>
      <c r="J525" t="s">
        <v>721</v>
      </c>
      <c r="K525"/>
      <c r="L525"/>
      <c r="M525" t="s">
        <v>888</v>
      </c>
      <c r="N525" t="s">
        <v>889</v>
      </c>
      <c r="O525"/>
      <c r="P525" t="e">
        <f>VLOOKUP(N525,#REF!,2,FALSE)</f>
        <v>#REF!</v>
      </c>
      <c r="Q525" t="s">
        <v>870</v>
      </c>
      <c r="R525" s="345">
        <v>0</v>
      </c>
    </row>
    <row r="526" spans="1:18" x14ac:dyDescent="0.2">
      <c r="A526" s="344" t="s">
        <v>749</v>
      </c>
      <c r="B526" t="s">
        <v>827</v>
      </c>
      <c r="C526" t="s">
        <v>823</v>
      </c>
      <c r="D526" t="s">
        <v>746</v>
      </c>
      <c r="E526" t="s">
        <v>829</v>
      </c>
      <c r="F526" t="s">
        <v>803</v>
      </c>
      <c r="G526" t="s">
        <v>830</v>
      </c>
      <c r="H526" t="s">
        <v>831</v>
      </c>
      <c r="I526" t="s">
        <v>722</v>
      </c>
      <c r="J526" t="s">
        <v>721</v>
      </c>
      <c r="K526"/>
      <c r="L526"/>
      <c r="M526" t="s">
        <v>893</v>
      </c>
      <c r="N526" t="s">
        <v>894</v>
      </c>
      <c r="O526"/>
      <c r="P526" t="e">
        <f>VLOOKUP(N526,#REF!,2,FALSE)</f>
        <v>#REF!</v>
      </c>
      <c r="Q526" t="s">
        <v>892</v>
      </c>
      <c r="R526" s="345">
        <v>-2507.04</v>
      </c>
    </row>
    <row r="527" spans="1:18" x14ac:dyDescent="0.2">
      <c r="A527" s="344" t="s">
        <v>752</v>
      </c>
      <c r="B527" t="s">
        <v>827</v>
      </c>
      <c r="C527" t="s">
        <v>823</v>
      </c>
      <c r="D527" t="s">
        <v>746</v>
      </c>
      <c r="E527" t="s">
        <v>829</v>
      </c>
      <c r="F527" t="s">
        <v>803</v>
      </c>
      <c r="G527" t="s">
        <v>830</v>
      </c>
      <c r="H527" t="s">
        <v>831</v>
      </c>
      <c r="I527" t="s">
        <v>722</v>
      </c>
      <c r="J527" t="s">
        <v>721</v>
      </c>
      <c r="K527"/>
      <c r="L527"/>
      <c r="M527" t="s">
        <v>893</v>
      </c>
      <c r="N527" t="s">
        <v>894</v>
      </c>
      <c r="O527"/>
      <c r="P527" t="e">
        <f>VLOOKUP(N527,#REF!,2,FALSE)</f>
        <v>#REF!</v>
      </c>
      <c r="Q527" t="s">
        <v>892</v>
      </c>
      <c r="R527" s="345">
        <v>1280.42</v>
      </c>
    </row>
    <row r="528" spans="1:18" x14ac:dyDescent="0.2">
      <c r="A528" s="344" t="s">
        <v>752</v>
      </c>
      <c r="B528" t="s">
        <v>827</v>
      </c>
      <c r="C528" t="s">
        <v>823</v>
      </c>
      <c r="D528" t="s">
        <v>746</v>
      </c>
      <c r="E528" t="s">
        <v>829</v>
      </c>
      <c r="F528" t="s">
        <v>803</v>
      </c>
      <c r="G528" t="s">
        <v>830</v>
      </c>
      <c r="H528" t="s">
        <v>831</v>
      </c>
      <c r="I528" t="s">
        <v>722</v>
      </c>
      <c r="J528" t="s">
        <v>721</v>
      </c>
      <c r="K528"/>
      <c r="L528"/>
      <c r="M528" t="s">
        <v>895</v>
      </c>
      <c r="N528" t="s">
        <v>896</v>
      </c>
      <c r="O528"/>
      <c r="P528" t="e">
        <f>VLOOKUP(N528,#REF!,2,FALSE)</f>
        <v>#REF!</v>
      </c>
      <c r="Q528" t="s">
        <v>891</v>
      </c>
      <c r="R528" s="345">
        <v>-18285.439999999999</v>
      </c>
    </row>
    <row r="529" spans="1:18" x14ac:dyDescent="0.2">
      <c r="A529" s="344" t="s">
        <v>753</v>
      </c>
      <c r="B529" t="s">
        <v>827</v>
      </c>
      <c r="C529" t="s">
        <v>823</v>
      </c>
      <c r="D529" t="s">
        <v>746</v>
      </c>
      <c r="E529" t="s">
        <v>829</v>
      </c>
      <c r="F529" t="s">
        <v>803</v>
      </c>
      <c r="G529" t="s">
        <v>830</v>
      </c>
      <c r="H529" t="s">
        <v>831</v>
      </c>
      <c r="I529" t="s">
        <v>722</v>
      </c>
      <c r="J529" t="s">
        <v>721</v>
      </c>
      <c r="K529"/>
      <c r="L529"/>
      <c r="M529" t="s">
        <v>895</v>
      </c>
      <c r="N529" t="s">
        <v>896</v>
      </c>
      <c r="O529"/>
      <c r="P529" t="e">
        <f>VLOOKUP(N529,#REF!,2,FALSE)</f>
        <v>#REF!</v>
      </c>
      <c r="Q529" t="s">
        <v>891</v>
      </c>
      <c r="R529" s="345">
        <v>0</v>
      </c>
    </row>
    <row r="530" spans="1:18" x14ac:dyDescent="0.2">
      <c r="A530" s="344" t="s">
        <v>749</v>
      </c>
      <c r="B530" t="s">
        <v>827</v>
      </c>
      <c r="C530" t="s">
        <v>823</v>
      </c>
      <c r="D530" t="s">
        <v>746</v>
      </c>
      <c r="E530" t="s">
        <v>829</v>
      </c>
      <c r="F530" t="s">
        <v>803</v>
      </c>
      <c r="G530" t="s">
        <v>830</v>
      </c>
      <c r="H530" t="s">
        <v>831</v>
      </c>
      <c r="I530" t="s">
        <v>722</v>
      </c>
      <c r="J530" t="s">
        <v>721</v>
      </c>
      <c r="K530"/>
      <c r="L530"/>
      <c r="M530" t="s">
        <v>761</v>
      </c>
      <c r="N530" t="s">
        <v>762</v>
      </c>
      <c r="O530"/>
      <c r="P530" t="e">
        <f>VLOOKUP(N530,#REF!,2,FALSE)</f>
        <v>#REF!</v>
      </c>
      <c r="Q530" t="s">
        <v>856</v>
      </c>
      <c r="R530" s="345">
        <v>-990.54</v>
      </c>
    </row>
    <row r="531" spans="1:18" x14ac:dyDescent="0.2">
      <c r="A531" s="344" t="s">
        <v>752</v>
      </c>
      <c r="B531" t="s">
        <v>827</v>
      </c>
      <c r="C531" t="s">
        <v>823</v>
      </c>
      <c r="D531" t="s">
        <v>746</v>
      </c>
      <c r="E531" t="s">
        <v>829</v>
      </c>
      <c r="F531" t="s">
        <v>803</v>
      </c>
      <c r="G531" t="s">
        <v>830</v>
      </c>
      <c r="H531" t="s">
        <v>831</v>
      </c>
      <c r="I531" t="s">
        <v>722</v>
      </c>
      <c r="J531" t="s">
        <v>721</v>
      </c>
      <c r="K531"/>
      <c r="L531"/>
      <c r="M531" t="s">
        <v>761</v>
      </c>
      <c r="N531" t="s">
        <v>762</v>
      </c>
      <c r="O531"/>
      <c r="P531" t="e">
        <f>VLOOKUP(N531,#REF!,2,FALSE)</f>
        <v>#REF!</v>
      </c>
      <c r="Q531" t="s">
        <v>856</v>
      </c>
      <c r="R531" s="345">
        <v>-990.54</v>
      </c>
    </row>
    <row r="532" spans="1:18" x14ac:dyDescent="0.2">
      <c r="A532" s="344" t="s">
        <v>753</v>
      </c>
      <c r="B532" t="s">
        <v>827</v>
      </c>
      <c r="C532" t="s">
        <v>823</v>
      </c>
      <c r="D532" t="s">
        <v>746</v>
      </c>
      <c r="E532" t="s">
        <v>829</v>
      </c>
      <c r="F532" t="s">
        <v>803</v>
      </c>
      <c r="G532" t="s">
        <v>830</v>
      </c>
      <c r="H532" t="s">
        <v>831</v>
      </c>
      <c r="I532" t="s">
        <v>722</v>
      </c>
      <c r="J532" t="s">
        <v>721</v>
      </c>
      <c r="K532"/>
      <c r="L532"/>
      <c r="M532" t="s">
        <v>761</v>
      </c>
      <c r="N532" t="s">
        <v>762</v>
      </c>
      <c r="O532"/>
      <c r="P532" t="e">
        <f>VLOOKUP(N532,#REF!,2,FALSE)</f>
        <v>#REF!</v>
      </c>
      <c r="Q532" t="s">
        <v>856</v>
      </c>
      <c r="R532" s="345">
        <v>-990.54</v>
      </c>
    </row>
    <row r="533" spans="1:18" x14ac:dyDescent="0.2">
      <c r="A533" s="344" t="s">
        <v>754</v>
      </c>
      <c r="B533" t="s">
        <v>827</v>
      </c>
      <c r="C533" t="s">
        <v>823</v>
      </c>
      <c r="D533" t="s">
        <v>746</v>
      </c>
      <c r="E533" t="s">
        <v>829</v>
      </c>
      <c r="F533" t="s">
        <v>803</v>
      </c>
      <c r="G533" t="s">
        <v>830</v>
      </c>
      <c r="H533" t="s">
        <v>831</v>
      </c>
      <c r="I533" t="s">
        <v>722</v>
      </c>
      <c r="J533" t="s">
        <v>721</v>
      </c>
      <c r="K533"/>
      <c r="L533"/>
      <c r="M533" t="s">
        <v>761</v>
      </c>
      <c r="N533" t="s">
        <v>762</v>
      </c>
      <c r="O533"/>
      <c r="P533" t="e">
        <f>VLOOKUP(N533,#REF!,2,FALSE)</f>
        <v>#REF!</v>
      </c>
      <c r="Q533" t="s">
        <v>856</v>
      </c>
      <c r="R533" s="345">
        <v>-992.68</v>
      </c>
    </row>
    <row r="534" spans="1:18" x14ac:dyDescent="0.2">
      <c r="A534" s="344" t="s">
        <v>755</v>
      </c>
      <c r="B534" t="s">
        <v>827</v>
      </c>
      <c r="C534" t="s">
        <v>823</v>
      </c>
      <c r="D534" t="s">
        <v>746</v>
      </c>
      <c r="E534" t="s">
        <v>829</v>
      </c>
      <c r="F534" t="s">
        <v>803</v>
      </c>
      <c r="G534" t="s">
        <v>830</v>
      </c>
      <c r="H534" t="s">
        <v>831</v>
      </c>
      <c r="I534" t="s">
        <v>722</v>
      </c>
      <c r="J534" t="s">
        <v>721</v>
      </c>
      <c r="K534"/>
      <c r="L534"/>
      <c r="M534" t="s">
        <v>761</v>
      </c>
      <c r="N534" t="s">
        <v>762</v>
      </c>
      <c r="O534"/>
      <c r="P534" t="e">
        <f>VLOOKUP(N534,#REF!,2,FALSE)</f>
        <v>#REF!</v>
      </c>
      <c r="Q534" t="s">
        <v>856</v>
      </c>
      <c r="R534" s="345">
        <v>-992.68</v>
      </c>
    </row>
    <row r="535" spans="1:18" x14ac:dyDescent="0.2">
      <c r="A535" s="344" t="s">
        <v>756</v>
      </c>
      <c r="B535" t="s">
        <v>827</v>
      </c>
      <c r="C535" t="s">
        <v>823</v>
      </c>
      <c r="D535" t="s">
        <v>746</v>
      </c>
      <c r="E535" t="s">
        <v>829</v>
      </c>
      <c r="F535" t="s">
        <v>803</v>
      </c>
      <c r="G535" t="s">
        <v>830</v>
      </c>
      <c r="H535" t="s">
        <v>831</v>
      </c>
      <c r="I535" t="s">
        <v>722</v>
      </c>
      <c r="J535" t="s">
        <v>721</v>
      </c>
      <c r="K535"/>
      <c r="L535"/>
      <c r="M535" t="s">
        <v>761</v>
      </c>
      <c r="N535" t="s">
        <v>762</v>
      </c>
      <c r="O535"/>
      <c r="P535" t="e">
        <f>VLOOKUP(N535,#REF!,2,FALSE)</f>
        <v>#REF!</v>
      </c>
      <c r="Q535" t="s">
        <v>856</v>
      </c>
      <c r="R535" s="345">
        <v>-992.68</v>
      </c>
    </row>
    <row r="536" spans="1:18" x14ac:dyDescent="0.2">
      <c r="A536" s="344" t="s">
        <v>757</v>
      </c>
      <c r="B536" t="s">
        <v>827</v>
      </c>
      <c r="C536" t="s">
        <v>823</v>
      </c>
      <c r="D536" t="s">
        <v>746</v>
      </c>
      <c r="E536" t="s">
        <v>829</v>
      </c>
      <c r="F536" t="s">
        <v>803</v>
      </c>
      <c r="G536" t="s">
        <v>830</v>
      </c>
      <c r="H536" t="s">
        <v>831</v>
      </c>
      <c r="I536" t="s">
        <v>722</v>
      </c>
      <c r="J536" t="s">
        <v>721</v>
      </c>
      <c r="K536"/>
      <c r="L536"/>
      <c r="M536" t="s">
        <v>761</v>
      </c>
      <c r="N536" t="s">
        <v>762</v>
      </c>
      <c r="O536"/>
      <c r="P536" t="e">
        <f>VLOOKUP(N536,#REF!,2,FALSE)</f>
        <v>#REF!</v>
      </c>
      <c r="Q536" t="s">
        <v>856</v>
      </c>
      <c r="R536" s="345">
        <v>-994.82</v>
      </c>
    </row>
    <row r="537" spans="1:18" x14ac:dyDescent="0.2">
      <c r="A537" s="344" t="s">
        <v>758</v>
      </c>
      <c r="B537" t="s">
        <v>827</v>
      </c>
      <c r="C537" t="s">
        <v>823</v>
      </c>
      <c r="D537" t="s">
        <v>746</v>
      </c>
      <c r="E537" t="s">
        <v>829</v>
      </c>
      <c r="F537" t="s">
        <v>803</v>
      </c>
      <c r="G537" t="s">
        <v>830</v>
      </c>
      <c r="H537" t="s">
        <v>831</v>
      </c>
      <c r="I537" t="s">
        <v>722</v>
      </c>
      <c r="J537" t="s">
        <v>721</v>
      </c>
      <c r="K537"/>
      <c r="L537"/>
      <c r="M537" t="s">
        <v>761</v>
      </c>
      <c r="N537" t="s">
        <v>762</v>
      </c>
      <c r="O537"/>
      <c r="P537" t="e">
        <f>VLOOKUP(N537,#REF!,2,FALSE)</f>
        <v>#REF!</v>
      </c>
      <c r="Q537" t="s">
        <v>856</v>
      </c>
      <c r="R537" s="345">
        <v>-994.82</v>
      </c>
    </row>
    <row r="538" spans="1:18" x14ac:dyDescent="0.2">
      <c r="A538" s="344" t="s">
        <v>759</v>
      </c>
      <c r="B538" t="s">
        <v>827</v>
      </c>
      <c r="C538" t="s">
        <v>823</v>
      </c>
      <c r="D538" t="s">
        <v>746</v>
      </c>
      <c r="E538" t="s">
        <v>829</v>
      </c>
      <c r="F538" t="s">
        <v>803</v>
      </c>
      <c r="G538" t="s">
        <v>830</v>
      </c>
      <c r="H538" t="s">
        <v>831</v>
      </c>
      <c r="I538" t="s">
        <v>722</v>
      </c>
      <c r="J538" t="s">
        <v>721</v>
      </c>
      <c r="K538"/>
      <c r="L538"/>
      <c r="M538" t="s">
        <v>761</v>
      </c>
      <c r="N538" t="s">
        <v>762</v>
      </c>
      <c r="O538"/>
      <c r="P538" t="e">
        <f>VLOOKUP(N538,#REF!,2,FALSE)</f>
        <v>#REF!</v>
      </c>
      <c r="Q538" t="s">
        <v>856</v>
      </c>
      <c r="R538" s="345">
        <v>-994.82</v>
      </c>
    </row>
    <row r="539" spans="1:18" x14ac:dyDescent="0.2">
      <c r="A539" s="344" t="s">
        <v>743</v>
      </c>
      <c r="B539" t="s">
        <v>827</v>
      </c>
      <c r="C539" t="s">
        <v>823</v>
      </c>
      <c r="D539" t="s">
        <v>746</v>
      </c>
      <c r="E539" t="s">
        <v>829</v>
      </c>
      <c r="F539" t="s">
        <v>803</v>
      </c>
      <c r="G539" t="s">
        <v>830</v>
      </c>
      <c r="H539" t="s">
        <v>831</v>
      </c>
      <c r="I539" t="s">
        <v>722</v>
      </c>
      <c r="J539" t="s">
        <v>721</v>
      </c>
      <c r="K539"/>
      <c r="L539"/>
      <c r="M539" t="s">
        <v>761</v>
      </c>
      <c r="N539" t="s">
        <v>762</v>
      </c>
      <c r="O539"/>
      <c r="P539" t="e">
        <f>VLOOKUP(N539,#REF!,2,FALSE)</f>
        <v>#REF!</v>
      </c>
      <c r="Q539" t="s">
        <v>856</v>
      </c>
      <c r="R539" s="345">
        <v>-1004.1</v>
      </c>
    </row>
    <row r="540" spans="1:18" x14ac:dyDescent="0.2">
      <c r="A540" s="344" t="s">
        <v>760</v>
      </c>
      <c r="B540" t="s">
        <v>827</v>
      </c>
      <c r="C540" t="s">
        <v>823</v>
      </c>
      <c r="D540" t="s">
        <v>746</v>
      </c>
      <c r="E540" t="s">
        <v>829</v>
      </c>
      <c r="F540" t="s">
        <v>803</v>
      </c>
      <c r="G540" t="s">
        <v>830</v>
      </c>
      <c r="H540" t="s">
        <v>831</v>
      </c>
      <c r="I540" t="s">
        <v>722</v>
      </c>
      <c r="J540" t="s">
        <v>721</v>
      </c>
      <c r="K540"/>
      <c r="L540"/>
      <c r="M540" t="s">
        <v>761</v>
      </c>
      <c r="N540" t="s">
        <v>762</v>
      </c>
      <c r="O540"/>
      <c r="P540" t="e">
        <f>VLOOKUP(N540,#REF!,2,FALSE)</f>
        <v>#REF!</v>
      </c>
      <c r="Q540" t="s">
        <v>856</v>
      </c>
      <c r="R540" s="345">
        <v>-1004.1</v>
      </c>
    </row>
    <row r="541" spans="1:18" x14ac:dyDescent="0.2">
      <c r="A541" s="344" t="s">
        <v>745</v>
      </c>
      <c r="B541" t="s">
        <v>827</v>
      </c>
      <c r="C541" t="s">
        <v>823</v>
      </c>
      <c r="D541" t="s">
        <v>746</v>
      </c>
      <c r="E541" t="s">
        <v>829</v>
      </c>
      <c r="F541" t="s">
        <v>803</v>
      </c>
      <c r="G541" t="s">
        <v>830</v>
      </c>
      <c r="H541" t="s">
        <v>831</v>
      </c>
      <c r="I541" t="s">
        <v>722</v>
      </c>
      <c r="J541" t="s">
        <v>721</v>
      </c>
      <c r="K541"/>
      <c r="L541"/>
      <c r="M541" t="s">
        <v>761</v>
      </c>
      <c r="N541" t="s">
        <v>762</v>
      </c>
      <c r="O541"/>
      <c r="P541" t="e">
        <f>VLOOKUP(N541,#REF!,2,FALSE)</f>
        <v>#REF!</v>
      </c>
      <c r="Q541" t="s">
        <v>856</v>
      </c>
      <c r="R541" s="345">
        <v>-1004.1</v>
      </c>
    </row>
    <row r="542" spans="1:18" x14ac:dyDescent="0.2">
      <c r="A542" s="344" t="s">
        <v>749</v>
      </c>
      <c r="B542" t="s">
        <v>827</v>
      </c>
      <c r="C542" t="s">
        <v>823</v>
      </c>
      <c r="D542" t="s">
        <v>746</v>
      </c>
      <c r="E542" t="s">
        <v>829</v>
      </c>
      <c r="F542" t="s">
        <v>803</v>
      </c>
      <c r="G542" t="s">
        <v>830</v>
      </c>
      <c r="H542" t="s">
        <v>831</v>
      </c>
      <c r="I542" t="s">
        <v>722</v>
      </c>
      <c r="J542" t="s">
        <v>721</v>
      </c>
      <c r="K542"/>
      <c r="L542"/>
      <c r="M542" t="s">
        <v>761</v>
      </c>
      <c r="N542" t="s">
        <v>762</v>
      </c>
      <c r="O542"/>
      <c r="P542" t="e">
        <f>VLOOKUP(N542,#REF!,2,FALSE)</f>
        <v>#REF!</v>
      </c>
      <c r="Q542" t="s">
        <v>890</v>
      </c>
      <c r="R542" s="345">
        <v>-990.44</v>
      </c>
    </row>
    <row r="543" spans="1:18" x14ac:dyDescent="0.2">
      <c r="A543" s="344" t="s">
        <v>752</v>
      </c>
      <c r="B543" t="s">
        <v>827</v>
      </c>
      <c r="C543" t="s">
        <v>823</v>
      </c>
      <c r="D543" t="s">
        <v>746</v>
      </c>
      <c r="E543" t="s">
        <v>829</v>
      </c>
      <c r="F543" t="s">
        <v>803</v>
      </c>
      <c r="G543" t="s">
        <v>830</v>
      </c>
      <c r="H543" t="s">
        <v>831</v>
      </c>
      <c r="I543" t="s">
        <v>722</v>
      </c>
      <c r="J543" t="s">
        <v>721</v>
      </c>
      <c r="K543"/>
      <c r="L543"/>
      <c r="M543" t="s">
        <v>761</v>
      </c>
      <c r="N543" t="s">
        <v>762</v>
      </c>
      <c r="O543"/>
      <c r="P543" t="e">
        <f>VLOOKUP(N543,#REF!,2,FALSE)</f>
        <v>#REF!</v>
      </c>
      <c r="Q543" t="s">
        <v>890</v>
      </c>
      <c r="R543" s="345">
        <v>990.44</v>
      </c>
    </row>
    <row r="544" spans="1:18" x14ac:dyDescent="0.2">
      <c r="A544" s="344" t="s">
        <v>749</v>
      </c>
      <c r="B544" t="s">
        <v>827</v>
      </c>
      <c r="C544" t="s">
        <v>823</v>
      </c>
      <c r="D544" t="s">
        <v>746</v>
      </c>
      <c r="E544" t="s">
        <v>829</v>
      </c>
      <c r="F544" t="s">
        <v>803</v>
      </c>
      <c r="G544" t="s">
        <v>830</v>
      </c>
      <c r="H544" t="s">
        <v>831</v>
      </c>
      <c r="I544" t="s">
        <v>722</v>
      </c>
      <c r="J544" t="s">
        <v>721</v>
      </c>
      <c r="K544"/>
      <c r="L544"/>
      <c r="M544" t="s">
        <v>761</v>
      </c>
      <c r="N544" t="s">
        <v>762</v>
      </c>
      <c r="O544"/>
      <c r="P544" t="e">
        <f>VLOOKUP(N544,#REF!,2,FALSE)</f>
        <v>#REF!</v>
      </c>
      <c r="Q544" t="s">
        <v>857</v>
      </c>
      <c r="R544" s="345">
        <v>-1032.93</v>
      </c>
    </row>
    <row r="545" spans="1:18" x14ac:dyDescent="0.2">
      <c r="A545" s="344" t="s">
        <v>752</v>
      </c>
      <c r="B545" t="s">
        <v>827</v>
      </c>
      <c r="C545" t="s">
        <v>823</v>
      </c>
      <c r="D545" t="s">
        <v>746</v>
      </c>
      <c r="E545" t="s">
        <v>829</v>
      </c>
      <c r="F545" t="s">
        <v>803</v>
      </c>
      <c r="G545" t="s">
        <v>830</v>
      </c>
      <c r="H545" t="s">
        <v>831</v>
      </c>
      <c r="I545" t="s">
        <v>722</v>
      </c>
      <c r="J545" t="s">
        <v>721</v>
      </c>
      <c r="K545"/>
      <c r="L545"/>
      <c r="M545" t="s">
        <v>761</v>
      </c>
      <c r="N545" t="s">
        <v>762</v>
      </c>
      <c r="O545"/>
      <c r="P545" t="e">
        <f>VLOOKUP(N545,#REF!,2,FALSE)</f>
        <v>#REF!</v>
      </c>
      <c r="Q545" t="s">
        <v>857</v>
      </c>
      <c r="R545" s="345">
        <v>-1032.93</v>
      </c>
    </row>
    <row r="546" spans="1:18" x14ac:dyDescent="0.2">
      <c r="A546" s="344" t="s">
        <v>753</v>
      </c>
      <c r="B546" t="s">
        <v>827</v>
      </c>
      <c r="C546" t="s">
        <v>823</v>
      </c>
      <c r="D546" t="s">
        <v>746</v>
      </c>
      <c r="E546" t="s">
        <v>829</v>
      </c>
      <c r="F546" t="s">
        <v>803</v>
      </c>
      <c r="G546" t="s">
        <v>830</v>
      </c>
      <c r="H546" t="s">
        <v>831</v>
      </c>
      <c r="I546" t="s">
        <v>722</v>
      </c>
      <c r="J546" t="s">
        <v>721</v>
      </c>
      <c r="K546"/>
      <c r="L546"/>
      <c r="M546" t="s">
        <v>761</v>
      </c>
      <c r="N546" t="s">
        <v>762</v>
      </c>
      <c r="O546"/>
      <c r="P546" t="e">
        <f>VLOOKUP(N546,#REF!,2,FALSE)</f>
        <v>#REF!</v>
      </c>
      <c r="Q546" t="s">
        <v>857</v>
      </c>
      <c r="R546" s="345">
        <v>-1032.93</v>
      </c>
    </row>
    <row r="547" spans="1:18" x14ac:dyDescent="0.2">
      <c r="A547" s="344" t="s">
        <v>754</v>
      </c>
      <c r="B547" t="s">
        <v>827</v>
      </c>
      <c r="C547" t="s">
        <v>823</v>
      </c>
      <c r="D547" t="s">
        <v>746</v>
      </c>
      <c r="E547" t="s">
        <v>829</v>
      </c>
      <c r="F547" t="s">
        <v>803</v>
      </c>
      <c r="G547" t="s">
        <v>830</v>
      </c>
      <c r="H547" t="s">
        <v>831</v>
      </c>
      <c r="I547" t="s">
        <v>722</v>
      </c>
      <c r="J547" t="s">
        <v>721</v>
      </c>
      <c r="K547"/>
      <c r="L547"/>
      <c r="M547" t="s">
        <v>761</v>
      </c>
      <c r="N547" t="s">
        <v>762</v>
      </c>
      <c r="O547"/>
      <c r="P547" t="e">
        <f>VLOOKUP(N547,#REF!,2,FALSE)</f>
        <v>#REF!</v>
      </c>
      <c r="Q547" t="s">
        <v>857</v>
      </c>
      <c r="R547" s="345">
        <v>-1035.1600000000001</v>
      </c>
    </row>
    <row r="548" spans="1:18" x14ac:dyDescent="0.2">
      <c r="A548" s="344" t="s">
        <v>755</v>
      </c>
      <c r="B548" t="s">
        <v>827</v>
      </c>
      <c r="C548" t="s">
        <v>823</v>
      </c>
      <c r="D548" t="s">
        <v>746</v>
      </c>
      <c r="E548" t="s">
        <v>829</v>
      </c>
      <c r="F548" t="s">
        <v>803</v>
      </c>
      <c r="G548" t="s">
        <v>830</v>
      </c>
      <c r="H548" t="s">
        <v>831</v>
      </c>
      <c r="I548" t="s">
        <v>722</v>
      </c>
      <c r="J548" t="s">
        <v>721</v>
      </c>
      <c r="K548"/>
      <c r="L548"/>
      <c r="M548" t="s">
        <v>761</v>
      </c>
      <c r="N548" t="s">
        <v>762</v>
      </c>
      <c r="O548"/>
      <c r="P548" t="e">
        <f>VLOOKUP(N548,#REF!,2,FALSE)</f>
        <v>#REF!</v>
      </c>
      <c r="Q548" t="s">
        <v>857</v>
      </c>
      <c r="R548" s="345">
        <v>-1035.1600000000001</v>
      </c>
    </row>
    <row r="549" spans="1:18" x14ac:dyDescent="0.2">
      <c r="A549" s="344" t="s">
        <v>756</v>
      </c>
      <c r="B549" t="s">
        <v>827</v>
      </c>
      <c r="C549" t="s">
        <v>823</v>
      </c>
      <c r="D549" t="s">
        <v>746</v>
      </c>
      <c r="E549" t="s">
        <v>829</v>
      </c>
      <c r="F549" t="s">
        <v>803</v>
      </c>
      <c r="G549" t="s">
        <v>830</v>
      </c>
      <c r="H549" t="s">
        <v>831</v>
      </c>
      <c r="I549" t="s">
        <v>722</v>
      </c>
      <c r="J549" t="s">
        <v>721</v>
      </c>
      <c r="K549"/>
      <c r="L549"/>
      <c r="M549" t="s">
        <v>761</v>
      </c>
      <c r="N549" t="s">
        <v>762</v>
      </c>
      <c r="O549"/>
      <c r="P549" t="e">
        <f>VLOOKUP(N549,#REF!,2,FALSE)</f>
        <v>#REF!</v>
      </c>
      <c r="Q549" t="s">
        <v>857</v>
      </c>
      <c r="R549" s="345">
        <v>0</v>
      </c>
    </row>
    <row r="550" spans="1:18" x14ac:dyDescent="0.2">
      <c r="A550" s="344" t="s">
        <v>749</v>
      </c>
      <c r="B550" t="s">
        <v>827</v>
      </c>
      <c r="C550" t="s">
        <v>823</v>
      </c>
      <c r="D550" t="s">
        <v>746</v>
      </c>
      <c r="E550" t="s">
        <v>829</v>
      </c>
      <c r="F550" t="s">
        <v>803</v>
      </c>
      <c r="G550" t="s">
        <v>830</v>
      </c>
      <c r="H550" t="s">
        <v>831</v>
      </c>
      <c r="I550" t="s">
        <v>722</v>
      </c>
      <c r="J550" t="s">
        <v>721</v>
      </c>
      <c r="K550"/>
      <c r="L550"/>
      <c r="M550" t="s">
        <v>761</v>
      </c>
      <c r="N550" t="s">
        <v>762</v>
      </c>
      <c r="O550"/>
      <c r="P550" t="e">
        <f>VLOOKUP(N550,#REF!,2,FALSE)</f>
        <v>#REF!</v>
      </c>
      <c r="Q550" t="s">
        <v>873</v>
      </c>
      <c r="R550" s="345">
        <v>-971.27</v>
      </c>
    </row>
    <row r="551" spans="1:18" x14ac:dyDescent="0.2">
      <c r="A551" s="344" t="s">
        <v>752</v>
      </c>
      <c r="B551" t="s">
        <v>827</v>
      </c>
      <c r="C551" t="s">
        <v>823</v>
      </c>
      <c r="D551" t="s">
        <v>746</v>
      </c>
      <c r="E551" t="s">
        <v>829</v>
      </c>
      <c r="F551" t="s">
        <v>803</v>
      </c>
      <c r="G551" t="s">
        <v>830</v>
      </c>
      <c r="H551" t="s">
        <v>831</v>
      </c>
      <c r="I551" t="s">
        <v>722</v>
      </c>
      <c r="J551" t="s">
        <v>721</v>
      </c>
      <c r="K551"/>
      <c r="L551"/>
      <c r="M551" t="s">
        <v>761</v>
      </c>
      <c r="N551" t="s">
        <v>762</v>
      </c>
      <c r="O551"/>
      <c r="P551" t="e">
        <f>VLOOKUP(N551,#REF!,2,FALSE)</f>
        <v>#REF!</v>
      </c>
      <c r="Q551" t="s">
        <v>873</v>
      </c>
      <c r="R551" s="345">
        <v>-971.27</v>
      </c>
    </row>
    <row r="552" spans="1:18" x14ac:dyDescent="0.2">
      <c r="A552" s="344" t="s">
        <v>753</v>
      </c>
      <c r="B552" t="s">
        <v>827</v>
      </c>
      <c r="C552" t="s">
        <v>823</v>
      </c>
      <c r="D552" t="s">
        <v>746</v>
      </c>
      <c r="E552" t="s">
        <v>829</v>
      </c>
      <c r="F552" t="s">
        <v>803</v>
      </c>
      <c r="G552" t="s">
        <v>830</v>
      </c>
      <c r="H552" t="s">
        <v>831</v>
      </c>
      <c r="I552" t="s">
        <v>722</v>
      </c>
      <c r="J552" t="s">
        <v>721</v>
      </c>
      <c r="K552"/>
      <c r="L552"/>
      <c r="M552" t="s">
        <v>761</v>
      </c>
      <c r="N552" t="s">
        <v>762</v>
      </c>
      <c r="O552"/>
      <c r="P552" t="e">
        <f>VLOOKUP(N552,#REF!,2,FALSE)</f>
        <v>#REF!</v>
      </c>
      <c r="Q552" t="s">
        <v>873</v>
      </c>
      <c r="R552" s="345">
        <v>-971.27</v>
      </c>
    </row>
    <row r="553" spans="1:18" x14ac:dyDescent="0.2">
      <c r="A553" s="344" t="s">
        <v>754</v>
      </c>
      <c r="B553" t="s">
        <v>827</v>
      </c>
      <c r="C553" t="s">
        <v>823</v>
      </c>
      <c r="D553" t="s">
        <v>746</v>
      </c>
      <c r="E553" t="s">
        <v>829</v>
      </c>
      <c r="F553" t="s">
        <v>803</v>
      </c>
      <c r="G553" t="s">
        <v>830</v>
      </c>
      <c r="H553" t="s">
        <v>831</v>
      </c>
      <c r="I553" t="s">
        <v>722</v>
      </c>
      <c r="J553" t="s">
        <v>721</v>
      </c>
      <c r="K553"/>
      <c r="L553"/>
      <c r="M553" t="s">
        <v>761</v>
      </c>
      <c r="N553" t="s">
        <v>762</v>
      </c>
      <c r="O553"/>
      <c r="P553" t="e">
        <f>VLOOKUP(N553,#REF!,2,FALSE)</f>
        <v>#REF!</v>
      </c>
      <c r="Q553" t="s">
        <v>873</v>
      </c>
      <c r="R553" s="345">
        <v>-971.27</v>
      </c>
    </row>
    <row r="554" spans="1:18" x14ac:dyDescent="0.2">
      <c r="A554" s="344" t="s">
        <v>755</v>
      </c>
      <c r="B554" t="s">
        <v>827</v>
      </c>
      <c r="C554" t="s">
        <v>823</v>
      </c>
      <c r="D554" t="s">
        <v>746</v>
      </c>
      <c r="E554" t="s">
        <v>829</v>
      </c>
      <c r="F554" t="s">
        <v>803</v>
      </c>
      <c r="G554" t="s">
        <v>830</v>
      </c>
      <c r="H554" t="s">
        <v>831</v>
      </c>
      <c r="I554" t="s">
        <v>722</v>
      </c>
      <c r="J554" t="s">
        <v>721</v>
      </c>
      <c r="K554"/>
      <c r="L554"/>
      <c r="M554" t="s">
        <v>761</v>
      </c>
      <c r="N554" t="s">
        <v>762</v>
      </c>
      <c r="O554"/>
      <c r="P554" t="e">
        <f>VLOOKUP(N554,#REF!,2,FALSE)</f>
        <v>#REF!</v>
      </c>
      <c r="Q554" t="s">
        <v>873</v>
      </c>
      <c r="R554" s="345">
        <v>-971.27</v>
      </c>
    </row>
    <row r="555" spans="1:18" x14ac:dyDescent="0.2">
      <c r="A555" s="344" t="s">
        <v>756</v>
      </c>
      <c r="B555" t="s">
        <v>827</v>
      </c>
      <c r="C555" t="s">
        <v>823</v>
      </c>
      <c r="D555" t="s">
        <v>746</v>
      </c>
      <c r="E555" t="s">
        <v>829</v>
      </c>
      <c r="F555" t="s">
        <v>803</v>
      </c>
      <c r="G555" t="s">
        <v>830</v>
      </c>
      <c r="H555" t="s">
        <v>831</v>
      </c>
      <c r="I555" t="s">
        <v>722</v>
      </c>
      <c r="J555" t="s">
        <v>721</v>
      </c>
      <c r="K555"/>
      <c r="L555"/>
      <c r="M555" t="s">
        <v>761</v>
      </c>
      <c r="N555" t="s">
        <v>762</v>
      </c>
      <c r="O555"/>
      <c r="P555" t="e">
        <f>VLOOKUP(N555,#REF!,2,FALSE)</f>
        <v>#REF!</v>
      </c>
      <c r="Q555" t="s">
        <v>873</v>
      </c>
      <c r="R555" s="345">
        <v>-971.27</v>
      </c>
    </row>
    <row r="556" spans="1:18" x14ac:dyDescent="0.2">
      <c r="A556" s="344" t="s">
        <v>757</v>
      </c>
      <c r="B556" t="s">
        <v>827</v>
      </c>
      <c r="C556" t="s">
        <v>823</v>
      </c>
      <c r="D556" t="s">
        <v>746</v>
      </c>
      <c r="E556" t="s">
        <v>829</v>
      </c>
      <c r="F556" t="s">
        <v>803</v>
      </c>
      <c r="G556" t="s">
        <v>830</v>
      </c>
      <c r="H556" t="s">
        <v>831</v>
      </c>
      <c r="I556" t="s">
        <v>722</v>
      </c>
      <c r="J556" t="s">
        <v>721</v>
      </c>
      <c r="K556"/>
      <c r="L556"/>
      <c r="M556" t="s">
        <v>761</v>
      </c>
      <c r="N556" t="s">
        <v>762</v>
      </c>
      <c r="O556"/>
      <c r="P556" t="e">
        <f>VLOOKUP(N556,#REF!,2,FALSE)</f>
        <v>#REF!</v>
      </c>
      <c r="Q556" t="s">
        <v>873</v>
      </c>
      <c r="R556" s="345">
        <v>-994.82</v>
      </c>
    </row>
    <row r="557" spans="1:18" x14ac:dyDescent="0.2">
      <c r="A557" s="344" t="s">
        <v>758</v>
      </c>
      <c r="B557" t="s">
        <v>827</v>
      </c>
      <c r="C557" t="s">
        <v>823</v>
      </c>
      <c r="D557" t="s">
        <v>746</v>
      </c>
      <c r="E557" t="s">
        <v>829</v>
      </c>
      <c r="F557" t="s">
        <v>803</v>
      </c>
      <c r="G557" t="s">
        <v>830</v>
      </c>
      <c r="H557" t="s">
        <v>831</v>
      </c>
      <c r="I557" t="s">
        <v>722</v>
      </c>
      <c r="J557" t="s">
        <v>721</v>
      </c>
      <c r="K557"/>
      <c r="L557"/>
      <c r="M557" t="s">
        <v>761</v>
      </c>
      <c r="N557" t="s">
        <v>762</v>
      </c>
      <c r="O557"/>
      <c r="P557" t="e">
        <f>VLOOKUP(N557,#REF!,2,FALSE)</f>
        <v>#REF!</v>
      </c>
      <c r="Q557" t="s">
        <v>873</v>
      </c>
      <c r="R557" s="345">
        <v>-994.82</v>
      </c>
    </row>
    <row r="558" spans="1:18" x14ac:dyDescent="0.2">
      <c r="A558" s="344" t="s">
        <v>759</v>
      </c>
      <c r="B558" t="s">
        <v>827</v>
      </c>
      <c r="C558" t="s">
        <v>823</v>
      </c>
      <c r="D558" t="s">
        <v>746</v>
      </c>
      <c r="E558" t="s">
        <v>829</v>
      </c>
      <c r="F558" t="s">
        <v>803</v>
      </c>
      <c r="G558" t="s">
        <v>830</v>
      </c>
      <c r="H558" t="s">
        <v>831</v>
      </c>
      <c r="I558" t="s">
        <v>722</v>
      </c>
      <c r="J558" t="s">
        <v>721</v>
      </c>
      <c r="K558"/>
      <c r="L558"/>
      <c r="M558" t="s">
        <v>761</v>
      </c>
      <c r="N558" t="s">
        <v>762</v>
      </c>
      <c r="O558"/>
      <c r="P558" t="e">
        <f>VLOOKUP(N558,#REF!,2,FALSE)</f>
        <v>#REF!</v>
      </c>
      <c r="Q558" t="s">
        <v>873</v>
      </c>
      <c r="R558" s="345">
        <v>-994.82</v>
      </c>
    </row>
    <row r="559" spans="1:18" x14ac:dyDescent="0.2">
      <c r="A559" s="344" t="s">
        <v>743</v>
      </c>
      <c r="B559" t="s">
        <v>827</v>
      </c>
      <c r="C559" t="s">
        <v>823</v>
      </c>
      <c r="D559" t="s">
        <v>746</v>
      </c>
      <c r="E559" t="s">
        <v>829</v>
      </c>
      <c r="F559" t="s">
        <v>803</v>
      </c>
      <c r="G559" t="s">
        <v>830</v>
      </c>
      <c r="H559" t="s">
        <v>831</v>
      </c>
      <c r="I559" t="s">
        <v>722</v>
      </c>
      <c r="J559" t="s">
        <v>721</v>
      </c>
      <c r="K559"/>
      <c r="L559"/>
      <c r="M559" t="s">
        <v>761</v>
      </c>
      <c r="N559" t="s">
        <v>762</v>
      </c>
      <c r="O559"/>
      <c r="P559" t="e">
        <f>VLOOKUP(N559,#REF!,2,FALSE)</f>
        <v>#REF!</v>
      </c>
      <c r="Q559" t="s">
        <v>873</v>
      </c>
      <c r="R559" s="345">
        <v>-994.82</v>
      </c>
    </row>
    <row r="560" spans="1:18" x14ac:dyDescent="0.2">
      <c r="A560" s="344" t="s">
        <v>760</v>
      </c>
      <c r="B560" t="s">
        <v>827</v>
      </c>
      <c r="C560" t="s">
        <v>823</v>
      </c>
      <c r="D560" t="s">
        <v>746</v>
      </c>
      <c r="E560" t="s">
        <v>829</v>
      </c>
      <c r="F560" t="s">
        <v>803</v>
      </c>
      <c r="G560" t="s">
        <v>830</v>
      </c>
      <c r="H560" t="s">
        <v>831</v>
      </c>
      <c r="I560" t="s">
        <v>722</v>
      </c>
      <c r="J560" t="s">
        <v>721</v>
      </c>
      <c r="K560"/>
      <c r="L560"/>
      <c r="M560" t="s">
        <v>761</v>
      </c>
      <c r="N560" t="s">
        <v>762</v>
      </c>
      <c r="O560"/>
      <c r="P560" t="e">
        <f>VLOOKUP(N560,#REF!,2,FALSE)</f>
        <v>#REF!</v>
      </c>
      <c r="Q560" t="s">
        <v>873</v>
      </c>
      <c r="R560" s="345">
        <v>-994.82</v>
      </c>
    </row>
    <row r="561" spans="1:18" x14ac:dyDescent="0.2">
      <c r="A561" s="344" t="s">
        <v>745</v>
      </c>
      <c r="B561" t="s">
        <v>827</v>
      </c>
      <c r="C561" t="s">
        <v>823</v>
      </c>
      <c r="D561" t="s">
        <v>746</v>
      </c>
      <c r="E561" t="s">
        <v>829</v>
      </c>
      <c r="F561" t="s">
        <v>803</v>
      </c>
      <c r="G561" t="s">
        <v>830</v>
      </c>
      <c r="H561" t="s">
        <v>831</v>
      </c>
      <c r="I561" t="s">
        <v>722</v>
      </c>
      <c r="J561" t="s">
        <v>721</v>
      </c>
      <c r="K561"/>
      <c r="L561"/>
      <c r="M561" t="s">
        <v>761</v>
      </c>
      <c r="N561" t="s">
        <v>762</v>
      </c>
      <c r="O561"/>
      <c r="P561" t="e">
        <f>VLOOKUP(N561,#REF!,2,FALSE)</f>
        <v>#REF!</v>
      </c>
      <c r="Q561" t="s">
        <v>873</v>
      </c>
      <c r="R561" s="345">
        <v>-994.82</v>
      </c>
    </row>
    <row r="562" spans="1:18" x14ac:dyDescent="0.2">
      <c r="A562" s="344" t="s">
        <v>749</v>
      </c>
      <c r="B562" t="s">
        <v>827</v>
      </c>
      <c r="C562" t="s">
        <v>823</v>
      </c>
      <c r="D562" t="s">
        <v>746</v>
      </c>
      <c r="E562" t="s">
        <v>829</v>
      </c>
      <c r="F562" t="s">
        <v>803</v>
      </c>
      <c r="G562" t="s">
        <v>830</v>
      </c>
      <c r="H562" t="s">
        <v>831</v>
      </c>
      <c r="I562" t="s">
        <v>722</v>
      </c>
      <c r="J562" t="s">
        <v>721</v>
      </c>
      <c r="K562"/>
      <c r="L562"/>
      <c r="M562" t="s">
        <v>761</v>
      </c>
      <c r="N562" t="s">
        <v>762</v>
      </c>
      <c r="O562"/>
      <c r="P562" t="e">
        <f>VLOOKUP(N562,#REF!,2,FALSE)</f>
        <v>#REF!</v>
      </c>
      <c r="Q562" t="s">
        <v>858</v>
      </c>
      <c r="R562" s="345">
        <v>-10.02</v>
      </c>
    </row>
    <row r="563" spans="1:18" x14ac:dyDescent="0.2">
      <c r="A563" s="344" t="s">
        <v>752</v>
      </c>
      <c r="B563" t="s">
        <v>827</v>
      </c>
      <c r="C563" t="s">
        <v>823</v>
      </c>
      <c r="D563" t="s">
        <v>746</v>
      </c>
      <c r="E563" t="s">
        <v>829</v>
      </c>
      <c r="F563" t="s">
        <v>803</v>
      </c>
      <c r="G563" t="s">
        <v>830</v>
      </c>
      <c r="H563" t="s">
        <v>831</v>
      </c>
      <c r="I563" t="s">
        <v>722</v>
      </c>
      <c r="J563" t="s">
        <v>721</v>
      </c>
      <c r="K563"/>
      <c r="L563"/>
      <c r="M563" t="s">
        <v>761</v>
      </c>
      <c r="N563" t="s">
        <v>762</v>
      </c>
      <c r="O563"/>
      <c r="P563" t="e">
        <f>VLOOKUP(N563,#REF!,2,FALSE)</f>
        <v>#REF!</v>
      </c>
      <c r="Q563" t="s">
        <v>858</v>
      </c>
      <c r="R563" s="345">
        <v>0</v>
      </c>
    </row>
    <row r="564" spans="1:18" x14ac:dyDescent="0.2">
      <c r="A564" s="344" t="s">
        <v>753</v>
      </c>
      <c r="B564" t="s">
        <v>827</v>
      </c>
      <c r="C564" t="s">
        <v>823</v>
      </c>
      <c r="D564" t="s">
        <v>746</v>
      </c>
      <c r="E564" t="s">
        <v>829</v>
      </c>
      <c r="F564" t="s">
        <v>803</v>
      </c>
      <c r="G564" t="s">
        <v>830</v>
      </c>
      <c r="H564" t="s">
        <v>831</v>
      </c>
      <c r="I564" t="s">
        <v>722</v>
      </c>
      <c r="J564" t="s">
        <v>721</v>
      </c>
      <c r="K564"/>
      <c r="L564"/>
      <c r="M564" t="s">
        <v>761</v>
      </c>
      <c r="N564" t="s">
        <v>762</v>
      </c>
      <c r="O564"/>
      <c r="P564" t="e">
        <f>VLOOKUP(N564,#REF!,2,FALSE)</f>
        <v>#REF!</v>
      </c>
      <c r="Q564" t="s">
        <v>858</v>
      </c>
      <c r="R564" s="345">
        <v>993.95</v>
      </c>
    </row>
    <row r="565" spans="1:18" x14ac:dyDescent="0.2">
      <c r="A565" s="344" t="s">
        <v>749</v>
      </c>
      <c r="B565" t="s">
        <v>827</v>
      </c>
      <c r="C565" t="s">
        <v>823</v>
      </c>
      <c r="D565" t="s">
        <v>746</v>
      </c>
      <c r="E565" t="s">
        <v>829</v>
      </c>
      <c r="F565" t="s">
        <v>803</v>
      </c>
      <c r="G565" t="s">
        <v>830</v>
      </c>
      <c r="H565" t="s">
        <v>831</v>
      </c>
      <c r="I565" t="s">
        <v>722</v>
      </c>
      <c r="J565" t="s">
        <v>721</v>
      </c>
      <c r="K565"/>
      <c r="L565"/>
      <c r="M565" t="s">
        <v>761</v>
      </c>
      <c r="N565" t="s">
        <v>762</v>
      </c>
      <c r="O565"/>
      <c r="P565" t="e">
        <f>VLOOKUP(N565,#REF!,2,FALSE)</f>
        <v>#REF!</v>
      </c>
      <c r="Q565" t="s">
        <v>859</v>
      </c>
      <c r="R565" s="345">
        <v>-990.54</v>
      </c>
    </row>
    <row r="566" spans="1:18" x14ac:dyDescent="0.2">
      <c r="A566" s="344" t="s">
        <v>752</v>
      </c>
      <c r="B566" t="s">
        <v>827</v>
      </c>
      <c r="C566" t="s">
        <v>823</v>
      </c>
      <c r="D566" t="s">
        <v>746</v>
      </c>
      <c r="E566" t="s">
        <v>829</v>
      </c>
      <c r="F566" t="s">
        <v>803</v>
      </c>
      <c r="G566" t="s">
        <v>830</v>
      </c>
      <c r="H566" t="s">
        <v>831</v>
      </c>
      <c r="I566" t="s">
        <v>722</v>
      </c>
      <c r="J566" t="s">
        <v>721</v>
      </c>
      <c r="K566"/>
      <c r="L566"/>
      <c r="M566" t="s">
        <v>761</v>
      </c>
      <c r="N566" t="s">
        <v>762</v>
      </c>
      <c r="O566"/>
      <c r="P566" t="e">
        <f>VLOOKUP(N566,#REF!,2,FALSE)</f>
        <v>#REF!</v>
      </c>
      <c r="Q566" t="s">
        <v>859</v>
      </c>
      <c r="R566" s="345">
        <v>-990.54</v>
      </c>
    </row>
    <row r="567" spans="1:18" x14ac:dyDescent="0.2">
      <c r="A567" s="344" t="s">
        <v>753</v>
      </c>
      <c r="B567" t="s">
        <v>827</v>
      </c>
      <c r="C567" t="s">
        <v>823</v>
      </c>
      <c r="D567" t="s">
        <v>746</v>
      </c>
      <c r="E567" t="s">
        <v>829</v>
      </c>
      <c r="F567" t="s">
        <v>803</v>
      </c>
      <c r="G567" t="s">
        <v>830</v>
      </c>
      <c r="H567" t="s">
        <v>831</v>
      </c>
      <c r="I567" t="s">
        <v>722</v>
      </c>
      <c r="J567" t="s">
        <v>721</v>
      </c>
      <c r="K567"/>
      <c r="L567"/>
      <c r="M567" t="s">
        <v>761</v>
      </c>
      <c r="N567" t="s">
        <v>762</v>
      </c>
      <c r="O567"/>
      <c r="P567" t="e">
        <f>VLOOKUP(N567,#REF!,2,FALSE)</f>
        <v>#REF!</v>
      </c>
      <c r="Q567" t="s">
        <v>859</v>
      </c>
      <c r="R567" s="345">
        <v>-1009.28</v>
      </c>
    </row>
    <row r="568" spans="1:18" x14ac:dyDescent="0.2">
      <c r="A568" s="344" t="s">
        <v>754</v>
      </c>
      <c r="B568" t="s">
        <v>827</v>
      </c>
      <c r="C568" t="s">
        <v>823</v>
      </c>
      <c r="D568" t="s">
        <v>746</v>
      </c>
      <c r="E568" t="s">
        <v>829</v>
      </c>
      <c r="F568" t="s">
        <v>803</v>
      </c>
      <c r="G568" t="s">
        <v>830</v>
      </c>
      <c r="H568" t="s">
        <v>831</v>
      </c>
      <c r="I568" t="s">
        <v>722</v>
      </c>
      <c r="J568" t="s">
        <v>721</v>
      </c>
      <c r="K568"/>
      <c r="L568"/>
      <c r="M568" t="s">
        <v>761</v>
      </c>
      <c r="N568" t="s">
        <v>762</v>
      </c>
      <c r="O568"/>
      <c r="P568" t="e">
        <f>VLOOKUP(N568,#REF!,2,FALSE)</f>
        <v>#REF!</v>
      </c>
      <c r="Q568" t="s">
        <v>859</v>
      </c>
      <c r="R568" s="345">
        <v>-992.68</v>
      </c>
    </row>
    <row r="569" spans="1:18" x14ac:dyDescent="0.2">
      <c r="A569" s="344" t="s">
        <v>755</v>
      </c>
      <c r="B569" t="s">
        <v>827</v>
      </c>
      <c r="C569" t="s">
        <v>823</v>
      </c>
      <c r="D569" t="s">
        <v>746</v>
      </c>
      <c r="E569" t="s">
        <v>829</v>
      </c>
      <c r="F569" t="s">
        <v>803</v>
      </c>
      <c r="G569" t="s">
        <v>830</v>
      </c>
      <c r="H569" t="s">
        <v>831</v>
      </c>
      <c r="I569" t="s">
        <v>722</v>
      </c>
      <c r="J569" t="s">
        <v>721</v>
      </c>
      <c r="K569"/>
      <c r="L569"/>
      <c r="M569" t="s">
        <v>761</v>
      </c>
      <c r="N569" t="s">
        <v>762</v>
      </c>
      <c r="O569"/>
      <c r="P569" t="e">
        <f>VLOOKUP(N569,#REF!,2,FALSE)</f>
        <v>#REF!</v>
      </c>
      <c r="Q569" t="s">
        <v>859</v>
      </c>
      <c r="R569" s="345">
        <v>-992.68</v>
      </c>
    </row>
    <row r="570" spans="1:18" x14ac:dyDescent="0.2">
      <c r="A570" s="344" t="s">
        <v>756</v>
      </c>
      <c r="B570" t="s">
        <v>827</v>
      </c>
      <c r="C570" t="s">
        <v>823</v>
      </c>
      <c r="D570" t="s">
        <v>746</v>
      </c>
      <c r="E570" t="s">
        <v>829</v>
      </c>
      <c r="F570" t="s">
        <v>803</v>
      </c>
      <c r="G570" t="s">
        <v>830</v>
      </c>
      <c r="H570" t="s">
        <v>831</v>
      </c>
      <c r="I570" t="s">
        <v>722</v>
      </c>
      <c r="J570" t="s">
        <v>721</v>
      </c>
      <c r="K570"/>
      <c r="L570"/>
      <c r="M570" t="s">
        <v>761</v>
      </c>
      <c r="N570" t="s">
        <v>762</v>
      </c>
      <c r="O570"/>
      <c r="P570" t="e">
        <f>VLOOKUP(N570,#REF!,2,FALSE)</f>
        <v>#REF!</v>
      </c>
      <c r="Q570" t="s">
        <v>859</v>
      </c>
      <c r="R570" s="345">
        <v>-992.68</v>
      </c>
    </row>
    <row r="571" spans="1:18" x14ac:dyDescent="0.2">
      <c r="A571" s="344" t="s">
        <v>757</v>
      </c>
      <c r="B571" t="s">
        <v>827</v>
      </c>
      <c r="C571" t="s">
        <v>823</v>
      </c>
      <c r="D571" t="s">
        <v>746</v>
      </c>
      <c r="E571" t="s">
        <v>829</v>
      </c>
      <c r="F571" t="s">
        <v>803</v>
      </c>
      <c r="G571" t="s">
        <v>830</v>
      </c>
      <c r="H571" t="s">
        <v>831</v>
      </c>
      <c r="I571" t="s">
        <v>722</v>
      </c>
      <c r="J571" t="s">
        <v>721</v>
      </c>
      <c r="K571"/>
      <c r="L571"/>
      <c r="M571" t="s">
        <v>761</v>
      </c>
      <c r="N571" t="s">
        <v>762</v>
      </c>
      <c r="O571"/>
      <c r="P571" t="e">
        <f>VLOOKUP(N571,#REF!,2,FALSE)</f>
        <v>#REF!</v>
      </c>
      <c r="Q571" t="s">
        <v>859</v>
      </c>
      <c r="R571" s="345">
        <v>-994.82</v>
      </c>
    </row>
    <row r="572" spans="1:18" x14ac:dyDescent="0.2">
      <c r="A572" s="344" t="s">
        <v>758</v>
      </c>
      <c r="B572" t="s">
        <v>827</v>
      </c>
      <c r="C572" t="s">
        <v>823</v>
      </c>
      <c r="D572" t="s">
        <v>746</v>
      </c>
      <c r="E572" t="s">
        <v>829</v>
      </c>
      <c r="F572" t="s">
        <v>803</v>
      </c>
      <c r="G572" t="s">
        <v>830</v>
      </c>
      <c r="H572" t="s">
        <v>831</v>
      </c>
      <c r="I572" t="s">
        <v>722</v>
      </c>
      <c r="J572" t="s">
        <v>721</v>
      </c>
      <c r="K572"/>
      <c r="L572"/>
      <c r="M572" t="s">
        <v>761</v>
      </c>
      <c r="N572" t="s">
        <v>762</v>
      </c>
      <c r="O572"/>
      <c r="P572" t="e">
        <f>VLOOKUP(N572,#REF!,2,FALSE)</f>
        <v>#REF!</v>
      </c>
      <c r="Q572" t="s">
        <v>859</v>
      </c>
      <c r="R572" s="345">
        <v>-994.82</v>
      </c>
    </row>
    <row r="573" spans="1:18" x14ac:dyDescent="0.2">
      <c r="A573" s="344" t="s">
        <v>759</v>
      </c>
      <c r="B573" t="s">
        <v>827</v>
      </c>
      <c r="C573" t="s">
        <v>823</v>
      </c>
      <c r="D573" t="s">
        <v>746</v>
      </c>
      <c r="E573" t="s">
        <v>829</v>
      </c>
      <c r="F573" t="s">
        <v>803</v>
      </c>
      <c r="G573" t="s">
        <v>830</v>
      </c>
      <c r="H573" t="s">
        <v>831</v>
      </c>
      <c r="I573" t="s">
        <v>722</v>
      </c>
      <c r="J573" t="s">
        <v>721</v>
      </c>
      <c r="K573"/>
      <c r="L573"/>
      <c r="M573" t="s">
        <v>761</v>
      </c>
      <c r="N573" t="s">
        <v>762</v>
      </c>
      <c r="O573"/>
      <c r="P573" t="e">
        <f>VLOOKUP(N573,#REF!,2,FALSE)</f>
        <v>#REF!</v>
      </c>
      <c r="Q573" t="s">
        <v>859</v>
      </c>
      <c r="R573" s="345">
        <v>-994.82</v>
      </c>
    </row>
    <row r="574" spans="1:18" x14ac:dyDescent="0.2">
      <c r="A574" s="344" t="s">
        <v>743</v>
      </c>
      <c r="B574" t="s">
        <v>827</v>
      </c>
      <c r="C574" t="s">
        <v>823</v>
      </c>
      <c r="D574" t="s">
        <v>746</v>
      </c>
      <c r="E574" t="s">
        <v>829</v>
      </c>
      <c r="F574" t="s">
        <v>803</v>
      </c>
      <c r="G574" t="s">
        <v>830</v>
      </c>
      <c r="H574" t="s">
        <v>831</v>
      </c>
      <c r="I574" t="s">
        <v>722</v>
      </c>
      <c r="J574" t="s">
        <v>721</v>
      </c>
      <c r="K574"/>
      <c r="L574"/>
      <c r="M574" t="s">
        <v>761</v>
      </c>
      <c r="N574" t="s">
        <v>762</v>
      </c>
      <c r="O574"/>
      <c r="P574" t="e">
        <f>VLOOKUP(N574,#REF!,2,FALSE)</f>
        <v>#REF!</v>
      </c>
      <c r="Q574" t="s">
        <v>859</v>
      </c>
      <c r="R574" s="345">
        <v>-1004.1</v>
      </c>
    </row>
    <row r="575" spans="1:18" x14ac:dyDescent="0.2">
      <c r="A575" s="344" t="s">
        <v>760</v>
      </c>
      <c r="B575" t="s">
        <v>827</v>
      </c>
      <c r="C575" t="s">
        <v>823</v>
      </c>
      <c r="D575" t="s">
        <v>746</v>
      </c>
      <c r="E575" t="s">
        <v>829</v>
      </c>
      <c r="F575" t="s">
        <v>803</v>
      </c>
      <c r="G575" t="s">
        <v>830</v>
      </c>
      <c r="H575" t="s">
        <v>831</v>
      </c>
      <c r="I575" t="s">
        <v>722</v>
      </c>
      <c r="J575" t="s">
        <v>721</v>
      </c>
      <c r="K575"/>
      <c r="L575"/>
      <c r="M575" t="s">
        <v>761</v>
      </c>
      <c r="N575" t="s">
        <v>762</v>
      </c>
      <c r="O575"/>
      <c r="P575" t="e">
        <f>VLOOKUP(N575,#REF!,2,FALSE)</f>
        <v>#REF!</v>
      </c>
      <c r="Q575" t="s">
        <v>859</v>
      </c>
      <c r="R575" s="345">
        <v>-1004.1</v>
      </c>
    </row>
    <row r="576" spans="1:18" x14ac:dyDescent="0.2">
      <c r="A576" s="344" t="s">
        <v>745</v>
      </c>
      <c r="B576" t="s">
        <v>827</v>
      </c>
      <c r="C576" t="s">
        <v>823</v>
      </c>
      <c r="D576" t="s">
        <v>746</v>
      </c>
      <c r="E576" t="s">
        <v>829</v>
      </c>
      <c r="F576" t="s">
        <v>803</v>
      </c>
      <c r="G576" t="s">
        <v>830</v>
      </c>
      <c r="H576" t="s">
        <v>831</v>
      </c>
      <c r="I576" t="s">
        <v>722</v>
      </c>
      <c r="J576" t="s">
        <v>721</v>
      </c>
      <c r="K576"/>
      <c r="L576"/>
      <c r="M576" t="s">
        <v>761</v>
      </c>
      <c r="N576" t="s">
        <v>762</v>
      </c>
      <c r="O576"/>
      <c r="P576" t="e">
        <f>VLOOKUP(N576,#REF!,2,FALSE)</f>
        <v>#REF!</v>
      </c>
      <c r="Q576" t="s">
        <v>859</v>
      </c>
      <c r="R576" s="345">
        <v>-1004.1</v>
      </c>
    </row>
    <row r="577" spans="1:18" x14ac:dyDescent="0.2">
      <c r="A577" s="344" t="s">
        <v>759</v>
      </c>
      <c r="B577" t="s">
        <v>827</v>
      </c>
      <c r="C577" t="s">
        <v>823</v>
      </c>
      <c r="D577" t="s">
        <v>746</v>
      </c>
      <c r="E577" t="s">
        <v>829</v>
      </c>
      <c r="F577" t="s">
        <v>803</v>
      </c>
      <c r="G577" t="s">
        <v>830</v>
      </c>
      <c r="H577" t="s">
        <v>831</v>
      </c>
      <c r="I577" t="s">
        <v>722</v>
      </c>
      <c r="J577" t="s">
        <v>721</v>
      </c>
      <c r="K577"/>
      <c r="L577"/>
      <c r="M577" t="s">
        <v>761</v>
      </c>
      <c r="N577" t="s">
        <v>762</v>
      </c>
      <c r="O577"/>
      <c r="P577" t="e">
        <f>VLOOKUP(N577,#REF!,2,FALSE)</f>
        <v>#REF!</v>
      </c>
      <c r="Q577" t="s">
        <v>886</v>
      </c>
      <c r="R577" s="345">
        <v>-1989.64</v>
      </c>
    </row>
    <row r="578" spans="1:18" x14ac:dyDescent="0.2">
      <c r="A578" s="344" t="s">
        <v>743</v>
      </c>
      <c r="B578" t="s">
        <v>827</v>
      </c>
      <c r="C578" t="s">
        <v>823</v>
      </c>
      <c r="D578" t="s">
        <v>746</v>
      </c>
      <c r="E578" t="s">
        <v>829</v>
      </c>
      <c r="F578" t="s">
        <v>803</v>
      </c>
      <c r="G578" t="s">
        <v>830</v>
      </c>
      <c r="H578" t="s">
        <v>831</v>
      </c>
      <c r="I578" t="s">
        <v>722</v>
      </c>
      <c r="J578" t="s">
        <v>721</v>
      </c>
      <c r="K578"/>
      <c r="L578"/>
      <c r="M578" t="s">
        <v>761</v>
      </c>
      <c r="N578" t="s">
        <v>762</v>
      </c>
      <c r="O578"/>
      <c r="P578" t="e">
        <f>VLOOKUP(N578,#REF!,2,FALSE)</f>
        <v>#REF!</v>
      </c>
      <c r="Q578" t="s">
        <v>886</v>
      </c>
      <c r="R578" s="345">
        <v>994.82</v>
      </c>
    </row>
    <row r="579" spans="1:18" x14ac:dyDescent="0.2">
      <c r="A579" s="344" t="s">
        <v>749</v>
      </c>
      <c r="B579" t="s">
        <v>827</v>
      </c>
      <c r="C579" t="s">
        <v>823</v>
      </c>
      <c r="D579" t="s">
        <v>746</v>
      </c>
      <c r="E579" t="s">
        <v>829</v>
      </c>
      <c r="F579" t="s">
        <v>803</v>
      </c>
      <c r="G579" t="s">
        <v>830</v>
      </c>
      <c r="H579" t="s">
        <v>831</v>
      </c>
      <c r="I579" t="s">
        <v>722</v>
      </c>
      <c r="J579" t="s">
        <v>721</v>
      </c>
      <c r="K579"/>
      <c r="L579"/>
      <c r="M579" t="s">
        <v>761</v>
      </c>
      <c r="N579" t="s">
        <v>762</v>
      </c>
      <c r="O579"/>
      <c r="P579" t="e">
        <f>VLOOKUP(N579,#REF!,2,FALSE)</f>
        <v>#REF!</v>
      </c>
      <c r="Q579" t="s">
        <v>877</v>
      </c>
      <c r="R579" s="345">
        <v>-990.54</v>
      </c>
    </row>
    <row r="580" spans="1:18" x14ac:dyDescent="0.2">
      <c r="A580" s="344" t="s">
        <v>752</v>
      </c>
      <c r="B580" t="s">
        <v>827</v>
      </c>
      <c r="C580" t="s">
        <v>823</v>
      </c>
      <c r="D580" t="s">
        <v>746</v>
      </c>
      <c r="E580" t="s">
        <v>829</v>
      </c>
      <c r="F580" t="s">
        <v>803</v>
      </c>
      <c r="G580" t="s">
        <v>830</v>
      </c>
      <c r="H580" t="s">
        <v>831</v>
      </c>
      <c r="I580" t="s">
        <v>722</v>
      </c>
      <c r="J580" t="s">
        <v>721</v>
      </c>
      <c r="K580"/>
      <c r="L580"/>
      <c r="M580" t="s">
        <v>761</v>
      </c>
      <c r="N580" t="s">
        <v>762</v>
      </c>
      <c r="O580"/>
      <c r="P580" t="e">
        <f>VLOOKUP(N580,#REF!,2,FALSE)</f>
        <v>#REF!</v>
      </c>
      <c r="Q580" t="s">
        <v>877</v>
      </c>
      <c r="R580" s="345">
        <v>-990.54</v>
      </c>
    </row>
    <row r="581" spans="1:18" x14ac:dyDescent="0.2">
      <c r="A581" s="344" t="s">
        <v>753</v>
      </c>
      <c r="B581" t="s">
        <v>827</v>
      </c>
      <c r="C581" t="s">
        <v>823</v>
      </c>
      <c r="D581" t="s">
        <v>746</v>
      </c>
      <c r="E581" t="s">
        <v>829</v>
      </c>
      <c r="F581" t="s">
        <v>803</v>
      </c>
      <c r="G581" t="s">
        <v>830</v>
      </c>
      <c r="H581" t="s">
        <v>831</v>
      </c>
      <c r="I581" t="s">
        <v>722</v>
      </c>
      <c r="J581" t="s">
        <v>721</v>
      </c>
      <c r="K581"/>
      <c r="L581"/>
      <c r="M581" t="s">
        <v>761</v>
      </c>
      <c r="N581" t="s">
        <v>762</v>
      </c>
      <c r="O581"/>
      <c r="P581" t="e">
        <f>VLOOKUP(N581,#REF!,2,FALSE)</f>
        <v>#REF!</v>
      </c>
      <c r="Q581" t="s">
        <v>877</v>
      </c>
      <c r="R581" s="345">
        <v>-990.54</v>
      </c>
    </row>
    <row r="582" spans="1:18" x14ac:dyDescent="0.2">
      <c r="A582" s="344" t="s">
        <v>754</v>
      </c>
      <c r="B582" t="s">
        <v>827</v>
      </c>
      <c r="C582" t="s">
        <v>823</v>
      </c>
      <c r="D582" t="s">
        <v>746</v>
      </c>
      <c r="E582" t="s">
        <v>829</v>
      </c>
      <c r="F582" t="s">
        <v>803</v>
      </c>
      <c r="G582" t="s">
        <v>830</v>
      </c>
      <c r="H582" t="s">
        <v>831</v>
      </c>
      <c r="I582" t="s">
        <v>722</v>
      </c>
      <c r="J582" t="s">
        <v>721</v>
      </c>
      <c r="K582"/>
      <c r="L582"/>
      <c r="M582" t="s">
        <v>761</v>
      </c>
      <c r="N582" t="s">
        <v>762</v>
      </c>
      <c r="O582"/>
      <c r="P582" t="e">
        <f>VLOOKUP(N582,#REF!,2,FALSE)</f>
        <v>#REF!</v>
      </c>
      <c r="Q582" t="s">
        <v>877</v>
      </c>
      <c r="R582" s="345">
        <v>-992.68</v>
      </c>
    </row>
    <row r="583" spans="1:18" x14ac:dyDescent="0.2">
      <c r="A583" s="344" t="s">
        <v>755</v>
      </c>
      <c r="B583" t="s">
        <v>827</v>
      </c>
      <c r="C583" t="s">
        <v>823</v>
      </c>
      <c r="D583" t="s">
        <v>746</v>
      </c>
      <c r="E583" t="s">
        <v>829</v>
      </c>
      <c r="F583" t="s">
        <v>803</v>
      </c>
      <c r="G583" t="s">
        <v>830</v>
      </c>
      <c r="H583" t="s">
        <v>831</v>
      </c>
      <c r="I583" t="s">
        <v>722</v>
      </c>
      <c r="J583" t="s">
        <v>721</v>
      </c>
      <c r="K583"/>
      <c r="L583"/>
      <c r="M583" t="s">
        <v>761</v>
      </c>
      <c r="N583" t="s">
        <v>762</v>
      </c>
      <c r="O583"/>
      <c r="P583" t="e">
        <f>VLOOKUP(N583,#REF!,2,FALSE)</f>
        <v>#REF!</v>
      </c>
      <c r="Q583" t="s">
        <v>877</v>
      </c>
      <c r="R583" s="345">
        <v>-992.68</v>
      </c>
    </row>
    <row r="584" spans="1:18" x14ac:dyDescent="0.2">
      <c r="A584" s="344" t="s">
        <v>756</v>
      </c>
      <c r="B584" t="s">
        <v>827</v>
      </c>
      <c r="C584" t="s">
        <v>823</v>
      </c>
      <c r="D584" t="s">
        <v>746</v>
      </c>
      <c r="E584" t="s">
        <v>829</v>
      </c>
      <c r="F584" t="s">
        <v>803</v>
      </c>
      <c r="G584" t="s">
        <v>830</v>
      </c>
      <c r="H584" t="s">
        <v>831</v>
      </c>
      <c r="I584" t="s">
        <v>722</v>
      </c>
      <c r="J584" t="s">
        <v>721</v>
      </c>
      <c r="K584"/>
      <c r="L584"/>
      <c r="M584" t="s">
        <v>761</v>
      </c>
      <c r="N584" t="s">
        <v>762</v>
      </c>
      <c r="O584"/>
      <c r="P584" t="e">
        <f>VLOOKUP(N584,#REF!,2,FALSE)</f>
        <v>#REF!</v>
      </c>
      <c r="Q584" t="s">
        <v>877</v>
      </c>
      <c r="R584" s="345">
        <v>-992.68</v>
      </c>
    </row>
    <row r="585" spans="1:18" x14ac:dyDescent="0.2">
      <c r="A585" s="344" t="s">
        <v>757</v>
      </c>
      <c r="B585" t="s">
        <v>827</v>
      </c>
      <c r="C585" t="s">
        <v>823</v>
      </c>
      <c r="D585" t="s">
        <v>746</v>
      </c>
      <c r="E585" t="s">
        <v>829</v>
      </c>
      <c r="F585" t="s">
        <v>803</v>
      </c>
      <c r="G585" t="s">
        <v>830</v>
      </c>
      <c r="H585" t="s">
        <v>831</v>
      </c>
      <c r="I585" t="s">
        <v>722</v>
      </c>
      <c r="J585" t="s">
        <v>721</v>
      </c>
      <c r="K585"/>
      <c r="L585"/>
      <c r="M585" t="s">
        <v>761</v>
      </c>
      <c r="N585" t="s">
        <v>762</v>
      </c>
      <c r="O585"/>
      <c r="P585" t="e">
        <f>VLOOKUP(N585,#REF!,2,FALSE)</f>
        <v>#REF!</v>
      </c>
      <c r="Q585" t="s">
        <v>877</v>
      </c>
      <c r="R585" s="345">
        <v>-994.83</v>
      </c>
    </row>
    <row r="586" spans="1:18" x14ac:dyDescent="0.2">
      <c r="A586" s="344" t="s">
        <v>758</v>
      </c>
      <c r="B586" t="s">
        <v>827</v>
      </c>
      <c r="C586" t="s">
        <v>823</v>
      </c>
      <c r="D586" t="s">
        <v>746</v>
      </c>
      <c r="E586" t="s">
        <v>829</v>
      </c>
      <c r="F586" t="s">
        <v>803</v>
      </c>
      <c r="G586" t="s">
        <v>830</v>
      </c>
      <c r="H586" t="s">
        <v>831</v>
      </c>
      <c r="I586" t="s">
        <v>722</v>
      </c>
      <c r="J586" t="s">
        <v>721</v>
      </c>
      <c r="K586"/>
      <c r="L586"/>
      <c r="M586" t="s">
        <v>761</v>
      </c>
      <c r="N586" t="s">
        <v>762</v>
      </c>
      <c r="O586"/>
      <c r="P586" t="e">
        <f>VLOOKUP(N586,#REF!,2,FALSE)</f>
        <v>#REF!</v>
      </c>
      <c r="Q586" t="s">
        <v>877</v>
      </c>
      <c r="R586" s="345">
        <v>-994.83</v>
      </c>
    </row>
    <row r="587" spans="1:18" x14ac:dyDescent="0.2">
      <c r="A587" s="344" t="s">
        <v>759</v>
      </c>
      <c r="B587" t="s">
        <v>827</v>
      </c>
      <c r="C587" t="s">
        <v>823</v>
      </c>
      <c r="D587" t="s">
        <v>746</v>
      </c>
      <c r="E587" t="s">
        <v>829</v>
      </c>
      <c r="F587" t="s">
        <v>803</v>
      </c>
      <c r="G587" t="s">
        <v>830</v>
      </c>
      <c r="H587" t="s">
        <v>831</v>
      </c>
      <c r="I587" t="s">
        <v>722</v>
      </c>
      <c r="J587" t="s">
        <v>721</v>
      </c>
      <c r="K587"/>
      <c r="L587"/>
      <c r="M587" t="s">
        <v>761</v>
      </c>
      <c r="N587" t="s">
        <v>762</v>
      </c>
      <c r="O587"/>
      <c r="P587" t="e">
        <f>VLOOKUP(N587,#REF!,2,FALSE)</f>
        <v>#REF!</v>
      </c>
      <c r="Q587" t="s">
        <v>877</v>
      </c>
      <c r="R587" s="345">
        <v>-439.53</v>
      </c>
    </row>
    <row r="588" spans="1:18" x14ac:dyDescent="0.2">
      <c r="A588" s="344" t="s">
        <v>743</v>
      </c>
      <c r="B588" t="s">
        <v>827</v>
      </c>
      <c r="C588" t="s">
        <v>823</v>
      </c>
      <c r="D588" t="s">
        <v>746</v>
      </c>
      <c r="E588" t="s">
        <v>829</v>
      </c>
      <c r="F588" t="s">
        <v>803</v>
      </c>
      <c r="G588" t="s">
        <v>830</v>
      </c>
      <c r="H588" t="s">
        <v>831</v>
      </c>
      <c r="I588" t="s">
        <v>722</v>
      </c>
      <c r="J588" t="s">
        <v>721</v>
      </c>
      <c r="K588"/>
      <c r="L588"/>
      <c r="M588" t="s">
        <v>761</v>
      </c>
      <c r="N588" t="s">
        <v>762</v>
      </c>
      <c r="O588"/>
      <c r="P588" t="e">
        <f>VLOOKUP(N588,#REF!,2,FALSE)</f>
        <v>#REF!</v>
      </c>
      <c r="Q588" t="s">
        <v>877</v>
      </c>
      <c r="R588" s="345">
        <v>-990.54</v>
      </c>
    </row>
    <row r="589" spans="1:18" x14ac:dyDescent="0.2">
      <c r="A589" s="344" t="s">
        <v>760</v>
      </c>
      <c r="B589" t="s">
        <v>827</v>
      </c>
      <c r="C589" t="s">
        <v>823</v>
      </c>
      <c r="D589" t="s">
        <v>746</v>
      </c>
      <c r="E589" t="s">
        <v>829</v>
      </c>
      <c r="F589" t="s">
        <v>803</v>
      </c>
      <c r="G589" t="s">
        <v>830</v>
      </c>
      <c r="H589" t="s">
        <v>831</v>
      </c>
      <c r="I589" t="s">
        <v>722</v>
      </c>
      <c r="J589" t="s">
        <v>721</v>
      </c>
      <c r="K589"/>
      <c r="L589"/>
      <c r="M589" t="s">
        <v>761</v>
      </c>
      <c r="N589" t="s">
        <v>762</v>
      </c>
      <c r="O589"/>
      <c r="P589" t="e">
        <f>VLOOKUP(N589,#REF!,2,FALSE)</f>
        <v>#REF!</v>
      </c>
      <c r="Q589" t="s">
        <v>877</v>
      </c>
      <c r="R589" s="345">
        <v>-990.54</v>
      </c>
    </row>
    <row r="590" spans="1:18" x14ac:dyDescent="0.2">
      <c r="A590" s="344" t="s">
        <v>745</v>
      </c>
      <c r="B590" t="s">
        <v>827</v>
      </c>
      <c r="C590" t="s">
        <v>823</v>
      </c>
      <c r="D590" t="s">
        <v>746</v>
      </c>
      <c r="E590" t="s">
        <v>829</v>
      </c>
      <c r="F590" t="s">
        <v>803</v>
      </c>
      <c r="G590" t="s">
        <v>830</v>
      </c>
      <c r="H590" t="s">
        <v>831</v>
      </c>
      <c r="I590" t="s">
        <v>722</v>
      </c>
      <c r="J590" t="s">
        <v>721</v>
      </c>
      <c r="K590"/>
      <c r="L590"/>
      <c r="M590" t="s">
        <v>761</v>
      </c>
      <c r="N590" t="s">
        <v>762</v>
      </c>
      <c r="O590"/>
      <c r="P590" t="e">
        <f>VLOOKUP(N590,#REF!,2,FALSE)</f>
        <v>#REF!</v>
      </c>
      <c r="Q590" t="s">
        <v>877</v>
      </c>
      <c r="R590" s="345">
        <v>-990.54</v>
      </c>
    </row>
    <row r="591" spans="1:18" x14ac:dyDescent="0.2">
      <c r="A591" s="344" t="s">
        <v>749</v>
      </c>
      <c r="B591" t="s">
        <v>827</v>
      </c>
      <c r="C591" t="s">
        <v>823</v>
      </c>
      <c r="D591" t="s">
        <v>746</v>
      </c>
      <c r="E591" t="s">
        <v>829</v>
      </c>
      <c r="F591" t="s">
        <v>803</v>
      </c>
      <c r="G591" t="s">
        <v>830</v>
      </c>
      <c r="H591" t="s">
        <v>831</v>
      </c>
      <c r="I591" t="s">
        <v>722</v>
      </c>
      <c r="J591" t="s">
        <v>721</v>
      </c>
      <c r="K591"/>
      <c r="L591"/>
      <c r="M591" t="s">
        <v>761</v>
      </c>
      <c r="N591" t="s">
        <v>762</v>
      </c>
      <c r="O591"/>
      <c r="P591" t="e">
        <f>VLOOKUP(N591,#REF!,2,FALSE)</f>
        <v>#REF!</v>
      </c>
      <c r="Q591" t="s">
        <v>892</v>
      </c>
      <c r="R591" s="345">
        <v>-1971.09</v>
      </c>
    </row>
    <row r="592" spans="1:18" x14ac:dyDescent="0.2">
      <c r="A592" s="344" t="s">
        <v>752</v>
      </c>
      <c r="B592" t="s">
        <v>827</v>
      </c>
      <c r="C592" t="s">
        <v>823</v>
      </c>
      <c r="D592" t="s">
        <v>746</v>
      </c>
      <c r="E592" t="s">
        <v>829</v>
      </c>
      <c r="F592" t="s">
        <v>803</v>
      </c>
      <c r="G592" t="s">
        <v>830</v>
      </c>
      <c r="H592" t="s">
        <v>831</v>
      </c>
      <c r="I592" t="s">
        <v>722</v>
      </c>
      <c r="J592" t="s">
        <v>721</v>
      </c>
      <c r="K592"/>
      <c r="L592"/>
      <c r="M592" t="s">
        <v>761</v>
      </c>
      <c r="N592" t="s">
        <v>762</v>
      </c>
      <c r="O592"/>
      <c r="P592" t="e">
        <f>VLOOKUP(N592,#REF!,2,FALSE)</f>
        <v>#REF!</v>
      </c>
      <c r="Q592" t="s">
        <v>892</v>
      </c>
      <c r="R592" s="345">
        <v>-990.54</v>
      </c>
    </row>
    <row r="593" spans="1:18" x14ac:dyDescent="0.2">
      <c r="A593" s="344" t="s">
        <v>753</v>
      </c>
      <c r="B593" t="s">
        <v>827</v>
      </c>
      <c r="C593" t="s">
        <v>823</v>
      </c>
      <c r="D593" t="s">
        <v>746</v>
      </c>
      <c r="E593" t="s">
        <v>829</v>
      </c>
      <c r="F593" t="s">
        <v>803</v>
      </c>
      <c r="G593" t="s">
        <v>830</v>
      </c>
      <c r="H593" t="s">
        <v>831</v>
      </c>
      <c r="I593" t="s">
        <v>722</v>
      </c>
      <c r="J593" t="s">
        <v>721</v>
      </c>
      <c r="K593"/>
      <c r="L593"/>
      <c r="M593" t="s">
        <v>761</v>
      </c>
      <c r="N593" t="s">
        <v>762</v>
      </c>
      <c r="O593"/>
      <c r="P593" t="e">
        <f>VLOOKUP(N593,#REF!,2,FALSE)</f>
        <v>#REF!</v>
      </c>
      <c r="Q593" t="s">
        <v>892</v>
      </c>
      <c r="R593" s="345">
        <v>-990.54</v>
      </c>
    </row>
    <row r="594" spans="1:18" x14ac:dyDescent="0.2">
      <c r="A594" s="344" t="s">
        <v>754</v>
      </c>
      <c r="B594" t="s">
        <v>827</v>
      </c>
      <c r="C594" t="s">
        <v>823</v>
      </c>
      <c r="D594" t="s">
        <v>746</v>
      </c>
      <c r="E594" t="s">
        <v>829</v>
      </c>
      <c r="F594" t="s">
        <v>803</v>
      </c>
      <c r="G594" t="s">
        <v>830</v>
      </c>
      <c r="H594" t="s">
        <v>831</v>
      </c>
      <c r="I594" t="s">
        <v>722</v>
      </c>
      <c r="J594" t="s">
        <v>721</v>
      </c>
      <c r="K594"/>
      <c r="L594"/>
      <c r="M594" t="s">
        <v>761</v>
      </c>
      <c r="N594" t="s">
        <v>762</v>
      </c>
      <c r="O594"/>
      <c r="P594" t="e">
        <f>VLOOKUP(N594,#REF!,2,FALSE)</f>
        <v>#REF!</v>
      </c>
      <c r="Q594" t="s">
        <v>892</v>
      </c>
      <c r="R594" s="345">
        <v>-992.68</v>
      </c>
    </row>
    <row r="595" spans="1:18" x14ac:dyDescent="0.2">
      <c r="A595" s="344" t="s">
        <v>755</v>
      </c>
      <c r="B595" t="s">
        <v>827</v>
      </c>
      <c r="C595" t="s">
        <v>823</v>
      </c>
      <c r="D595" t="s">
        <v>746</v>
      </c>
      <c r="E595" t="s">
        <v>829</v>
      </c>
      <c r="F595" t="s">
        <v>803</v>
      </c>
      <c r="G595" t="s">
        <v>830</v>
      </c>
      <c r="H595" t="s">
        <v>831</v>
      </c>
      <c r="I595" t="s">
        <v>722</v>
      </c>
      <c r="J595" t="s">
        <v>721</v>
      </c>
      <c r="K595"/>
      <c r="L595"/>
      <c r="M595" t="s">
        <v>761</v>
      </c>
      <c r="N595" t="s">
        <v>762</v>
      </c>
      <c r="O595"/>
      <c r="P595" t="e">
        <f>VLOOKUP(N595,#REF!,2,FALSE)</f>
        <v>#REF!</v>
      </c>
      <c r="Q595" t="s">
        <v>892</v>
      </c>
      <c r="R595" s="345">
        <v>-992.68</v>
      </c>
    </row>
    <row r="596" spans="1:18" x14ac:dyDescent="0.2">
      <c r="A596" s="344" t="s">
        <v>756</v>
      </c>
      <c r="B596" t="s">
        <v>827</v>
      </c>
      <c r="C596" t="s">
        <v>823</v>
      </c>
      <c r="D596" t="s">
        <v>746</v>
      </c>
      <c r="E596" t="s">
        <v>829</v>
      </c>
      <c r="F596" t="s">
        <v>803</v>
      </c>
      <c r="G596" t="s">
        <v>830</v>
      </c>
      <c r="H596" t="s">
        <v>831</v>
      </c>
      <c r="I596" t="s">
        <v>722</v>
      </c>
      <c r="J596" t="s">
        <v>721</v>
      </c>
      <c r="K596"/>
      <c r="L596"/>
      <c r="M596" t="s">
        <v>761</v>
      </c>
      <c r="N596" t="s">
        <v>762</v>
      </c>
      <c r="O596"/>
      <c r="P596" t="e">
        <f>VLOOKUP(N596,#REF!,2,FALSE)</f>
        <v>#REF!</v>
      </c>
      <c r="Q596" t="s">
        <v>892</v>
      </c>
      <c r="R596" s="345">
        <v>-992.68</v>
      </c>
    </row>
    <row r="597" spans="1:18" x14ac:dyDescent="0.2">
      <c r="A597" s="344" t="s">
        <v>757</v>
      </c>
      <c r="B597" t="s">
        <v>827</v>
      </c>
      <c r="C597" t="s">
        <v>823</v>
      </c>
      <c r="D597" t="s">
        <v>746</v>
      </c>
      <c r="E597" t="s">
        <v>829</v>
      </c>
      <c r="F597" t="s">
        <v>803</v>
      </c>
      <c r="G597" t="s">
        <v>830</v>
      </c>
      <c r="H597" t="s">
        <v>831</v>
      </c>
      <c r="I597" t="s">
        <v>722</v>
      </c>
      <c r="J597" t="s">
        <v>721</v>
      </c>
      <c r="K597"/>
      <c r="L597"/>
      <c r="M597" t="s">
        <v>761</v>
      </c>
      <c r="N597" t="s">
        <v>762</v>
      </c>
      <c r="O597"/>
      <c r="P597" t="e">
        <f>VLOOKUP(N597,#REF!,2,FALSE)</f>
        <v>#REF!</v>
      </c>
      <c r="Q597" t="s">
        <v>892</v>
      </c>
      <c r="R597" s="345">
        <v>-994.83</v>
      </c>
    </row>
    <row r="598" spans="1:18" x14ac:dyDescent="0.2">
      <c r="A598" s="344" t="s">
        <v>758</v>
      </c>
      <c r="B598" t="s">
        <v>827</v>
      </c>
      <c r="C598" t="s">
        <v>823</v>
      </c>
      <c r="D598" t="s">
        <v>746</v>
      </c>
      <c r="E598" t="s">
        <v>829</v>
      </c>
      <c r="F598" t="s">
        <v>803</v>
      </c>
      <c r="G598" t="s">
        <v>830</v>
      </c>
      <c r="H598" t="s">
        <v>831</v>
      </c>
      <c r="I598" t="s">
        <v>722</v>
      </c>
      <c r="J598" t="s">
        <v>721</v>
      </c>
      <c r="K598"/>
      <c r="L598"/>
      <c r="M598" t="s">
        <v>761</v>
      </c>
      <c r="N598" t="s">
        <v>762</v>
      </c>
      <c r="O598"/>
      <c r="P598" t="e">
        <f>VLOOKUP(N598,#REF!,2,FALSE)</f>
        <v>#REF!</v>
      </c>
      <c r="Q598" t="s">
        <v>892</v>
      </c>
      <c r="R598" s="345">
        <v>-994.83</v>
      </c>
    </row>
    <row r="599" spans="1:18" x14ac:dyDescent="0.2">
      <c r="A599" s="344" t="s">
        <v>759</v>
      </c>
      <c r="B599" t="s">
        <v>827</v>
      </c>
      <c r="C599" t="s">
        <v>823</v>
      </c>
      <c r="D599" t="s">
        <v>746</v>
      </c>
      <c r="E599" t="s">
        <v>829</v>
      </c>
      <c r="F599" t="s">
        <v>803</v>
      </c>
      <c r="G599" t="s">
        <v>830</v>
      </c>
      <c r="H599" t="s">
        <v>831</v>
      </c>
      <c r="I599" t="s">
        <v>722</v>
      </c>
      <c r="J599" t="s">
        <v>721</v>
      </c>
      <c r="K599"/>
      <c r="L599"/>
      <c r="M599" t="s">
        <v>761</v>
      </c>
      <c r="N599" t="s">
        <v>762</v>
      </c>
      <c r="O599"/>
      <c r="P599" t="e">
        <f>VLOOKUP(N599,#REF!,2,FALSE)</f>
        <v>#REF!</v>
      </c>
      <c r="Q599" t="s">
        <v>892</v>
      </c>
      <c r="R599" s="345">
        <v>-994.83</v>
      </c>
    </row>
    <row r="600" spans="1:18" x14ac:dyDescent="0.2">
      <c r="A600" s="344" t="s">
        <v>743</v>
      </c>
      <c r="B600" t="s">
        <v>827</v>
      </c>
      <c r="C600" t="s">
        <v>823</v>
      </c>
      <c r="D600" t="s">
        <v>746</v>
      </c>
      <c r="E600" t="s">
        <v>829</v>
      </c>
      <c r="F600" t="s">
        <v>803</v>
      </c>
      <c r="G600" t="s">
        <v>830</v>
      </c>
      <c r="H600" t="s">
        <v>831</v>
      </c>
      <c r="I600" t="s">
        <v>722</v>
      </c>
      <c r="J600" t="s">
        <v>721</v>
      </c>
      <c r="K600"/>
      <c r="L600"/>
      <c r="M600" t="s">
        <v>761</v>
      </c>
      <c r="N600" t="s">
        <v>762</v>
      </c>
      <c r="O600"/>
      <c r="P600" t="e">
        <f>VLOOKUP(N600,#REF!,2,FALSE)</f>
        <v>#REF!</v>
      </c>
      <c r="Q600" t="s">
        <v>892</v>
      </c>
      <c r="R600" s="345">
        <v>-1004.1</v>
      </c>
    </row>
    <row r="601" spans="1:18" x14ac:dyDescent="0.2">
      <c r="A601" s="344" t="s">
        <v>760</v>
      </c>
      <c r="B601" t="s">
        <v>827</v>
      </c>
      <c r="C601" t="s">
        <v>823</v>
      </c>
      <c r="D601" t="s">
        <v>746</v>
      </c>
      <c r="E601" t="s">
        <v>829</v>
      </c>
      <c r="F601" t="s">
        <v>803</v>
      </c>
      <c r="G601" t="s">
        <v>830</v>
      </c>
      <c r="H601" t="s">
        <v>831</v>
      </c>
      <c r="I601" t="s">
        <v>722</v>
      </c>
      <c r="J601" t="s">
        <v>721</v>
      </c>
      <c r="K601"/>
      <c r="L601"/>
      <c r="M601" t="s">
        <v>761</v>
      </c>
      <c r="N601" t="s">
        <v>762</v>
      </c>
      <c r="O601"/>
      <c r="P601" t="e">
        <f>VLOOKUP(N601,#REF!,2,FALSE)</f>
        <v>#REF!</v>
      </c>
      <c r="Q601" t="s">
        <v>892</v>
      </c>
      <c r="R601" s="345">
        <v>-1004.1</v>
      </c>
    </row>
    <row r="602" spans="1:18" x14ac:dyDescent="0.2">
      <c r="A602" s="344" t="s">
        <v>745</v>
      </c>
      <c r="B602" t="s">
        <v>827</v>
      </c>
      <c r="C602" t="s">
        <v>823</v>
      </c>
      <c r="D602" t="s">
        <v>746</v>
      </c>
      <c r="E602" t="s">
        <v>829</v>
      </c>
      <c r="F602" t="s">
        <v>803</v>
      </c>
      <c r="G602" t="s">
        <v>830</v>
      </c>
      <c r="H602" t="s">
        <v>831</v>
      </c>
      <c r="I602" t="s">
        <v>722</v>
      </c>
      <c r="J602" t="s">
        <v>721</v>
      </c>
      <c r="K602"/>
      <c r="L602"/>
      <c r="M602" t="s">
        <v>761</v>
      </c>
      <c r="N602" t="s">
        <v>762</v>
      </c>
      <c r="O602"/>
      <c r="P602" t="e">
        <f>VLOOKUP(N602,#REF!,2,FALSE)</f>
        <v>#REF!</v>
      </c>
      <c r="Q602" t="s">
        <v>892</v>
      </c>
      <c r="R602" s="345">
        <v>-1004.1</v>
      </c>
    </row>
    <row r="603" spans="1:18" x14ac:dyDescent="0.2">
      <c r="A603" s="344" t="s">
        <v>749</v>
      </c>
      <c r="B603" t="s">
        <v>827</v>
      </c>
      <c r="C603" t="s">
        <v>823</v>
      </c>
      <c r="D603" t="s">
        <v>746</v>
      </c>
      <c r="E603" t="s">
        <v>829</v>
      </c>
      <c r="F603" t="s">
        <v>803</v>
      </c>
      <c r="G603" t="s">
        <v>830</v>
      </c>
      <c r="H603" t="s">
        <v>831</v>
      </c>
      <c r="I603" t="s">
        <v>722</v>
      </c>
      <c r="J603" t="s">
        <v>721</v>
      </c>
      <c r="K603"/>
      <c r="L603"/>
      <c r="M603" t="s">
        <v>761</v>
      </c>
      <c r="N603" t="s">
        <v>762</v>
      </c>
      <c r="O603"/>
      <c r="P603" t="e">
        <f>VLOOKUP(N603,#REF!,2,FALSE)</f>
        <v>#REF!</v>
      </c>
      <c r="Q603" t="s">
        <v>879</v>
      </c>
      <c r="R603" s="345">
        <v>-990.54</v>
      </c>
    </row>
    <row r="604" spans="1:18" x14ac:dyDescent="0.2">
      <c r="A604" s="344" t="s">
        <v>752</v>
      </c>
      <c r="B604" t="s">
        <v>827</v>
      </c>
      <c r="C604" t="s">
        <v>823</v>
      </c>
      <c r="D604" t="s">
        <v>746</v>
      </c>
      <c r="E604" t="s">
        <v>829</v>
      </c>
      <c r="F604" t="s">
        <v>803</v>
      </c>
      <c r="G604" t="s">
        <v>830</v>
      </c>
      <c r="H604" t="s">
        <v>831</v>
      </c>
      <c r="I604" t="s">
        <v>722</v>
      </c>
      <c r="J604" t="s">
        <v>721</v>
      </c>
      <c r="K604"/>
      <c r="L604"/>
      <c r="M604" t="s">
        <v>761</v>
      </c>
      <c r="N604" t="s">
        <v>762</v>
      </c>
      <c r="O604"/>
      <c r="P604" t="e">
        <f>VLOOKUP(N604,#REF!,2,FALSE)</f>
        <v>#REF!</v>
      </c>
      <c r="Q604" t="s">
        <v>879</v>
      </c>
      <c r="R604" s="345">
        <v>-990.54</v>
      </c>
    </row>
    <row r="605" spans="1:18" x14ac:dyDescent="0.2">
      <c r="A605" s="344" t="s">
        <v>753</v>
      </c>
      <c r="B605" t="s">
        <v>827</v>
      </c>
      <c r="C605" t="s">
        <v>823</v>
      </c>
      <c r="D605" t="s">
        <v>746</v>
      </c>
      <c r="E605" t="s">
        <v>829</v>
      </c>
      <c r="F605" t="s">
        <v>803</v>
      </c>
      <c r="G605" t="s">
        <v>830</v>
      </c>
      <c r="H605" t="s">
        <v>831</v>
      </c>
      <c r="I605" t="s">
        <v>722</v>
      </c>
      <c r="J605" t="s">
        <v>721</v>
      </c>
      <c r="K605"/>
      <c r="L605"/>
      <c r="M605" t="s">
        <v>761</v>
      </c>
      <c r="N605" t="s">
        <v>762</v>
      </c>
      <c r="O605"/>
      <c r="P605" t="e">
        <f>VLOOKUP(N605,#REF!,2,FALSE)</f>
        <v>#REF!</v>
      </c>
      <c r="Q605" t="s">
        <v>879</v>
      </c>
      <c r="R605" s="345">
        <v>-990.54</v>
      </c>
    </row>
    <row r="606" spans="1:18" x14ac:dyDescent="0.2">
      <c r="A606" s="344" t="s">
        <v>754</v>
      </c>
      <c r="B606" t="s">
        <v>827</v>
      </c>
      <c r="C606" t="s">
        <v>823</v>
      </c>
      <c r="D606" t="s">
        <v>746</v>
      </c>
      <c r="E606" t="s">
        <v>829</v>
      </c>
      <c r="F606" t="s">
        <v>803</v>
      </c>
      <c r="G606" t="s">
        <v>830</v>
      </c>
      <c r="H606" t="s">
        <v>831</v>
      </c>
      <c r="I606" t="s">
        <v>722</v>
      </c>
      <c r="J606" t="s">
        <v>721</v>
      </c>
      <c r="K606"/>
      <c r="L606"/>
      <c r="M606" t="s">
        <v>761</v>
      </c>
      <c r="N606" t="s">
        <v>762</v>
      </c>
      <c r="O606"/>
      <c r="P606" t="e">
        <f>VLOOKUP(N606,#REF!,2,FALSE)</f>
        <v>#REF!</v>
      </c>
      <c r="Q606" t="s">
        <v>879</v>
      </c>
      <c r="R606" s="345">
        <v>-992.68</v>
      </c>
    </row>
    <row r="607" spans="1:18" x14ac:dyDescent="0.2">
      <c r="A607" s="344" t="s">
        <v>755</v>
      </c>
      <c r="B607" t="s">
        <v>827</v>
      </c>
      <c r="C607" t="s">
        <v>823</v>
      </c>
      <c r="D607" t="s">
        <v>746</v>
      </c>
      <c r="E607" t="s">
        <v>829</v>
      </c>
      <c r="F607" t="s">
        <v>803</v>
      </c>
      <c r="G607" t="s">
        <v>830</v>
      </c>
      <c r="H607" t="s">
        <v>831</v>
      </c>
      <c r="I607" t="s">
        <v>722</v>
      </c>
      <c r="J607" t="s">
        <v>721</v>
      </c>
      <c r="K607"/>
      <c r="L607"/>
      <c r="M607" t="s">
        <v>761</v>
      </c>
      <c r="N607" t="s">
        <v>762</v>
      </c>
      <c r="O607"/>
      <c r="P607" t="e">
        <f>VLOOKUP(N607,#REF!,2,FALSE)</f>
        <v>#REF!</v>
      </c>
      <c r="Q607" t="s">
        <v>879</v>
      </c>
      <c r="R607" s="345">
        <v>-992.68</v>
      </c>
    </row>
    <row r="608" spans="1:18" x14ac:dyDescent="0.2">
      <c r="A608" s="344" t="s">
        <v>756</v>
      </c>
      <c r="B608" t="s">
        <v>827</v>
      </c>
      <c r="C608" t="s">
        <v>823</v>
      </c>
      <c r="D608" t="s">
        <v>746</v>
      </c>
      <c r="E608" t="s">
        <v>829</v>
      </c>
      <c r="F608" t="s">
        <v>803</v>
      </c>
      <c r="G608" t="s">
        <v>830</v>
      </c>
      <c r="H608" t="s">
        <v>831</v>
      </c>
      <c r="I608" t="s">
        <v>722</v>
      </c>
      <c r="J608" t="s">
        <v>721</v>
      </c>
      <c r="K608"/>
      <c r="L608"/>
      <c r="M608" t="s">
        <v>761</v>
      </c>
      <c r="N608" t="s">
        <v>762</v>
      </c>
      <c r="O608"/>
      <c r="P608" t="e">
        <f>VLOOKUP(N608,#REF!,2,FALSE)</f>
        <v>#REF!</v>
      </c>
      <c r="Q608" t="s">
        <v>879</v>
      </c>
      <c r="R608" s="345">
        <v>-992.68</v>
      </c>
    </row>
    <row r="609" spans="1:18" x14ac:dyDescent="0.2">
      <c r="A609" s="344" t="s">
        <v>757</v>
      </c>
      <c r="B609" t="s">
        <v>827</v>
      </c>
      <c r="C609" t="s">
        <v>823</v>
      </c>
      <c r="D609" t="s">
        <v>746</v>
      </c>
      <c r="E609" t="s">
        <v>829</v>
      </c>
      <c r="F609" t="s">
        <v>803</v>
      </c>
      <c r="G609" t="s">
        <v>830</v>
      </c>
      <c r="H609" t="s">
        <v>831</v>
      </c>
      <c r="I609" t="s">
        <v>722</v>
      </c>
      <c r="J609" t="s">
        <v>721</v>
      </c>
      <c r="K609"/>
      <c r="L609"/>
      <c r="M609" t="s">
        <v>761</v>
      </c>
      <c r="N609" t="s">
        <v>762</v>
      </c>
      <c r="O609"/>
      <c r="P609" t="e">
        <f>VLOOKUP(N609,#REF!,2,FALSE)</f>
        <v>#REF!</v>
      </c>
      <c r="Q609" t="s">
        <v>879</v>
      </c>
      <c r="R609" s="345">
        <v>-994.82</v>
      </c>
    </row>
    <row r="610" spans="1:18" x14ac:dyDescent="0.2">
      <c r="A610" s="344" t="s">
        <v>758</v>
      </c>
      <c r="B610" t="s">
        <v>827</v>
      </c>
      <c r="C610" t="s">
        <v>823</v>
      </c>
      <c r="D610" t="s">
        <v>746</v>
      </c>
      <c r="E610" t="s">
        <v>829</v>
      </c>
      <c r="F610" t="s">
        <v>803</v>
      </c>
      <c r="G610" t="s">
        <v>830</v>
      </c>
      <c r="H610" t="s">
        <v>831</v>
      </c>
      <c r="I610" t="s">
        <v>722</v>
      </c>
      <c r="J610" t="s">
        <v>721</v>
      </c>
      <c r="K610"/>
      <c r="L610"/>
      <c r="M610" t="s">
        <v>761</v>
      </c>
      <c r="N610" t="s">
        <v>762</v>
      </c>
      <c r="O610"/>
      <c r="P610" t="e">
        <f>VLOOKUP(N610,#REF!,2,FALSE)</f>
        <v>#REF!</v>
      </c>
      <c r="Q610" t="s">
        <v>879</v>
      </c>
      <c r="R610" s="345">
        <v>-994.82</v>
      </c>
    </row>
    <row r="611" spans="1:18" x14ac:dyDescent="0.2">
      <c r="A611" s="344" t="s">
        <v>759</v>
      </c>
      <c r="B611" t="s">
        <v>827</v>
      </c>
      <c r="C611" t="s">
        <v>823</v>
      </c>
      <c r="D611" t="s">
        <v>746</v>
      </c>
      <c r="E611" t="s">
        <v>829</v>
      </c>
      <c r="F611" t="s">
        <v>803</v>
      </c>
      <c r="G611" t="s">
        <v>830</v>
      </c>
      <c r="H611" t="s">
        <v>831</v>
      </c>
      <c r="I611" t="s">
        <v>722</v>
      </c>
      <c r="J611" t="s">
        <v>721</v>
      </c>
      <c r="K611"/>
      <c r="L611"/>
      <c r="M611" t="s">
        <v>761</v>
      </c>
      <c r="N611" t="s">
        <v>762</v>
      </c>
      <c r="O611"/>
      <c r="P611" t="e">
        <f>VLOOKUP(N611,#REF!,2,FALSE)</f>
        <v>#REF!</v>
      </c>
      <c r="Q611" t="s">
        <v>879</v>
      </c>
      <c r="R611" s="345">
        <v>-994.82</v>
      </c>
    </row>
    <row r="612" spans="1:18" x14ac:dyDescent="0.2">
      <c r="A612" s="344" t="s">
        <v>743</v>
      </c>
      <c r="B612" t="s">
        <v>827</v>
      </c>
      <c r="C612" t="s">
        <v>823</v>
      </c>
      <c r="D612" t="s">
        <v>746</v>
      </c>
      <c r="E612" t="s">
        <v>829</v>
      </c>
      <c r="F612" t="s">
        <v>803</v>
      </c>
      <c r="G612" t="s">
        <v>830</v>
      </c>
      <c r="H612" t="s">
        <v>831</v>
      </c>
      <c r="I612" t="s">
        <v>722</v>
      </c>
      <c r="J612" t="s">
        <v>721</v>
      </c>
      <c r="K612"/>
      <c r="L612"/>
      <c r="M612" t="s">
        <v>761</v>
      </c>
      <c r="N612" t="s">
        <v>762</v>
      </c>
      <c r="O612"/>
      <c r="P612" t="e">
        <f>VLOOKUP(N612,#REF!,2,FALSE)</f>
        <v>#REF!</v>
      </c>
      <c r="Q612" t="s">
        <v>879</v>
      </c>
      <c r="R612" s="345">
        <v>-1004.1</v>
      </c>
    </row>
    <row r="613" spans="1:18" x14ac:dyDescent="0.2">
      <c r="A613" s="344" t="s">
        <v>760</v>
      </c>
      <c r="B613" t="s">
        <v>827</v>
      </c>
      <c r="C613" t="s">
        <v>823</v>
      </c>
      <c r="D613" t="s">
        <v>746</v>
      </c>
      <c r="E613" t="s">
        <v>829</v>
      </c>
      <c r="F613" t="s">
        <v>803</v>
      </c>
      <c r="G613" t="s">
        <v>830</v>
      </c>
      <c r="H613" t="s">
        <v>831</v>
      </c>
      <c r="I613" t="s">
        <v>722</v>
      </c>
      <c r="J613" t="s">
        <v>721</v>
      </c>
      <c r="K613"/>
      <c r="L613"/>
      <c r="M613" t="s">
        <v>761</v>
      </c>
      <c r="N613" t="s">
        <v>762</v>
      </c>
      <c r="O613"/>
      <c r="P613" t="e">
        <f>VLOOKUP(N613,#REF!,2,FALSE)</f>
        <v>#REF!</v>
      </c>
      <c r="Q613" t="s">
        <v>879</v>
      </c>
      <c r="R613" s="345">
        <v>-1004.1</v>
      </c>
    </row>
    <row r="614" spans="1:18" x14ac:dyDescent="0.2">
      <c r="A614" s="344" t="s">
        <v>745</v>
      </c>
      <c r="B614" t="s">
        <v>827</v>
      </c>
      <c r="C614" t="s">
        <v>823</v>
      </c>
      <c r="D614" t="s">
        <v>746</v>
      </c>
      <c r="E614" t="s">
        <v>829</v>
      </c>
      <c r="F614" t="s">
        <v>803</v>
      </c>
      <c r="G614" t="s">
        <v>830</v>
      </c>
      <c r="H614" t="s">
        <v>831</v>
      </c>
      <c r="I614" t="s">
        <v>722</v>
      </c>
      <c r="J614" t="s">
        <v>721</v>
      </c>
      <c r="K614"/>
      <c r="L614"/>
      <c r="M614" t="s">
        <v>761</v>
      </c>
      <c r="N614" t="s">
        <v>762</v>
      </c>
      <c r="O614"/>
      <c r="P614" t="e">
        <f>VLOOKUP(N614,#REF!,2,FALSE)</f>
        <v>#REF!</v>
      </c>
      <c r="Q614" t="s">
        <v>879</v>
      </c>
      <c r="R614" s="345">
        <v>-1004.1</v>
      </c>
    </row>
    <row r="615" spans="1:18" x14ac:dyDescent="0.2">
      <c r="A615" s="344" t="s">
        <v>754</v>
      </c>
      <c r="B615" t="s">
        <v>827</v>
      </c>
      <c r="C615" t="s">
        <v>823</v>
      </c>
      <c r="D615" t="s">
        <v>746</v>
      </c>
      <c r="E615" t="s">
        <v>829</v>
      </c>
      <c r="F615" t="s">
        <v>803</v>
      </c>
      <c r="G615" t="s">
        <v>830</v>
      </c>
      <c r="H615" t="s">
        <v>831</v>
      </c>
      <c r="I615" t="s">
        <v>722</v>
      </c>
      <c r="J615" t="s">
        <v>721</v>
      </c>
      <c r="K615"/>
      <c r="L615"/>
      <c r="M615" t="s">
        <v>761</v>
      </c>
      <c r="N615" t="s">
        <v>762</v>
      </c>
      <c r="O615"/>
      <c r="P615" t="e">
        <f>VLOOKUP(N615,#REF!,2,FALSE)</f>
        <v>#REF!</v>
      </c>
      <c r="Q615" t="s">
        <v>880</v>
      </c>
      <c r="R615" s="345">
        <v>-1971.59</v>
      </c>
    </row>
    <row r="616" spans="1:18" x14ac:dyDescent="0.2">
      <c r="A616" s="344" t="s">
        <v>755</v>
      </c>
      <c r="B616" t="s">
        <v>827</v>
      </c>
      <c r="C616" t="s">
        <v>823</v>
      </c>
      <c r="D616" t="s">
        <v>746</v>
      </c>
      <c r="E616" t="s">
        <v>829</v>
      </c>
      <c r="F616" t="s">
        <v>803</v>
      </c>
      <c r="G616" t="s">
        <v>830</v>
      </c>
      <c r="H616" t="s">
        <v>831</v>
      </c>
      <c r="I616" t="s">
        <v>722</v>
      </c>
      <c r="J616" t="s">
        <v>721</v>
      </c>
      <c r="K616"/>
      <c r="L616"/>
      <c r="M616" t="s">
        <v>761</v>
      </c>
      <c r="N616" t="s">
        <v>762</v>
      </c>
      <c r="O616"/>
      <c r="P616" t="e">
        <f>VLOOKUP(N616,#REF!,2,FALSE)</f>
        <v>#REF!</v>
      </c>
      <c r="Q616" t="s">
        <v>880</v>
      </c>
      <c r="R616" s="345">
        <v>-1971.59</v>
      </c>
    </row>
    <row r="617" spans="1:18" x14ac:dyDescent="0.2">
      <c r="A617" s="344" t="s">
        <v>756</v>
      </c>
      <c r="B617" t="s">
        <v>827</v>
      </c>
      <c r="C617" t="s">
        <v>823</v>
      </c>
      <c r="D617" t="s">
        <v>746</v>
      </c>
      <c r="E617" t="s">
        <v>829</v>
      </c>
      <c r="F617" t="s">
        <v>803</v>
      </c>
      <c r="G617" t="s">
        <v>830</v>
      </c>
      <c r="H617" t="s">
        <v>831</v>
      </c>
      <c r="I617" t="s">
        <v>722</v>
      </c>
      <c r="J617" t="s">
        <v>721</v>
      </c>
      <c r="K617"/>
      <c r="L617"/>
      <c r="M617" t="s">
        <v>761</v>
      </c>
      <c r="N617" t="s">
        <v>762</v>
      </c>
      <c r="O617"/>
      <c r="P617" t="e">
        <f>VLOOKUP(N617,#REF!,2,FALSE)</f>
        <v>#REF!</v>
      </c>
      <c r="Q617" t="s">
        <v>880</v>
      </c>
      <c r="R617" s="345">
        <v>-1971.59</v>
      </c>
    </row>
    <row r="618" spans="1:18" x14ac:dyDescent="0.2">
      <c r="A618" s="344" t="s">
        <v>757</v>
      </c>
      <c r="B618" t="s">
        <v>827</v>
      </c>
      <c r="C618" t="s">
        <v>823</v>
      </c>
      <c r="D618" t="s">
        <v>746</v>
      </c>
      <c r="E618" t="s">
        <v>829</v>
      </c>
      <c r="F618" t="s">
        <v>803</v>
      </c>
      <c r="G618" t="s">
        <v>830</v>
      </c>
      <c r="H618" t="s">
        <v>831</v>
      </c>
      <c r="I618" t="s">
        <v>722</v>
      </c>
      <c r="J618" t="s">
        <v>721</v>
      </c>
      <c r="K618"/>
      <c r="L618"/>
      <c r="M618" t="s">
        <v>761</v>
      </c>
      <c r="N618" t="s">
        <v>762</v>
      </c>
      <c r="O618"/>
      <c r="P618" t="e">
        <f>VLOOKUP(N618,#REF!,2,FALSE)</f>
        <v>#REF!</v>
      </c>
      <c r="Q618" t="s">
        <v>880</v>
      </c>
      <c r="R618" s="345">
        <v>-2026.97</v>
      </c>
    </row>
    <row r="619" spans="1:18" x14ac:dyDescent="0.2">
      <c r="A619" s="344" t="s">
        <v>758</v>
      </c>
      <c r="B619" t="s">
        <v>827</v>
      </c>
      <c r="C619" t="s">
        <v>823</v>
      </c>
      <c r="D619" t="s">
        <v>746</v>
      </c>
      <c r="E619" t="s">
        <v>829</v>
      </c>
      <c r="F619" t="s">
        <v>803</v>
      </c>
      <c r="G619" t="s">
        <v>830</v>
      </c>
      <c r="H619" t="s">
        <v>831</v>
      </c>
      <c r="I619" t="s">
        <v>722</v>
      </c>
      <c r="J619" t="s">
        <v>721</v>
      </c>
      <c r="K619"/>
      <c r="L619"/>
      <c r="M619" t="s">
        <v>761</v>
      </c>
      <c r="N619" t="s">
        <v>762</v>
      </c>
      <c r="O619"/>
      <c r="P619" t="e">
        <f>VLOOKUP(N619,#REF!,2,FALSE)</f>
        <v>#REF!</v>
      </c>
      <c r="Q619" t="s">
        <v>880</v>
      </c>
      <c r="R619" s="345">
        <v>-2026.97</v>
      </c>
    </row>
    <row r="620" spans="1:18" x14ac:dyDescent="0.2">
      <c r="A620" s="344" t="s">
        <v>759</v>
      </c>
      <c r="B620" t="s">
        <v>827</v>
      </c>
      <c r="C620" t="s">
        <v>823</v>
      </c>
      <c r="D620" t="s">
        <v>746</v>
      </c>
      <c r="E620" t="s">
        <v>829</v>
      </c>
      <c r="F620" t="s">
        <v>803</v>
      </c>
      <c r="G620" t="s">
        <v>830</v>
      </c>
      <c r="H620" t="s">
        <v>831</v>
      </c>
      <c r="I620" t="s">
        <v>722</v>
      </c>
      <c r="J620" t="s">
        <v>721</v>
      </c>
      <c r="K620"/>
      <c r="L620"/>
      <c r="M620" t="s">
        <v>761</v>
      </c>
      <c r="N620" t="s">
        <v>762</v>
      </c>
      <c r="O620"/>
      <c r="P620" t="e">
        <f>VLOOKUP(N620,#REF!,2,FALSE)</f>
        <v>#REF!</v>
      </c>
      <c r="Q620" t="s">
        <v>880</v>
      </c>
      <c r="R620" s="345">
        <v>-2026.97</v>
      </c>
    </row>
    <row r="621" spans="1:18" x14ac:dyDescent="0.2">
      <c r="A621" s="344" t="s">
        <v>743</v>
      </c>
      <c r="B621" t="s">
        <v>827</v>
      </c>
      <c r="C621" t="s">
        <v>823</v>
      </c>
      <c r="D621" t="s">
        <v>746</v>
      </c>
      <c r="E621" t="s">
        <v>829</v>
      </c>
      <c r="F621" t="s">
        <v>803</v>
      </c>
      <c r="G621" t="s">
        <v>830</v>
      </c>
      <c r="H621" t="s">
        <v>831</v>
      </c>
      <c r="I621" t="s">
        <v>722</v>
      </c>
      <c r="J621" t="s">
        <v>721</v>
      </c>
      <c r="K621"/>
      <c r="L621"/>
      <c r="M621" t="s">
        <v>761</v>
      </c>
      <c r="N621" t="s">
        <v>762</v>
      </c>
      <c r="O621"/>
      <c r="P621" t="e">
        <f>VLOOKUP(N621,#REF!,2,FALSE)</f>
        <v>#REF!</v>
      </c>
      <c r="Q621" t="s">
        <v>880</v>
      </c>
      <c r="R621" s="345">
        <v>-2026.97</v>
      </c>
    </row>
    <row r="622" spans="1:18" x14ac:dyDescent="0.2">
      <c r="A622" s="344" t="s">
        <v>760</v>
      </c>
      <c r="B622" t="s">
        <v>827</v>
      </c>
      <c r="C622" t="s">
        <v>823</v>
      </c>
      <c r="D622" t="s">
        <v>746</v>
      </c>
      <c r="E622" t="s">
        <v>829</v>
      </c>
      <c r="F622" t="s">
        <v>803</v>
      </c>
      <c r="G622" t="s">
        <v>830</v>
      </c>
      <c r="H622" t="s">
        <v>831</v>
      </c>
      <c r="I622" t="s">
        <v>722</v>
      </c>
      <c r="J622" t="s">
        <v>721</v>
      </c>
      <c r="K622"/>
      <c r="L622"/>
      <c r="M622" t="s">
        <v>761</v>
      </c>
      <c r="N622" t="s">
        <v>762</v>
      </c>
      <c r="O622"/>
      <c r="P622" t="e">
        <f>VLOOKUP(N622,#REF!,2,FALSE)</f>
        <v>#REF!</v>
      </c>
      <c r="Q622" t="s">
        <v>880</v>
      </c>
      <c r="R622" s="345">
        <v>-2026.97</v>
      </c>
    </row>
    <row r="623" spans="1:18" x14ac:dyDescent="0.2">
      <c r="A623" s="344" t="s">
        <v>745</v>
      </c>
      <c r="B623" t="s">
        <v>827</v>
      </c>
      <c r="C623" t="s">
        <v>823</v>
      </c>
      <c r="D623" t="s">
        <v>746</v>
      </c>
      <c r="E623" t="s">
        <v>829</v>
      </c>
      <c r="F623" t="s">
        <v>803</v>
      </c>
      <c r="G623" t="s">
        <v>830</v>
      </c>
      <c r="H623" t="s">
        <v>831</v>
      </c>
      <c r="I623" t="s">
        <v>722</v>
      </c>
      <c r="J623" t="s">
        <v>721</v>
      </c>
      <c r="K623"/>
      <c r="L623"/>
      <c r="M623" t="s">
        <v>761</v>
      </c>
      <c r="N623" t="s">
        <v>762</v>
      </c>
      <c r="O623"/>
      <c r="P623" t="e">
        <f>VLOOKUP(N623,#REF!,2,FALSE)</f>
        <v>#REF!</v>
      </c>
      <c r="Q623" t="s">
        <v>880</v>
      </c>
      <c r="R623" s="345">
        <v>-2026.97</v>
      </c>
    </row>
    <row r="624" spans="1:18" x14ac:dyDescent="0.2">
      <c r="A624" s="344" t="s">
        <v>757</v>
      </c>
      <c r="B624" t="s">
        <v>827</v>
      </c>
      <c r="C624" t="s">
        <v>823</v>
      </c>
      <c r="D624" t="s">
        <v>746</v>
      </c>
      <c r="E624" t="s">
        <v>829</v>
      </c>
      <c r="F624" t="s">
        <v>803</v>
      </c>
      <c r="G624" t="s">
        <v>830</v>
      </c>
      <c r="H624" t="s">
        <v>831</v>
      </c>
      <c r="I624" t="s">
        <v>722</v>
      </c>
      <c r="J624" t="s">
        <v>721</v>
      </c>
      <c r="K624"/>
      <c r="L624"/>
      <c r="M624" t="s">
        <v>761</v>
      </c>
      <c r="N624" t="s">
        <v>762</v>
      </c>
      <c r="O624"/>
      <c r="P624" t="e">
        <f>VLOOKUP(N624,#REF!,2,FALSE)</f>
        <v>#REF!</v>
      </c>
      <c r="Q624" t="s">
        <v>863</v>
      </c>
      <c r="R624" s="345">
        <v>-994.82</v>
      </c>
    </row>
    <row r="625" spans="1:18" x14ac:dyDescent="0.2">
      <c r="A625" s="344" t="s">
        <v>758</v>
      </c>
      <c r="B625" t="s">
        <v>827</v>
      </c>
      <c r="C625" t="s">
        <v>823</v>
      </c>
      <c r="D625" t="s">
        <v>746</v>
      </c>
      <c r="E625" t="s">
        <v>829</v>
      </c>
      <c r="F625" t="s">
        <v>803</v>
      </c>
      <c r="G625" t="s">
        <v>830</v>
      </c>
      <c r="H625" t="s">
        <v>831</v>
      </c>
      <c r="I625" t="s">
        <v>722</v>
      </c>
      <c r="J625" t="s">
        <v>721</v>
      </c>
      <c r="K625"/>
      <c r="L625"/>
      <c r="M625" t="s">
        <v>761</v>
      </c>
      <c r="N625" t="s">
        <v>762</v>
      </c>
      <c r="O625"/>
      <c r="P625" t="e">
        <f>VLOOKUP(N625,#REF!,2,FALSE)</f>
        <v>#REF!</v>
      </c>
      <c r="Q625" t="s">
        <v>863</v>
      </c>
      <c r="R625" s="345">
        <v>-994.82</v>
      </c>
    </row>
    <row r="626" spans="1:18" x14ac:dyDescent="0.2">
      <c r="A626" s="344" t="s">
        <v>759</v>
      </c>
      <c r="B626" t="s">
        <v>827</v>
      </c>
      <c r="C626" t="s">
        <v>823</v>
      </c>
      <c r="D626" t="s">
        <v>746</v>
      </c>
      <c r="E626" t="s">
        <v>829</v>
      </c>
      <c r="F626" t="s">
        <v>803</v>
      </c>
      <c r="G626" t="s">
        <v>830</v>
      </c>
      <c r="H626" t="s">
        <v>831</v>
      </c>
      <c r="I626" t="s">
        <v>722</v>
      </c>
      <c r="J626" t="s">
        <v>721</v>
      </c>
      <c r="K626"/>
      <c r="L626"/>
      <c r="M626" t="s">
        <v>761</v>
      </c>
      <c r="N626" t="s">
        <v>762</v>
      </c>
      <c r="O626"/>
      <c r="P626" t="e">
        <f>VLOOKUP(N626,#REF!,2,FALSE)</f>
        <v>#REF!</v>
      </c>
      <c r="Q626" t="s">
        <v>863</v>
      </c>
      <c r="R626" s="345">
        <v>-994.82</v>
      </c>
    </row>
    <row r="627" spans="1:18" x14ac:dyDescent="0.2">
      <c r="A627" s="344" t="s">
        <v>743</v>
      </c>
      <c r="B627" t="s">
        <v>827</v>
      </c>
      <c r="C627" t="s">
        <v>823</v>
      </c>
      <c r="D627" t="s">
        <v>746</v>
      </c>
      <c r="E627" t="s">
        <v>829</v>
      </c>
      <c r="F627" t="s">
        <v>803</v>
      </c>
      <c r="G627" t="s">
        <v>830</v>
      </c>
      <c r="H627" t="s">
        <v>831</v>
      </c>
      <c r="I627" t="s">
        <v>722</v>
      </c>
      <c r="J627" t="s">
        <v>721</v>
      </c>
      <c r="K627"/>
      <c r="L627"/>
      <c r="M627" t="s">
        <v>761</v>
      </c>
      <c r="N627" t="s">
        <v>762</v>
      </c>
      <c r="O627"/>
      <c r="P627" t="e">
        <f>VLOOKUP(N627,#REF!,2,FALSE)</f>
        <v>#REF!</v>
      </c>
      <c r="Q627" t="s">
        <v>863</v>
      </c>
      <c r="R627" s="345">
        <v>-1004.1</v>
      </c>
    </row>
    <row r="628" spans="1:18" x14ac:dyDescent="0.2">
      <c r="A628" s="344" t="s">
        <v>760</v>
      </c>
      <c r="B628" t="s">
        <v>827</v>
      </c>
      <c r="C628" t="s">
        <v>823</v>
      </c>
      <c r="D628" t="s">
        <v>746</v>
      </c>
      <c r="E628" t="s">
        <v>829</v>
      </c>
      <c r="F628" t="s">
        <v>803</v>
      </c>
      <c r="G628" t="s">
        <v>830</v>
      </c>
      <c r="H628" t="s">
        <v>831</v>
      </c>
      <c r="I628" t="s">
        <v>722</v>
      </c>
      <c r="J628" t="s">
        <v>721</v>
      </c>
      <c r="K628"/>
      <c r="L628"/>
      <c r="M628" t="s">
        <v>761</v>
      </c>
      <c r="N628" t="s">
        <v>762</v>
      </c>
      <c r="O628"/>
      <c r="P628" t="e">
        <f>VLOOKUP(N628,#REF!,2,FALSE)</f>
        <v>#REF!</v>
      </c>
      <c r="Q628" t="s">
        <v>863</v>
      </c>
      <c r="R628" s="345">
        <v>-1004.1</v>
      </c>
    </row>
    <row r="629" spans="1:18" x14ac:dyDescent="0.2">
      <c r="A629" s="344" t="s">
        <v>745</v>
      </c>
      <c r="B629" t="s">
        <v>827</v>
      </c>
      <c r="C629" t="s">
        <v>823</v>
      </c>
      <c r="D629" t="s">
        <v>746</v>
      </c>
      <c r="E629" t="s">
        <v>829</v>
      </c>
      <c r="F629" t="s">
        <v>803</v>
      </c>
      <c r="G629" t="s">
        <v>830</v>
      </c>
      <c r="H629" t="s">
        <v>831</v>
      </c>
      <c r="I629" t="s">
        <v>722</v>
      </c>
      <c r="J629" t="s">
        <v>721</v>
      </c>
      <c r="K629"/>
      <c r="L629"/>
      <c r="M629" t="s">
        <v>761</v>
      </c>
      <c r="N629" t="s">
        <v>762</v>
      </c>
      <c r="O629"/>
      <c r="P629" t="e">
        <f>VLOOKUP(N629,#REF!,2,FALSE)</f>
        <v>#REF!</v>
      </c>
      <c r="Q629" t="s">
        <v>863</v>
      </c>
      <c r="R629" s="345">
        <v>-1004.1</v>
      </c>
    </row>
    <row r="630" spans="1:18" x14ac:dyDescent="0.2">
      <c r="A630" s="344" t="s">
        <v>749</v>
      </c>
      <c r="B630" t="s">
        <v>827</v>
      </c>
      <c r="C630" t="s">
        <v>823</v>
      </c>
      <c r="D630" t="s">
        <v>746</v>
      </c>
      <c r="E630" t="s">
        <v>829</v>
      </c>
      <c r="F630" t="s">
        <v>803</v>
      </c>
      <c r="G630" t="s">
        <v>830</v>
      </c>
      <c r="H630" t="s">
        <v>831</v>
      </c>
      <c r="I630" t="s">
        <v>722</v>
      </c>
      <c r="J630" t="s">
        <v>721</v>
      </c>
      <c r="K630"/>
      <c r="L630"/>
      <c r="M630" t="s">
        <v>761</v>
      </c>
      <c r="N630" t="s">
        <v>762</v>
      </c>
      <c r="O630"/>
      <c r="P630" t="e">
        <f>VLOOKUP(N630,#REF!,2,FALSE)</f>
        <v>#REF!</v>
      </c>
      <c r="Q630" t="s">
        <v>867</v>
      </c>
      <c r="R630" s="345">
        <v>-990.54</v>
      </c>
    </row>
    <row r="631" spans="1:18" x14ac:dyDescent="0.2">
      <c r="A631" s="344" t="s">
        <v>752</v>
      </c>
      <c r="B631" t="s">
        <v>827</v>
      </c>
      <c r="C631" t="s">
        <v>823</v>
      </c>
      <c r="D631" t="s">
        <v>746</v>
      </c>
      <c r="E631" t="s">
        <v>829</v>
      </c>
      <c r="F631" t="s">
        <v>803</v>
      </c>
      <c r="G631" t="s">
        <v>830</v>
      </c>
      <c r="H631" t="s">
        <v>831</v>
      </c>
      <c r="I631" t="s">
        <v>722</v>
      </c>
      <c r="J631" t="s">
        <v>721</v>
      </c>
      <c r="K631"/>
      <c r="L631"/>
      <c r="M631" t="s">
        <v>761</v>
      </c>
      <c r="N631" t="s">
        <v>762</v>
      </c>
      <c r="O631"/>
      <c r="P631" t="e">
        <f>VLOOKUP(N631,#REF!,2,FALSE)</f>
        <v>#REF!</v>
      </c>
      <c r="Q631" t="s">
        <v>867</v>
      </c>
      <c r="R631" s="345">
        <v>-990.54</v>
      </c>
    </row>
    <row r="632" spans="1:18" x14ac:dyDescent="0.2">
      <c r="A632" s="344" t="s">
        <v>753</v>
      </c>
      <c r="B632" t="s">
        <v>827</v>
      </c>
      <c r="C632" t="s">
        <v>823</v>
      </c>
      <c r="D632" t="s">
        <v>746</v>
      </c>
      <c r="E632" t="s">
        <v>829</v>
      </c>
      <c r="F632" t="s">
        <v>803</v>
      </c>
      <c r="G632" t="s">
        <v>830</v>
      </c>
      <c r="H632" t="s">
        <v>831</v>
      </c>
      <c r="I632" t="s">
        <v>722</v>
      </c>
      <c r="J632" t="s">
        <v>721</v>
      </c>
      <c r="K632"/>
      <c r="L632"/>
      <c r="M632" t="s">
        <v>761</v>
      </c>
      <c r="N632" t="s">
        <v>762</v>
      </c>
      <c r="O632"/>
      <c r="P632" t="e">
        <f>VLOOKUP(N632,#REF!,2,FALSE)</f>
        <v>#REF!</v>
      </c>
      <c r="Q632" t="s">
        <v>867</v>
      </c>
      <c r="R632" s="345">
        <v>-990.54</v>
      </c>
    </row>
    <row r="633" spans="1:18" x14ac:dyDescent="0.2">
      <c r="A633" s="344" t="s">
        <v>754</v>
      </c>
      <c r="B633" t="s">
        <v>827</v>
      </c>
      <c r="C633" t="s">
        <v>823</v>
      </c>
      <c r="D633" t="s">
        <v>746</v>
      </c>
      <c r="E633" t="s">
        <v>829</v>
      </c>
      <c r="F633" t="s">
        <v>803</v>
      </c>
      <c r="G633" t="s">
        <v>830</v>
      </c>
      <c r="H633" t="s">
        <v>831</v>
      </c>
      <c r="I633" t="s">
        <v>722</v>
      </c>
      <c r="J633" t="s">
        <v>721</v>
      </c>
      <c r="K633"/>
      <c r="L633"/>
      <c r="M633" t="s">
        <v>761</v>
      </c>
      <c r="N633" t="s">
        <v>762</v>
      </c>
      <c r="O633"/>
      <c r="P633" t="e">
        <f>VLOOKUP(N633,#REF!,2,FALSE)</f>
        <v>#REF!</v>
      </c>
      <c r="Q633" t="s">
        <v>867</v>
      </c>
      <c r="R633" s="345">
        <v>-992.68</v>
      </c>
    </row>
    <row r="634" spans="1:18" x14ac:dyDescent="0.2">
      <c r="A634" s="344" t="s">
        <v>755</v>
      </c>
      <c r="B634" t="s">
        <v>827</v>
      </c>
      <c r="C634" t="s">
        <v>823</v>
      </c>
      <c r="D634" t="s">
        <v>746</v>
      </c>
      <c r="E634" t="s">
        <v>829</v>
      </c>
      <c r="F634" t="s">
        <v>803</v>
      </c>
      <c r="G634" t="s">
        <v>830</v>
      </c>
      <c r="H634" t="s">
        <v>831</v>
      </c>
      <c r="I634" t="s">
        <v>722</v>
      </c>
      <c r="J634" t="s">
        <v>721</v>
      </c>
      <c r="K634"/>
      <c r="L634"/>
      <c r="M634" t="s">
        <v>761</v>
      </c>
      <c r="N634" t="s">
        <v>762</v>
      </c>
      <c r="O634"/>
      <c r="P634" t="e">
        <f>VLOOKUP(N634,#REF!,2,FALSE)</f>
        <v>#REF!</v>
      </c>
      <c r="Q634" t="s">
        <v>867</v>
      </c>
      <c r="R634" s="345">
        <v>-992.68</v>
      </c>
    </row>
    <row r="635" spans="1:18" x14ac:dyDescent="0.2">
      <c r="A635" s="344" t="s">
        <v>756</v>
      </c>
      <c r="B635" t="s">
        <v>827</v>
      </c>
      <c r="C635" t="s">
        <v>823</v>
      </c>
      <c r="D635" t="s">
        <v>746</v>
      </c>
      <c r="E635" t="s">
        <v>829</v>
      </c>
      <c r="F635" t="s">
        <v>803</v>
      </c>
      <c r="G635" t="s">
        <v>830</v>
      </c>
      <c r="H635" t="s">
        <v>831</v>
      </c>
      <c r="I635" t="s">
        <v>722</v>
      </c>
      <c r="J635" t="s">
        <v>721</v>
      </c>
      <c r="K635"/>
      <c r="L635"/>
      <c r="M635" t="s">
        <v>761</v>
      </c>
      <c r="N635" t="s">
        <v>762</v>
      </c>
      <c r="O635"/>
      <c r="P635" t="e">
        <f>VLOOKUP(N635,#REF!,2,FALSE)</f>
        <v>#REF!</v>
      </c>
      <c r="Q635" t="s">
        <v>867</v>
      </c>
      <c r="R635" s="345">
        <v>-992.68</v>
      </c>
    </row>
    <row r="636" spans="1:18" x14ac:dyDescent="0.2">
      <c r="A636" s="344" t="s">
        <v>757</v>
      </c>
      <c r="B636" t="s">
        <v>827</v>
      </c>
      <c r="C636" t="s">
        <v>823</v>
      </c>
      <c r="D636" t="s">
        <v>746</v>
      </c>
      <c r="E636" t="s">
        <v>829</v>
      </c>
      <c r="F636" t="s">
        <v>803</v>
      </c>
      <c r="G636" t="s">
        <v>830</v>
      </c>
      <c r="H636" t="s">
        <v>831</v>
      </c>
      <c r="I636" t="s">
        <v>722</v>
      </c>
      <c r="J636" t="s">
        <v>721</v>
      </c>
      <c r="K636"/>
      <c r="L636"/>
      <c r="M636" t="s">
        <v>761</v>
      </c>
      <c r="N636" t="s">
        <v>762</v>
      </c>
      <c r="O636"/>
      <c r="P636" t="e">
        <f>VLOOKUP(N636,#REF!,2,FALSE)</f>
        <v>#REF!</v>
      </c>
      <c r="Q636" t="s">
        <v>867</v>
      </c>
      <c r="R636" s="345">
        <v>-994.82</v>
      </c>
    </row>
    <row r="637" spans="1:18" x14ac:dyDescent="0.2">
      <c r="A637" s="344" t="s">
        <v>758</v>
      </c>
      <c r="B637" t="s">
        <v>827</v>
      </c>
      <c r="C637" t="s">
        <v>823</v>
      </c>
      <c r="D637" t="s">
        <v>746</v>
      </c>
      <c r="E637" t="s">
        <v>829</v>
      </c>
      <c r="F637" t="s">
        <v>803</v>
      </c>
      <c r="G637" t="s">
        <v>830</v>
      </c>
      <c r="H637" t="s">
        <v>831</v>
      </c>
      <c r="I637" t="s">
        <v>722</v>
      </c>
      <c r="J637" t="s">
        <v>721</v>
      </c>
      <c r="K637"/>
      <c r="L637"/>
      <c r="M637" t="s">
        <v>761</v>
      </c>
      <c r="N637" t="s">
        <v>762</v>
      </c>
      <c r="O637"/>
      <c r="P637" t="e">
        <f>VLOOKUP(N637,#REF!,2,FALSE)</f>
        <v>#REF!</v>
      </c>
      <c r="Q637" t="s">
        <v>867</v>
      </c>
      <c r="R637" s="345">
        <v>-994.82</v>
      </c>
    </row>
    <row r="638" spans="1:18" x14ac:dyDescent="0.2">
      <c r="A638" s="344" t="s">
        <v>759</v>
      </c>
      <c r="B638" t="s">
        <v>827</v>
      </c>
      <c r="C638" t="s">
        <v>823</v>
      </c>
      <c r="D638" t="s">
        <v>746</v>
      </c>
      <c r="E638" t="s">
        <v>829</v>
      </c>
      <c r="F638" t="s">
        <v>803</v>
      </c>
      <c r="G638" t="s">
        <v>830</v>
      </c>
      <c r="H638" t="s">
        <v>831</v>
      </c>
      <c r="I638" t="s">
        <v>722</v>
      </c>
      <c r="J638" t="s">
        <v>721</v>
      </c>
      <c r="K638"/>
      <c r="L638"/>
      <c r="M638" t="s">
        <v>761</v>
      </c>
      <c r="N638" t="s">
        <v>762</v>
      </c>
      <c r="O638"/>
      <c r="P638" t="e">
        <f>VLOOKUP(N638,#REF!,2,FALSE)</f>
        <v>#REF!</v>
      </c>
      <c r="Q638" t="s">
        <v>867</v>
      </c>
      <c r="R638" s="345">
        <v>-994.82</v>
      </c>
    </row>
    <row r="639" spans="1:18" x14ac:dyDescent="0.2">
      <c r="A639" s="344" t="s">
        <v>743</v>
      </c>
      <c r="B639" t="s">
        <v>827</v>
      </c>
      <c r="C639" t="s">
        <v>823</v>
      </c>
      <c r="D639" t="s">
        <v>746</v>
      </c>
      <c r="E639" t="s">
        <v>829</v>
      </c>
      <c r="F639" t="s">
        <v>803</v>
      </c>
      <c r="G639" t="s">
        <v>830</v>
      </c>
      <c r="H639" t="s">
        <v>831</v>
      </c>
      <c r="I639" t="s">
        <v>722</v>
      </c>
      <c r="J639" t="s">
        <v>721</v>
      </c>
      <c r="K639"/>
      <c r="L639"/>
      <c r="M639" t="s">
        <v>761</v>
      </c>
      <c r="N639" t="s">
        <v>762</v>
      </c>
      <c r="O639"/>
      <c r="P639" t="e">
        <f>VLOOKUP(N639,#REF!,2,FALSE)</f>
        <v>#REF!</v>
      </c>
      <c r="Q639" t="s">
        <v>867</v>
      </c>
      <c r="R639" s="345">
        <v>-1004.1</v>
      </c>
    </row>
    <row r="640" spans="1:18" x14ac:dyDescent="0.2">
      <c r="A640" s="344" t="s">
        <v>760</v>
      </c>
      <c r="B640" t="s">
        <v>827</v>
      </c>
      <c r="C640" t="s">
        <v>823</v>
      </c>
      <c r="D640" t="s">
        <v>746</v>
      </c>
      <c r="E640" t="s">
        <v>829</v>
      </c>
      <c r="F640" t="s">
        <v>803</v>
      </c>
      <c r="G640" t="s">
        <v>830</v>
      </c>
      <c r="H640" t="s">
        <v>831</v>
      </c>
      <c r="I640" t="s">
        <v>722</v>
      </c>
      <c r="J640" t="s">
        <v>721</v>
      </c>
      <c r="K640"/>
      <c r="L640"/>
      <c r="M640" t="s">
        <v>761</v>
      </c>
      <c r="N640" t="s">
        <v>762</v>
      </c>
      <c r="O640"/>
      <c r="P640" t="e">
        <f>VLOOKUP(N640,#REF!,2,FALSE)</f>
        <v>#REF!</v>
      </c>
      <c r="Q640" t="s">
        <v>867</v>
      </c>
      <c r="R640" s="345">
        <v>-1004.1</v>
      </c>
    </row>
    <row r="641" spans="1:18" x14ac:dyDescent="0.2">
      <c r="A641" s="344" t="s">
        <v>745</v>
      </c>
      <c r="B641" t="s">
        <v>827</v>
      </c>
      <c r="C641" t="s">
        <v>823</v>
      </c>
      <c r="D641" t="s">
        <v>746</v>
      </c>
      <c r="E641" t="s">
        <v>829</v>
      </c>
      <c r="F641" t="s">
        <v>803</v>
      </c>
      <c r="G641" t="s">
        <v>830</v>
      </c>
      <c r="H641" t="s">
        <v>831</v>
      </c>
      <c r="I641" t="s">
        <v>722</v>
      </c>
      <c r="J641" t="s">
        <v>721</v>
      </c>
      <c r="K641"/>
      <c r="L641"/>
      <c r="M641" t="s">
        <v>761</v>
      </c>
      <c r="N641" t="s">
        <v>762</v>
      </c>
      <c r="O641"/>
      <c r="P641" t="e">
        <f>VLOOKUP(N641,#REF!,2,FALSE)</f>
        <v>#REF!</v>
      </c>
      <c r="Q641" t="s">
        <v>867</v>
      </c>
      <c r="R641" s="345">
        <v>-1004.1</v>
      </c>
    </row>
    <row r="642" spans="1:18" x14ac:dyDescent="0.2">
      <c r="A642" s="344" t="s">
        <v>749</v>
      </c>
      <c r="B642" t="s">
        <v>827</v>
      </c>
      <c r="C642" t="s">
        <v>823</v>
      </c>
      <c r="D642" t="s">
        <v>746</v>
      </c>
      <c r="E642" t="s">
        <v>829</v>
      </c>
      <c r="F642" t="s">
        <v>803</v>
      </c>
      <c r="G642" t="s">
        <v>830</v>
      </c>
      <c r="H642" t="s">
        <v>831</v>
      </c>
      <c r="I642" t="s">
        <v>722</v>
      </c>
      <c r="J642" t="s">
        <v>721</v>
      </c>
      <c r="K642"/>
      <c r="L642"/>
      <c r="M642" t="s">
        <v>761</v>
      </c>
      <c r="N642" t="s">
        <v>762</v>
      </c>
      <c r="O642"/>
      <c r="P642" t="e">
        <f>VLOOKUP(N642,#REF!,2,FALSE)</f>
        <v>#REF!</v>
      </c>
      <c r="Q642" t="s">
        <v>869</v>
      </c>
      <c r="R642" s="345">
        <v>0</v>
      </c>
    </row>
    <row r="643" spans="1:18" x14ac:dyDescent="0.2">
      <c r="A643" s="344" t="s">
        <v>752</v>
      </c>
      <c r="B643" t="s">
        <v>827</v>
      </c>
      <c r="C643" t="s">
        <v>823</v>
      </c>
      <c r="D643" t="s">
        <v>746</v>
      </c>
      <c r="E643" t="s">
        <v>829</v>
      </c>
      <c r="F643" t="s">
        <v>803</v>
      </c>
      <c r="G643" t="s">
        <v>830</v>
      </c>
      <c r="H643" t="s">
        <v>831</v>
      </c>
      <c r="I643" t="s">
        <v>722</v>
      </c>
      <c r="J643" t="s">
        <v>721</v>
      </c>
      <c r="K643"/>
      <c r="L643"/>
      <c r="M643" t="s">
        <v>761</v>
      </c>
      <c r="N643" t="s">
        <v>762</v>
      </c>
      <c r="O643"/>
      <c r="P643" t="e">
        <f>VLOOKUP(N643,#REF!,2,FALSE)</f>
        <v>#REF!</v>
      </c>
      <c r="Q643" t="s">
        <v>870</v>
      </c>
      <c r="R643" s="345">
        <v>-993.95</v>
      </c>
    </row>
    <row r="644" spans="1:18" x14ac:dyDescent="0.2">
      <c r="A644" s="344" t="s">
        <v>753</v>
      </c>
      <c r="B644" t="s">
        <v>827</v>
      </c>
      <c r="C644" t="s">
        <v>823</v>
      </c>
      <c r="D644" t="s">
        <v>746</v>
      </c>
      <c r="E644" t="s">
        <v>829</v>
      </c>
      <c r="F644" t="s">
        <v>803</v>
      </c>
      <c r="G644" t="s">
        <v>830</v>
      </c>
      <c r="H644" t="s">
        <v>831</v>
      </c>
      <c r="I644" t="s">
        <v>722</v>
      </c>
      <c r="J644" t="s">
        <v>721</v>
      </c>
      <c r="K644"/>
      <c r="L644"/>
      <c r="M644" t="s">
        <v>761</v>
      </c>
      <c r="N644" t="s">
        <v>762</v>
      </c>
      <c r="O644"/>
      <c r="P644" t="e">
        <f>VLOOKUP(N644,#REF!,2,FALSE)</f>
        <v>#REF!</v>
      </c>
      <c r="Q644" t="s">
        <v>870</v>
      </c>
      <c r="R644" s="345">
        <v>-2981.85</v>
      </c>
    </row>
    <row r="645" spans="1:18" x14ac:dyDescent="0.2">
      <c r="A645" s="344" t="s">
        <v>754</v>
      </c>
      <c r="B645" t="s">
        <v>827</v>
      </c>
      <c r="C645" t="s">
        <v>823</v>
      </c>
      <c r="D645" t="s">
        <v>746</v>
      </c>
      <c r="E645" t="s">
        <v>829</v>
      </c>
      <c r="F645" t="s">
        <v>803</v>
      </c>
      <c r="G645" t="s">
        <v>830</v>
      </c>
      <c r="H645" t="s">
        <v>831</v>
      </c>
      <c r="I645" t="s">
        <v>722</v>
      </c>
      <c r="J645" t="s">
        <v>721</v>
      </c>
      <c r="K645"/>
      <c r="L645"/>
      <c r="M645" t="s">
        <v>761</v>
      </c>
      <c r="N645" t="s">
        <v>762</v>
      </c>
      <c r="O645"/>
      <c r="P645" t="e">
        <f>VLOOKUP(N645,#REF!,2,FALSE)</f>
        <v>#REF!</v>
      </c>
      <c r="Q645" t="s">
        <v>870</v>
      </c>
      <c r="R645" s="345">
        <v>-996.1</v>
      </c>
    </row>
    <row r="646" spans="1:18" x14ac:dyDescent="0.2">
      <c r="A646" s="344" t="s">
        <v>755</v>
      </c>
      <c r="B646" t="s">
        <v>827</v>
      </c>
      <c r="C646" t="s">
        <v>823</v>
      </c>
      <c r="D646" t="s">
        <v>746</v>
      </c>
      <c r="E646" t="s">
        <v>829</v>
      </c>
      <c r="F646" t="s">
        <v>803</v>
      </c>
      <c r="G646" t="s">
        <v>830</v>
      </c>
      <c r="H646" t="s">
        <v>831</v>
      </c>
      <c r="I646" t="s">
        <v>722</v>
      </c>
      <c r="J646" t="s">
        <v>721</v>
      </c>
      <c r="K646"/>
      <c r="L646"/>
      <c r="M646" t="s">
        <v>761</v>
      </c>
      <c r="N646" t="s">
        <v>762</v>
      </c>
      <c r="O646"/>
      <c r="P646" t="e">
        <f>VLOOKUP(N646,#REF!,2,FALSE)</f>
        <v>#REF!</v>
      </c>
      <c r="Q646" t="s">
        <v>870</v>
      </c>
      <c r="R646" s="345">
        <v>-996.1</v>
      </c>
    </row>
    <row r="647" spans="1:18" x14ac:dyDescent="0.2">
      <c r="A647" s="344" t="s">
        <v>756</v>
      </c>
      <c r="B647" t="s">
        <v>827</v>
      </c>
      <c r="C647" t="s">
        <v>823</v>
      </c>
      <c r="D647" t="s">
        <v>746</v>
      </c>
      <c r="E647" t="s">
        <v>829</v>
      </c>
      <c r="F647" t="s">
        <v>803</v>
      </c>
      <c r="G647" t="s">
        <v>830</v>
      </c>
      <c r="H647" t="s">
        <v>831</v>
      </c>
      <c r="I647" t="s">
        <v>722</v>
      </c>
      <c r="J647" t="s">
        <v>721</v>
      </c>
      <c r="K647"/>
      <c r="L647"/>
      <c r="M647" t="s">
        <v>761</v>
      </c>
      <c r="N647" t="s">
        <v>762</v>
      </c>
      <c r="O647"/>
      <c r="P647" t="e">
        <f>VLOOKUP(N647,#REF!,2,FALSE)</f>
        <v>#REF!</v>
      </c>
      <c r="Q647" t="s">
        <v>870</v>
      </c>
      <c r="R647" s="345">
        <v>-996.1</v>
      </c>
    </row>
    <row r="648" spans="1:18" x14ac:dyDescent="0.2">
      <c r="A648" s="344" t="s">
        <v>757</v>
      </c>
      <c r="B648" t="s">
        <v>827</v>
      </c>
      <c r="C648" t="s">
        <v>823</v>
      </c>
      <c r="D648" t="s">
        <v>746</v>
      </c>
      <c r="E648" t="s">
        <v>829</v>
      </c>
      <c r="F648" t="s">
        <v>803</v>
      </c>
      <c r="G648" t="s">
        <v>830</v>
      </c>
      <c r="H648" t="s">
        <v>831</v>
      </c>
      <c r="I648" t="s">
        <v>722</v>
      </c>
      <c r="J648" t="s">
        <v>721</v>
      </c>
      <c r="K648"/>
      <c r="L648"/>
      <c r="M648" t="s">
        <v>761</v>
      </c>
      <c r="N648" t="s">
        <v>762</v>
      </c>
      <c r="O648"/>
      <c r="P648" t="e">
        <f>VLOOKUP(N648,#REF!,2,FALSE)</f>
        <v>#REF!</v>
      </c>
      <c r="Q648" t="s">
        <v>870</v>
      </c>
      <c r="R648" s="345">
        <v>0</v>
      </c>
    </row>
    <row r="649" spans="1:18" x14ac:dyDescent="0.2">
      <c r="A649" s="344" t="s">
        <v>755</v>
      </c>
      <c r="B649" t="s">
        <v>827</v>
      </c>
      <c r="C649" t="s">
        <v>823</v>
      </c>
      <c r="D649" t="s">
        <v>746</v>
      </c>
      <c r="E649" t="s">
        <v>829</v>
      </c>
      <c r="F649" t="s">
        <v>803</v>
      </c>
      <c r="G649" t="s">
        <v>830</v>
      </c>
      <c r="H649" t="s">
        <v>831</v>
      </c>
      <c r="I649" t="s">
        <v>722</v>
      </c>
      <c r="J649" t="s">
        <v>721</v>
      </c>
      <c r="K649"/>
      <c r="L649"/>
      <c r="M649" t="s">
        <v>897</v>
      </c>
      <c r="N649" t="s">
        <v>898</v>
      </c>
      <c r="O649"/>
      <c r="P649" t="e">
        <f>VLOOKUP(N649,#REF!,2,FALSE)</f>
        <v>#REF!</v>
      </c>
      <c r="Q649" t="s">
        <v>856</v>
      </c>
      <c r="R649" s="345">
        <v>32.24</v>
      </c>
    </row>
    <row r="650" spans="1:18" x14ac:dyDescent="0.2">
      <c r="A650" s="344" t="s">
        <v>756</v>
      </c>
      <c r="B650" t="s">
        <v>827</v>
      </c>
      <c r="C650" t="s">
        <v>823</v>
      </c>
      <c r="D650" t="s">
        <v>746</v>
      </c>
      <c r="E650" t="s">
        <v>829</v>
      </c>
      <c r="F650" t="s">
        <v>803</v>
      </c>
      <c r="G650" t="s">
        <v>830</v>
      </c>
      <c r="H650" t="s">
        <v>831</v>
      </c>
      <c r="I650" t="s">
        <v>722</v>
      </c>
      <c r="J650" t="s">
        <v>721</v>
      </c>
      <c r="K650"/>
      <c r="L650"/>
      <c r="M650" t="s">
        <v>897</v>
      </c>
      <c r="N650" t="s">
        <v>898</v>
      </c>
      <c r="O650"/>
      <c r="P650" t="e">
        <f>VLOOKUP(N650,#REF!,2,FALSE)</f>
        <v>#REF!</v>
      </c>
      <c r="Q650" t="s">
        <v>856</v>
      </c>
      <c r="R650" s="345">
        <v>0</v>
      </c>
    </row>
    <row r="651" spans="1:18" x14ac:dyDescent="0.2">
      <c r="A651" s="344" t="s">
        <v>755</v>
      </c>
      <c r="B651" t="s">
        <v>827</v>
      </c>
      <c r="C651" t="s">
        <v>823</v>
      </c>
      <c r="D651" t="s">
        <v>746</v>
      </c>
      <c r="E651" t="s">
        <v>829</v>
      </c>
      <c r="F651" t="s">
        <v>803</v>
      </c>
      <c r="G651" t="s">
        <v>830</v>
      </c>
      <c r="H651" t="s">
        <v>831</v>
      </c>
      <c r="I651" t="s">
        <v>722</v>
      </c>
      <c r="J651" t="s">
        <v>721</v>
      </c>
      <c r="K651"/>
      <c r="L651"/>
      <c r="M651" t="s">
        <v>897</v>
      </c>
      <c r="N651" t="s">
        <v>898</v>
      </c>
      <c r="O651"/>
      <c r="P651" t="e">
        <f>VLOOKUP(N651,#REF!,2,FALSE)</f>
        <v>#REF!</v>
      </c>
      <c r="Q651" t="s">
        <v>873</v>
      </c>
      <c r="R651" s="345">
        <v>460.94</v>
      </c>
    </row>
    <row r="652" spans="1:18" x14ac:dyDescent="0.2">
      <c r="A652" s="344" t="s">
        <v>756</v>
      </c>
      <c r="B652" t="s">
        <v>827</v>
      </c>
      <c r="C652" t="s">
        <v>823</v>
      </c>
      <c r="D652" t="s">
        <v>746</v>
      </c>
      <c r="E652" t="s">
        <v>829</v>
      </c>
      <c r="F652" t="s">
        <v>803</v>
      </c>
      <c r="G652" t="s">
        <v>830</v>
      </c>
      <c r="H652" t="s">
        <v>831</v>
      </c>
      <c r="I652" t="s">
        <v>722</v>
      </c>
      <c r="J652" t="s">
        <v>721</v>
      </c>
      <c r="K652"/>
      <c r="L652"/>
      <c r="M652" t="s">
        <v>897</v>
      </c>
      <c r="N652" t="s">
        <v>898</v>
      </c>
      <c r="O652"/>
      <c r="P652" t="e">
        <f>VLOOKUP(N652,#REF!,2,FALSE)</f>
        <v>#REF!</v>
      </c>
      <c r="Q652" t="s">
        <v>873</v>
      </c>
      <c r="R652" s="345">
        <v>0</v>
      </c>
    </row>
    <row r="653" spans="1:18" x14ac:dyDescent="0.2">
      <c r="A653" s="344" t="s">
        <v>756</v>
      </c>
      <c r="B653" t="s">
        <v>827</v>
      </c>
      <c r="C653" t="s">
        <v>823</v>
      </c>
      <c r="D653" t="s">
        <v>746</v>
      </c>
      <c r="E653" t="s">
        <v>829</v>
      </c>
      <c r="F653" t="s">
        <v>803</v>
      </c>
      <c r="G653" t="s">
        <v>830</v>
      </c>
      <c r="H653" t="s">
        <v>831</v>
      </c>
      <c r="I653" t="s">
        <v>722</v>
      </c>
      <c r="J653" t="s">
        <v>721</v>
      </c>
      <c r="K653"/>
      <c r="L653"/>
      <c r="M653" t="s">
        <v>897</v>
      </c>
      <c r="N653" t="s">
        <v>898</v>
      </c>
      <c r="O653"/>
      <c r="P653" t="e">
        <f>VLOOKUP(N653,#REF!,2,FALSE)</f>
        <v>#REF!</v>
      </c>
      <c r="Q653" t="s">
        <v>878</v>
      </c>
      <c r="R653" s="345">
        <v>4310.21</v>
      </c>
    </row>
    <row r="654" spans="1:18" x14ac:dyDescent="0.2">
      <c r="A654" s="344" t="s">
        <v>755</v>
      </c>
      <c r="B654" t="s">
        <v>827</v>
      </c>
      <c r="C654" t="s">
        <v>823</v>
      </c>
      <c r="D654" t="s">
        <v>746</v>
      </c>
      <c r="E654" t="s">
        <v>829</v>
      </c>
      <c r="F654" t="s">
        <v>803</v>
      </c>
      <c r="G654" t="s">
        <v>830</v>
      </c>
      <c r="H654" t="s">
        <v>831</v>
      </c>
      <c r="I654" t="s">
        <v>722</v>
      </c>
      <c r="J654" t="s">
        <v>721</v>
      </c>
      <c r="K654"/>
      <c r="L654"/>
      <c r="M654" t="s">
        <v>897</v>
      </c>
      <c r="N654" t="s">
        <v>898</v>
      </c>
      <c r="O654"/>
      <c r="P654" t="e">
        <f>VLOOKUP(N654,#REF!,2,FALSE)</f>
        <v>#REF!</v>
      </c>
      <c r="Q654" t="s">
        <v>879</v>
      </c>
      <c r="R654" s="345">
        <v>1212.44</v>
      </c>
    </row>
    <row r="655" spans="1:18" x14ac:dyDescent="0.2">
      <c r="A655" s="344" t="s">
        <v>756</v>
      </c>
      <c r="B655" t="s">
        <v>827</v>
      </c>
      <c r="C655" t="s">
        <v>823</v>
      </c>
      <c r="D655" t="s">
        <v>746</v>
      </c>
      <c r="E655" t="s">
        <v>829</v>
      </c>
      <c r="F655" t="s">
        <v>803</v>
      </c>
      <c r="G655" t="s">
        <v>830</v>
      </c>
      <c r="H655" t="s">
        <v>831</v>
      </c>
      <c r="I655" t="s">
        <v>722</v>
      </c>
      <c r="J655" t="s">
        <v>721</v>
      </c>
      <c r="K655"/>
      <c r="L655"/>
      <c r="M655" t="s">
        <v>897</v>
      </c>
      <c r="N655" t="s">
        <v>898</v>
      </c>
      <c r="O655"/>
      <c r="P655" t="e">
        <f>VLOOKUP(N655,#REF!,2,FALSE)</f>
        <v>#REF!</v>
      </c>
      <c r="Q655" t="s">
        <v>879</v>
      </c>
      <c r="R655" s="345">
        <v>386.35</v>
      </c>
    </row>
    <row r="656" spans="1:18" x14ac:dyDescent="0.2">
      <c r="A656" s="344" t="s">
        <v>756</v>
      </c>
      <c r="B656" t="s">
        <v>827</v>
      </c>
      <c r="C656" t="s">
        <v>823</v>
      </c>
      <c r="D656" t="s">
        <v>746</v>
      </c>
      <c r="E656" t="s">
        <v>829</v>
      </c>
      <c r="F656" t="s">
        <v>803</v>
      </c>
      <c r="G656" t="s">
        <v>830</v>
      </c>
      <c r="H656" t="s">
        <v>831</v>
      </c>
      <c r="I656" t="s">
        <v>722</v>
      </c>
      <c r="J656" t="s">
        <v>721</v>
      </c>
      <c r="K656"/>
      <c r="L656"/>
      <c r="M656" t="s">
        <v>897</v>
      </c>
      <c r="N656" t="s">
        <v>898</v>
      </c>
      <c r="O656"/>
      <c r="P656" t="e">
        <f>VLOOKUP(N656,#REF!,2,FALSE)</f>
        <v>#REF!</v>
      </c>
      <c r="Q656" t="s">
        <v>880</v>
      </c>
      <c r="R656" s="345">
        <v>0.17</v>
      </c>
    </row>
    <row r="657" spans="1:18" x14ac:dyDescent="0.2">
      <c r="A657" s="344" t="s">
        <v>755</v>
      </c>
      <c r="B657" t="s">
        <v>827</v>
      </c>
      <c r="C657" t="s">
        <v>823</v>
      </c>
      <c r="D657" t="s">
        <v>746</v>
      </c>
      <c r="E657" t="s">
        <v>829</v>
      </c>
      <c r="F657" t="s">
        <v>803</v>
      </c>
      <c r="G657" t="s">
        <v>830</v>
      </c>
      <c r="H657" t="s">
        <v>831</v>
      </c>
      <c r="I657" t="s">
        <v>722</v>
      </c>
      <c r="J657" t="s">
        <v>721</v>
      </c>
      <c r="K657"/>
      <c r="L657"/>
      <c r="M657" t="s">
        <v>897</v>
      </c>
      <c r="N657" t="s">
        <v>898</v>
      </c>
      <c r="O657"/>
      <c r="P657" t="e">
        <f>VLOOKUP(N657,#REF!,2,FALSE)</f>
        <v>#REF!</v>
      </c>
      <c r="Q657" t="s">
        <v>870</v>
      </c>
      <c r="R657" s="345">
        <v>8.61</v>
      </c>
    </row>
    <row r="658" spans="1:18" x14ac:dyDescent="0.2">
      <c r="A658" s="344" t="s">
        <v>756</v>
      </c>
      <c r="B658" t="s">
        <v>827</v>
      </c>
      <c r="C658" t="s">
        <v>823</v>
      </c>
      <c r="D658" t="s">
        <v>746</v>
      </c>
      <c r="E658" t="s">
        <v>829</v>
      </c>
      <c r="F658" t="s">
        <v>803</v>
      </c>
      <c r="G658" t="s">
        <v>830</v>
      </c>
      <c r="H658" t="s">
        <v>831</v>
      </c>
      <c r="I658" t="s">
        <v>722</v>
      </c>
      <c r="J658" t="s">
        <v>721</v>
      </c>
      <c r="K658"/>
      <c r="L658"/>
      <c r="M658" t="s">
        <v>897</v>
      </c>
      <c r="N658" t="s">
        <v>898</v>
      </c>
      <c r="O658"/>
      <c r="P658" t="e">
        <f>VLOOKUP(N658,#REF!,2,FALSE)</f>
        <v>#REF!</v>
      </c>
      <c r="Q658" t="s">
        <v>870</v>
      </c>
      <c r="R658" s="345">
        <v>-8.61</v>
      </c>
    </row>
    <row r="659" spans="1:18" x14ac:dyDescent="0.2">
      <c r="A659" s="344" t="s">
        <v>749</v>
      </c>
      <c r="B659" t="s">
        <v>827</v>
      </c>
      <c r="C659" t="s">
        <v>823</v>
      </c>
      <c r="D659" t="s">
        <v>746</v>
      </c>
      <c r="E659" t="s">
        <v>829</v>
      </c>
      <c r="F659" t="s">
        <v>803</v>
      </c>
      <c r="G659" t="s">
        <v>830</v>
      </c>
      <c r="H659" t="s">
        <v>831</v>
      </c>
      <c r="I659" t="s">
        <v>722</v>
      </c>
      <c r="J659" t="s">
        <v>721</v>
      </c>
      <c r="K659"/>
      <c r="L659"/>
      <c r="M659" t="s">
        <v>899</v>
      </c>
      <c r="N659" t="s">
        <v>900</v>
      </c>
      <c r="O659"/>
      <c r="P659" t="e">
        <f>VLOOKUP(N659,#REF!,2,FALSE)</f>
        <v>#REF!</v>
      </c>
      <c r="Q659" t="s">
        <v>876</v>
      </c>
      <c r="R659" s="345">
        <v>-128032.4</v>
      </c>
    </row>
    <row r="660" spans="1:18" x14ac:dyDescent="0.2">
      <c r="A660" s="344" t="s">
        <v>752</v>
      </c>
      <c r="B660" t="s">
        <v>827</v>
      </c>
      <c r="C660" t="s">
        <v>823</v>
      </c>
      <c r="D660" t="s">
        <v>746</v>
      </c>
      <c r="E660" t="s">
        <v>829</v>
      </c>
      <c r="F660" t="s">
        <v>803</v>
      </c>
      <c r="G660" t="s">
        <v>830</v>
      </c>
      <c r="H660" t="s">
        <v>831</v>
      </c>
      <c r="I660" t="s">
        <v>722</v>
      </c>
      <c r="J660" t="s">
        <v>721</v>
      </c>
      <c r="K660"/>
      <c r="L660"/>
      <c r="M660" t="s">
        <v>899</v>
      </c>
      <c r="N660" t="s">
        <v>900</v>
      </c>
      <c r="O660"/>
      <c r="P660" t="e">
        <f>VLOOKUP(N660,#REF!,2,FALSE)</f>
        <v>#REF!</v>
      </c>
      <c r="Q660" t="s">
        <v>876</v>
      </c>
      <c r="R660" s="345">
        <v>-7412</v>
      </c>
    </row>
    <row r="661" spans="1:18" x14ac:dyDescent="0.2">
      <c r="A661" s="344" t="s">
        <v>753</v>
      </c>
      <c r="B661" t="s">
        <v>827</v>
      </c>
      <c r="C661" t="s">
        <v>823</v>
      </c>
      <c r="D661" t="s">
        <v>746</v>
      </c>
      <c r="E661" t="s">
        <v>829</v>
      </c>
      <c r="F661" t="s">
        <v>803</v>
      </c>
      <c r="G661" t="s">
        <v>830</v>
      </c>
      <c r="H661" t="s">
        <v>831</v>
      </c>
      <c r="I661" t="s">
        <v>722</v>
      </c>
      <c r="J661" t="s">
        <v>721</v>
      </c>
      <c r="K661"/>
      <c r="L661"/>
      <c r="M661" t="s">
        <v>899</v>
      </c>
      <c r="N661" t="s">
        <v>900</v>
      </c>
      <c r="O661"/>
      <c r="P661" t="e">
        <f>VLOOKUP(N661,#REF!,2,FALSE)</f>
        <v>#REF!</v>
      </c>
      <c r="Q661" t="s">
        <v>876</v>
      </c>
      <c r="R661" s="345">
        <v>-10567.7</v>
      </c>
    </row>
    <row r="662" spans="1:18" x14ac:dyDescent="0.2">
      <c r="A662" s="344" t="s">
        <v>754</v>
      </c>
      <c r="B662" t="s">
        <v>827</v>
      </c>
      <c r="C662" t="s">
        <v>823</v>
      </c>
      <c r="D662" t="s">
        <v>746</v>
      </c>
      <c r="E662" t="s">
        <v>829</v>
      </c>
      <c r="F662" t="s">
        <v>803</v>
      </c>
      <c r="G662" t="s">
        <v>830</v>
      </c>
      <c r="H662" t="s">
        <v>831</v>
      </c>
      <c r="I662" t="s">
        <v>722</v>
      </c>
      <c r="J662" t="s">
        <v>721</v>
      </c>
      <c r="K662"/>
      <c r="L662"/>
      <c r="M662" t="s">
        <v>899</v>
      </c>
      <c r="N662" t="s">
        <v>900</v>
      </c>
      <c r="O662"/>
      <c r="P662" t="e">
        <f>VLOOKUP(N662,#REF!,2,FALSE)</f>
        <v>#REF!</v>
      </c>
      <c r="Q662" t="s">
        <v>876</v>
      </c>
      <c r="R662" s="345">
        <v>-15653.83</v>
      </c>
    </row>
    <row r="663" spans="1:18" x14ac:dyDescent="0.2">
      <c r="A663" s="344" t="s">
        <v>755</v>
      </c>
      <c r="B663" t="s">
        <v>827</v>
      </c>
      <c r="C663" t="s">
        <v>823</v>
      </c>
      <c r="D663" t="s">
        <v>746</v>
      </c>
      <c r="E663" t="s">
        <v>829</v>
      </c>
      <c r="F663" t="s">
        <v>803</v>
      </c>
      <c r="G663" t="s">
        <v>830</v>
      </c>
      <c r="H663" t="s">
        <v>831</v>
      </c>
      <c r="I663" t="s">
        <v>722</v>
      </c>
      <c r="J663" t="s">
        <v>721</v>
      </c>
      <c r="K663"/>
      <c r="L663"/>
      <c r="M663" t="s">
        <v>899</v>
      </c>
      <c r="N663" t="s">
        <v>900</v>
      </c>
      <c r="O663"/>
      <c r="P663" t="e">
        <f>VLOOKUP(N663,#REF!,2,FALSE)</f>
        <v>#REF!</v>
      </c>
      <c r="Q663" t="s">
        <v>876</v>
      </c>
      <c r="R663" s="345">
        <v>-151850.20000000001</v>
      </c>
    </row>
    <row r="664" spans="1:18" x14ac:dyDescent="0.2">
      <c r="A664" s="344" t="s">
        <v>756</v>
      </c>
      <c r="B664" t="s">
        <v>827</v>
      </c>
      <c r="C664" t="s">
        <v>823</v>
      </c>
      <c r="D664" t="s">
        <v>746</v>
      </c>
      <c r="E664" t="s">
        <v>829</v>
      </c>
      <c r="F664" t="s">
        <v>803</v>
      </c>
      <c r="G664" t="s">
        <v>830</v>
      </c>
      <c r="H664" t="s">
        <v>831</v>
      </c>
      <c r="I664" t="s">
        <v>722</v>
      </c>
      <c r="J664" t="s">
        <v>721</v>
      </c>
      <c r="K664"/>
      <c r="L664"/>
      <c r="M664" t="s">
        <v>899</v>
      </c>
      <c r="N664" t="s">
        <v>900</v>
      </c>
      <c r="O664"/>
      <c r="P664" t="e">
        <f>VLOOKUP(N664,#REF!,2,FALSE)</f>
        <v>#REF!</v>
      </c>
      <c r="Q664" t="s">
        <v>876</v>
      </c>
      <c r="R664" s="345">
        <v>-232900.47</v>
      </c>
    </row>
    <row r="665" spans="1:18" x14ac:dyDescent="0.2">
      <c r="A665" s="344" t="s">
        <v>757</v>
      </c>
      <c r="B665" t="s">
        <v>827</v>
      </c>
      <c r="C665" t="s">
        <v>823</v>
      </c>
      <c r="D665" t="s">
        <v>746</v>
      </c>
      <c r="E665" t="s">
        <v>829</v>
      </c>
      <c r="F665" t="s">
        <v>803</v>
      </c>
      <c r="G665" t="s">
        <v>830</v>
      </c>
      <c r="H665" t="s">
        <v>831</v>
      </c>
      <c r="I665" t="s">
        <v>722</v>
      </c>
      <c r="J665" t="s">
        <v>721</v>
      </c>
      <c r="K665"/>
      <c r="L665"/>
      <c r="M665" t="s">
        <v>899</v>
      </c>
      <c r="N665" t="s">
        <v>900</v>
      </c>
      <c r="O665"/>
      <c r="P665" t="e">
        <f>VLOOKUP(N665,#REF!,2,FALSE)</f>
        <v>#REF!</v>
      </c>
      <c r="Q665" t="s">
        <v>876</v>
      </c>
      <c r="R665" s="345">
        <v>-263402</v>
      </c>
    </row>
    <row r="666" spans="1:18" x14ac:dyDescent="0.2">
      <c r="A666" s="344" t="s">
        <v>758</v>
      </c>
      <c r="B666" t="s">
        <v>827</v>
      </c>
      <c r="C666" t="s">
        <v>823</v>
      </c>
      <c r="D666" t="s">
        <v>746</v>
      </c>
      <c r="E666" t="s">
        <v>829</v>
      </c>
      <c r="F666" t="s">
        <v>803</v>
      </c>
      <c r="G666" t="s">
        <v>830</v>
      </c>
      <c r="H666" t="s">
        <v>831</v>
      </c>
      <c r="I666" t="s">
        <v>722</v>
      </c>
      <c r="J666" t="s">
        <v>721</v>
      </c>
      <c r="K666"/>
      <c r="L666"/>
      <c r="M666" t="s">
        <v>899</v>
      </c>
      <c r="N666" t="s">
        <v>900</v>
      </c>
      <c r="O666"/>
      <c r="P666" t="e">
        <f>VLOOKUP(N666,#REF!,2,FALSE)</f>
        <v>#REF!</v>
      </c>
      <c r="Q666" t="s">
        <v>876</v>
      </c>
      <c r="R666" s="345">
        <v>-62303</v>
      </c>
    </row>
    <row r="667" spans="1:18" x14ac:dyDescent="0.2">
      <c r="A667" s="344" t="s">
        <v>759</v>
      </c>
      <c r="B667" t="s">
        <v>827</v>
      </c>
      <c r="C667" t="s">
        <v>823</v>
      </c>
      <c r="D667" t="s">
        <v>746</v>
      </c>
      <c r="E667" t="s">
        <v>829</v>
      </c>
      <c r="F667" t="s">
        <v>803</v>
      </c>
      <c r="G667" t="s">
        <v>830</v>
      </c>
      <c r="H667" t="s">
        <v>831</v>
      </c>
      <c r="I667" t="s">
        <v>722</v>
      </c>
      <c r="J667" t="s">
        <v>721</v>
      </c>
      <c r="K667"/>
      <c r="L667"/>
      <c r="M667" t="s">
        <v>899</v>
      </c>
      <c r="N667" t="s">
        <v>900</v>
      </c>
      <c r="O667"/>
      <c r="P667" t="e">
        <f>VLOOKUP(N667,#REF!,2,FALSE)</f>
        <v>#REF!</v>
      </c>
      <c r="Q667" t="s">
        <v>876</v>
      </c>
      <c r="R667" s="345">
        <v>-258769</v>
      </c>
    </row>
    <row r="668" spans="1:18" x14ac:dyDescent="0.2">
      <c r="A668" s="344" t="s">
        <v>743</v>
      </c>
      <c r="B668" t="s">
        <v>827</v>
      </c>
      <c r="C668" t="s">
        <v>823</v>
      </c>
      <c r="D668" t="s">
        <v>746</v>
      </c>
      <c r="E668" t="s">
        <v>829</v>
      </c>
      <c r="F668" t="s">
        <v>803</v>
      </c>
      <c r="G668" t="s">
        <v>830</v>
      </c>
      <c r="H668" t="s">
        <v>831</v>
      </c>
      <c r="I668" t="s">
        <v>722</v>
      </c>
      <c r="J668" t="s">
        <v>721</v>
      </c>
      <c r="K668"/>
      <c r="L668"/>
      <c r="M668" t="s">
        <v>899</v>
      </c>
      <c r="N668" t="s">
        <v>900</v>
      </c>
      <c r="O668"/>
      <c r="P668" t="e">
        <f>VLOOKUP(N668,#REF!,2,FALSE)</f>
        <v>#REF!</v>
      </c>
      <c r="Q668" t="s">
        <v>876</v>
      </c>
      <c r="R668" s="345">
        <v>-25875.33</v>
      </c>
    </row>
    <row r="669" spans="1:18" x14ac:dyDescent="0.2">
      <c r="A669" s="344" t="s">
        <v>760</v>
      </c>
      <c r="B669" t="s">
        <v>827</v>
      </c>
      <c r="C669" t="s">
        <v>823</v>
      </c>
      <c r="D669" t="s">
        <v>746</v>
      </c>
      <c r="E669" t="s">
        <v>829</v>
      </c>
      <c r="F669" t="s">
        <v>803</v>
      </c>
      <c r="G669" t="s">
        <v>830</v>
      </c>
      <c r="H669" t="s">
        <v>831</v>
      </c>
      <c r="I669" t="s">
        <v>722</v>
      </c>
      <c r="J669" t="s">
        <v>721</v>
      </c>
      <c r="K669"/>
      <c r="L669"/>
      <c r="M669" t="s">
        <v>899</v>
      </c>
      <c r="N669" t="s">
        <v>900</v>
      </c>
      <c r="O669"/>
      <c r="P669" t="e">
        <f>VLOOKUP(N669,#REF!,2,FALSE)</f>
        <v>#REF!</v>
      </c>
      <c r="Q669" t="s">
        <v>876</v>
      </c>
      <c r="R669" s="345">
        <v>-27124</v>
      </c>
    </row>
    <row r="670" spans="1:18" x14ac:dyDescent="0.2">
      <c r="A670" s="344" t="s">
        <v>745</v>
      </c>
      <c r="B670" t="s">
        <v>827</v>
      </c>
      <c r="C670" t="s">
        <v>823</v>
      </c>
      <c r="D670" t="s">
        <v>746</v>
      </c>
      <c r="E670" t="s">
        <v>829</v>
      </c>
      <c r="F670" t="s">
        <v>803</v>
      </c>
      <c r="G670" t="s">
        <v>830</v>
      </c>
      <c r="H670" t="s">
        <v>831</v>
      </c>
      <c r="I670" t="s">
        <v>722</v>
      </c>
      <c r="J670" t="s">
        <v>721</v>
      </c>
      <c r="K670"/>
      <c r="L670"/>
      <c r="M670" t="s">
        <v>899</v>
      </c>
      <c r="N670" t="s">
        <v>900</v>
      </c>
      <c r="O670"/>
      <c r="P670" t="e">
        <f>VLOOKUP(N670,#REF!,2,FALSE)</f>
        <v>#REF!</v>
      </c>
      <c r="Q670" t="s">
        <v>876</v>
      </c>
      <c r="R670" s="345">
        <v>-58159.75</v>
      </c>
    </row>
    <row r="671" spans="1:18" x14ac:dyDescent="0.2">
      <c r="A671" s="344" t="s">
        <v>749</v>
      </c>
      <c r="B671" t="s">
        <v>827</v>
      </c>
      <c r="C671" t="s">
        <v>823</v>
      </c>
      <c r="D671" t="s">
        <v>746</v>
      </c>
      <c r="E671" t="s">
        <v>829</v>
      </c>
      <c r="F671" t="s">
        <v>803</v>
      </c>
      <c r="G671" t="s">
        <v>830</v>
      </c>
      <c r="H671" t="s">
        <v>831</v>
      </c>
      <c r="I671" t="s">
        <v>722</v>
      </c>
      <c r="J671" t="s">
        <v>721</v>
      </c>
      <c r="K671"/>
      <c r="L671"/>
      <c r="M671" t="s">
        <v>839</v>
      </c>
      <c r="N671" t="s">
        <v>840</v>
      </c>
      <c r="O671"/>
      <c r="P671" t="e">
        <f>VLOOKUP(N671,#REF!,2,FALSE)</f>
        <v>#REF!</v>
      </c>
      <c r="Q671" t="s">
        <v>873</v>
      </c>
      <c r="R671" s="345">
        <v>-11792.41</v>
      </c>
    </row>
    <row r="672" spans="1:18" x14ac:dyDescent="0.2">
      <c r="A672" s="344" t="s">
        <v>752</v>
      </c>
      <c r="B672" t="s">
        <v>827</v>
      </c>
      <c r="C672" t="s">
        <v>823</v>
      </c>
      <c r="D672" t="s">
        <v>746</v>
      </c>
      <c r="E672" t="s">
        <v>829</v>
      </c>
      <c r="F672" t="s">
        <v>803</v>
      </c>
      <c r="G672" t="s">
        <v>830</v>
      </c>
      <c r="H672" t="s">
        <v>831</v>
      </c>
      <c r="I672" t="s">
        <v>722</v>
      </c>
      <c r="J672" t="s">
        <v>721</v>
      </c>
      <c r="K672"/>
      <c r="L672"/>
      <c r="M672" t="s">
        <v>839</v>
      </c>
      <c r="N672" t="s">
        <v>840</v>
      </c>
      <c r="O672"/>
      <c r="P672" t="e">
        <f>VLOOKUP(N672,#REF!,2,FALSE)</f>
        <v>#REF!</v>
      </c>
      <c r="Q672" t="s">
        <v>873</v>
      </c>
      <c r="R672" s="345">
        <v>-1430.23</v>
      </c>
    </row>
    <row r="673" spans="1:18" x14ac:dyDescent="0.2">
      <c r="A673" s="344" t="s">
        <v>753</v>
      </c>
      <c r="B673" t="s">
        <v>827</v>
      </c>
      <c r="C673" t="s">
        <v>823</v>
      </c>
      <c r="D673" t="s">
        <v>746</v>
      </c>
      <c r="E673" t="s">
        <v>829</v>
      </c>
      <c r="F673" t="s">
        <v>803</v>
      </c>
      <c r="G673" t="s">
        <v>830</v>
      </c>
      <c r="H673" t="s">
        <v>831</v>
      </c>
      <c r="I673" t="s">
        <v>722</v>
      </c>
      <c r="J673" t="s">
        <v>721</v>
      </c>
      <c r="K673"/>
      <c r="L673"/>
      <c r="M673" t="s">
        <v>839</v>
      </c>
      <c r="N673" t="s">
        <v>840</v>
      </c>
      <c r="O673"/>
      <c r="P673" t="e">
        <f>VLOOKUP(N673,#REF!,2,FALSE)</f>
        <v>#REF!</v>
      </c>
      <c r="Q673" t="s">
        <v>873</v>
      </c>
      <c r="R673" s="345">
        <v>-3395.29</v>
      </c>
    </row>
    <row r="674" spans="1:18" x14ac:dyDescent="0.2">
      <c r="A674" s="344" t="s">
        <v>754</v>
      </c>
      <c r="B674" t="s">
        <v>827</v>
      </c>
      <c r="C674" t="s">
        <v>823</v>
      </c>
      <c r="D674" t="s">
        <v>746</v>
      </c>
      <c r="E674" t="s">
        <v>829</v>
      </c>
      <c r="F674" t="s">
        <v>803</v>
      </c>
      <c r="G674" t="s">
        <v>830</v>
      </c>
      <c r="H674" t="s">
        <v>831</v>
      </c>
      <c r="I674" t="s">
        <v>722</v>
      </c>
      <c r="J674" t="s">
        <v>721</v>
      </c>
      <c r="K674"/>
      <c r="L674"/>
      <c r="M674" t="s">
        <v>839</v>
      </c>
      <c r="N674" t="s">
        <v>840</v>
      </c>
      <c r="O674"/>
      <c r="P674" t="e">
        <f>VLOOKUP(N674,#REF!,2,FALSE)</f>
        <v>#REF!</v>
      </c>
      <c r="Q674" t="s">
        <v>873</v>
      </c>
      <c r="R674" s="345">
        <v>-7559.2</v>
      </c>
    </row>
    <row r="675" spans="1:18" x14ac:dyDescent="0.2">
      <c r="A675" s="344" t="s">
        <v>755</v>
      </c>
      <c r="B675" t="s">
        <v>827</v>
      </c>
      <c r="C675" t="s">
        <v>823</v>
      </c>
      <c r="D675" t="s">
        <v>746</v>
      </c>
      <c r="E675" t="s">
        <v>829</v>
      </c>
      <c r="F675" t="s">
        <v>803</v>
      </c>
      <c r="G675" t="s">
        <v>830</v>
      </c>
      <c r="H675" t="s">
        <v>831</v>
      </c>
      <c r="I675" t="s">
        <v>722</v>
      </c>
      <c r="J675" t="s">
        <v>721</v>
      </c>
      <c r="K675"/>
      <c r="L675"/>
      <c r="M675" t="s">
        <v>839</v>
      </c>
      <c r="N675" t="s">
        <v>840</v>
      </c>
      <c r="O675"/>
      <c r="P675" t="e">
        <f>VLOOKUP(N675,#REF!,2,FALSE)</f>
        <v>#REF!</v>
      </c>
      <c r="Q675" t="s">
        <v>873</v>
      </c>
      <c r="R675" s="345">
        <v>-2057.1799999999998</v>
      </c>
    </row>
    <row r="676" spans="1:18" x14ac:dyDescent="0.2">
      <c r="A676" s="344" t="s">
        <v>756</v>
      </c>
      <c r="B676" t="s">
        <v>827</v>
      </c>
      <c r="C676" t="s">
        <v>823</v>
      </c>
      <c r="D676" t="s">
        <v>746</v>
      </c>
      <c r="E676" t="s">
        <v>829</v>
      </c>
      <c r="F676" t="s">
        <v>803</v>
      </c>
      <c r="G676" t="s">
        <v>830</v>
      </c>
      <c r="H676" t="s">
        <v>831</v>
      </c>
      <c r="I676" t="s">
        <v>722</v>
      </c>
      <c r="J676" t="s">
        <v>721</v>
      </c>
      <c r="K676"/>
      <c r="L676"/>
      <c r="M676" t="s">
        <v>839</v>
      </c>
      <c r="N676" t="s">
        <v>840</v>
      </c>
      <c r="O676"/>
      <c r="P676" t="e">
        <f>VLOOKUP(N676,#REF!,2,FALSE)</f>
        <v>#REF!</v>
      </c>
      <c r="Q676" t="s">
        <v>873</v>
      </c>
      <c r="R676" s="345">
        <v>-1329.2</v>
      </c>
    </row>
    <row r="677" spans="1:18" x14ac:dyDescent="0.2">
      <c r="A677" s="344" t="s">
        <v>757</v>
      </c>
      <c r="B677" t="s">
        <v>827</v>
      </c>
      <c r="C677" t="s">
        <v>823</v>
      </c>
      <c r="D677" t="s">
        <v>746</v>
      </c>
      <c r="E677" t="s">
        <v>829</v>
      </c>
      <c r="F677" t="s">
        <v>803</v>
      </c>
      <c r="G677" t="s">
        <v>830</v>
      </c>
      <c r="H677" t="s">
        <v>831</v>
      </c>
      <c r="I677" t="s">
        <v>722</v>
      </c>
      <c r="J677" t="s">
        <v>721</v>
      </c>
      <c r="K677"/>
      <c r="L677"/>
      <c r="M677" t="s">
        <v>839</v>
      </c>
      <c r="N677" t="s">
        <v>840</v>
      </c>
      <c r="O677"/>
      <c r="P677" t="e">
        <f>VLOOKUP(N677,#REF!,2,FALSE)</f>
        <v>#REF!</v>
      </c>
      <c r="Q677" t="s">
        <v>873</v>
      </c>
      <c r="R677" s="345">
        <v>-1082.57</v>
      </c>
    </row>
    <row r="678" spans="1:18" x14ac:dyDescent="0.2">
      <c r="A678" s="344" t="s">
        <v>758</v>
      </c>
      <c r="B678" t="s">
        <v>827</v>
      </c>
      <c r="C678" t="s">
        <v>823</v>
      </c>
      <c r="D678" t="s">
        <v>746</v>
      </c>
      <c r="E678" t="s">
        <v>829</v>
      </c>
      <c r="F678" t="s">
        <v>803</v>
      </c>
      <c r="G678" t="s">
        <v>830</v>
      </c>
      <c r="H678" t="s">
        <v>831</v>
      </c>
      <c r="I678" t="s">
        <v>722</v>
      </c>
      <c r="J678" t="s">
        <v>721</v>
      </c>
      <c r="K678"/>
      <c r="L678"/>
      <c r="M678" t="s">
        <v>839</v>
      </c>
      <c r="N678" t="s">
        <v>840</v>
      </c>
      <c r="O678"/>
      <c r="P678" t="e">
        <f>VLOOKUP(N678,#REF!,2,FALSE)</f>
        <v>#REF!</v>
      </c>
      <c r="Q678" t="s">
        <v>873</v>
      </c>
      <c r="R678" s="345">
        <v>-2217.64</v>
      </c>
    </row>
    <row r="679" spans="1:18" x14ac:dyDescent="0.2">
      <c r="A679" s="344" t="s">
        <v>759</v>
      </c>
      <c r="B679" t="s">
        <v>827</v>
      </c>
      <c r="C679" t="s">
        <v>823</v>
      </c>
      <c r="D679" t="s">
        <v>746</v>
      </c>
      <c r="E679" t="s">
        <v>829</v>
      </c>
      <c r="F679" t="s">
        <v>803</v>
      </c>
      <c r="G679" t="s">
        <v>830</v>
      </c>
      <c r="H679" t="s">
        <v>831</v>
      </c>
      <c r="I679" t="s">
        <v>722</v>
      </c>
      <c r="J679" t="s">
        <v>721</v>
      </c>
      <c r="K679"/>
      <c r="L679"/>
      <c r="M679" t="s">
        <v>839</v>
      </c>
      <c r="N679" t="s">
        <v>840</v>
      </c>
      <c r="O679"/>
      <c r="P679" t="e">
        <f>VLOOKUP(N679,#REF!,2,FALSE)</f>
        <v>#REF!</v>
      </c>
      <c r="Q679" t="s">
        <v>873</v>
      </c>
      <c r="R679" s="345">
        <v>-2226.77</v>
      </c>
    </row>
    <row r="680" spans="1:18" x14ac:dyDescent="0.2">
      <c r="A680" s="344" t="s">
        <v>743</v>
      </c>
      <c r="B680" t="s">
        <v>827</v>
      </c>
      <c r="C680" t="s">
        <v>823</v>
      </c>
      <c r="D680" t="s">
        <v>746</v>
      </c>
      <c r="E680" t="s">
        <v>829</v>
      </c>
      <c r="F680" t="s">
        <v>803</v>
      </c>
      <c r="G680" t="s">
        <v>830</v>
      </c>
      <c r="H680" t="s">
        <v>831</v>
      </c>
      <c r="I680" t="s">
        <v>722</v>
      </c>
      <c r="J680" t="s">
        <v>721</v>
      </c>
      <c r="K680"/>
      <c r="L680"/>
      <c r="M680" t="s">
        <v>839</v>
      </c>
      <c r="N680" t="s">
        <v>840</v>
      </c>
      <c r="O680"/>
      <c r="P680" t="e">
        <f>VLOOKUP(N680,#REF!,2,FALSE)</f>
        <v>#REF!</v>
      </c>
      <c r="Q680" t="s">
        <v>873</v>
      </c>
      <c r="R680" s="345">
        <v>-2104.02</v>
      </c>
    </row>
    <row r="681" spans="1:18" x14ac:dyDescent="0.2">
      <c r="A681" s="344" t="s">
        <v>760</v>
      </c>
      <c r="B681" t="s">
        <v>827</v>
      </c>
      <c r="C681" t="s">
        <v>823</v>
      </c>
      <c r="D681" t="s">
        <v>746</v>
      </c>
      <c r="E681" t="s">
        <v>829</v>
      </c>
      <c r="F681" t="s">
        <v>803</v>
      </c>
      <c r="G681" t="s">
        <v>830</v>
      </c>
      <c r="H681" t="s">
        <v>831</v>
      </c>
      <c r="I681" t="s">
        <v>722</v>
      </c>
      <c r="J681" t="s">
        <v>721</v>
      </c>
      <c r="K681"/>
      <c r="L681"/>
      <c r="M681" t="s">
        <v>839</v>
      </c>
      <c r="N681" t="s">
        <v>840</v>
      </c>
      <c r="O681"/>
      <c r="P681" t="e">
        <f>VLOOKUP(N681,#REF!,2,FALSE)</f>
        <v>#REF!</v>
      </c>
      <c r="Q681" t="s">
        <v>873</v>
      </c>
      <c r="R681" s="345">
        <v>-2904.44</v>
      </c>
    </row>
    <row r="682" spans="1:18" x14ac:dyDescent="0.2">
      <c r="A682" s="344" t="s">
        <v>745</v>
      </c>
      <c r="B682" t="s">
        <v>827</v>
      </c>
      <c r="C682" t="s">
        <v>823</v>
      </c>
      <c r="D682" t="s">
        <v>746</v>
      </c>
      <c r="E682" t="s">
        <v>829</v>
      </c>
      <c r="F682" t="s">
        <v>803</v>
      </c>
      <c r="G682" t="s">
        <v>830</v>
      </c>
      <c r="H682" t="s">
        <v>831</v>
      </c>
      <c r="I682" t="s">
        <v>722</v>
      </c>
      <c r="J682" t="s">
        <v>721</v>
      </c>
      <c r="K682"/>
      <c r="L682"/>
      <c r="M682" t="s">
        <v>839</v>
      </c>
      <c r="N682" t="s">
        <v>840</v>
      </c>
      <c r="O682"/>
      <c r="P682" t="e">
        <f>VLOOKUP(N682,#REF!,2,FALSE)</f>
        <v>#REF!</v>
      </c>
      <c r="Q682" t="s">
        <v>873</v>
      </c>
      <c r="R682" s="345">
        <v>-2834.45</v>
      </c>
    </row>
    <row r="683" spans="1:18" x14ac:dyDescent="0.2">
      <c r="A683" s="344" t="s">
        <v>754</v>
      </c>
      <c r="B683" t="s">
        <v>827</v>
      </c>
      <c r="C683" t="s">
        <v>823</v>
      </c>
      <c r="D683" t="s">
        <v>746</v>
      </c>
      <c r="E683" t="s">
        <v>829</v>
      </c>
      <c r="F683" t="s">
        <v>803</v>
      </c>
      <c r="G683" t="s">
        <v>830</v>
      </c>
      <c r="H683" t="s">
        <v>831</v>
      </c>
      <c r="I683" t="s">
        <v>722</v>
      </c>
      <c r="J683" t="s">
        <v>721</v>
      </c>
      <c r="K683"/>
      <c r="L683"/>
      <c r="M683" t="s">
        <v>839</v>
      </c>
      <c r="N683" t="s">
        <v>840</v>
      </c>
      <c r="O683"/>
      <c r="P683" t="e">
        <f>VLOOKUP(N683,#REF!,2,FALSE)</f>
        <v>#REF!</v>
      </c>
      <c r="Q683" t="s">
        <v>886</v>
      </c>
      <c r="R683" s="345">
        <v>-19.829999999999998</v>
      </c>
    </row>
    <row r="684" spans="1:18" x14ac:dyDescent="0.2">
      <c r="A684" s="344" t="s">
        <v>755</v>
      </c>
      <c r="B684" t="s">
        <v>827</v>
      </c>
      <c r="C684" t="s">
        <v>823</v>
      </c>
      <c r="D684" t="s">
        <v>746</v>
      </c>
      <c r="E684" t="s">
        <v>829</v>
      </c>
      <c r="F684" t="s">
        <v>803</v>
      </c>
      <c r="G684" t="s">
        <v>830</v>
      </c>
      <c r="H684" t="s">
        <v>831</v>
      </c>
      <c r="I684" t="s">
        <v>722</v>
      </c>
      <c r="J684" t="s">
        <v>721</v>
      </c>
      <c r="K684"/>
      <c r="L684"/>
      <c r="M684" t="s">
        <v>839</v>
      </c>
      <c r="N684" t="s">
        <v>840</v>
      </c>
      <c r="O684"/>
      <c r="P684" t="e">
        <f>VLOOKUP(N684,#REF!,2,FALSE)</f>
        <v>#REF!</v>
      </c>
      <c r="Q684" t="s">
        <v>886</v>
      </c>
      <c r="R684" s="345">
        <v>19.829999999999998</v>
      </c>
    </row>
    <row r="685" spans="1:18" x14ac:dyDescent="0.2">
      <c r="A685" s="344" t="s">
        <v>749</v>
      </c>
      <c r="B685" t="s">
        <v>827</v>
      </c>
      <c r="C685" t="s">
        <v>823</v>
      </c>
      <c r="D685" t="s">
        <v>746</v>
      </c>
      <c r="E685" t="s">
        <v>829</v>
      </c>
      <c r="F685" t="s">
        <v>803</v>
      </c>
      <c r="G685" t="s">
        <v>830</v>
      </c>
      <c r="H685" t="s">
        <v>831</v>
      </c>
      <c r="I685" t="s">
        <v>722</v>
      </c>
      <c r="J685" t="s">
        <v>721</v>
      </c>
      <c r="K685"/>
      <c r="L685"/>
      <c r="M685" t="s">
        <v>841</v>
      </c>
      <c r="N685" t="s">
        <v>842</v>
      </c>
      <c r="O685"/>
      <c r="P685" t="e">
        <f>VLOOKUP(N685,#REF!,2,FALSE)</f>
        <v>#REF!</v>
      </c>
      <c r="Q685" t="s">
        <v>856</v>
      </c>
      <c r="R685" s="345">
        <v>-2680.38</v>
      </c>
    </row>
    <row r="686" spans="1:18" x14ac:dyDescent="0.2">
      <c r="A686" s="344" t="s">
        <v>752</v>
      </c>
      <c r="B686" t="s">
        <v>827</v>
      </c>
      <c r="C686" t="s">
        <v>823</v>
      </c>
      <c r="D686" t="s">
        <v>746</v>
      </c>
      <c r="E686" t="s">
        <v>829</v>
      </c>
      <c r="F686" t="s">
        <v>803</v>
      </c>
      <c r="G686" t="s">
        <v>830</v>
      </c>
      <c r="H686" t="s">
        <v>831</v>
      </c>
      <c r="I686" t="s">
        <v>722</v>
      </c>
      <c r="J686" t="s">
        <v>721</v>
      </c>
      <c r="K686"/>
      <c r="L686"/>
      <c r="M686" t="s">
        <v>841</v>
      </c>
      <c r="N686" t="s">
        <v>842</v>
      </c>
      <c r="O686"/>
      <c r="P686" t="e">
        <f>VLOOKUP(N686,#REF!,2,FALSE)</f>
        <v>#REF!</v>
      </c>
      <c r="Q686" t="s">
        <v>856</v>
      </c>
      <c r="R686" s="345">
        <v>-1856.13</v>
      </c>
    </row>
    <row r="687" spans="1:18" x14ac:dyDescent="0.2">
      <c r="A687" s="344" t="s">
        <v>754</v>
      </c>
      <c r="B687" t="s">
        <v>827</v>
      </c>
      <c r="C687" t="s">
        <v>823</v>
      </c>
      <c r="D687" t="s">
        <v>746</v>
      </c>
      <c r="E687" t="s">
        <v>829</v>
      </c>
      <c r="F687" t="s">
        <v>803</v>
      </c>
      <c r="G687" t="s">
        <v>830</v>
      </c>
      <c r="H687" t="s">
        <v>831</v>
      </c>
      <c r="I687" t="s">
        <v>722</v>
      </c>
      <c r="J687" t="s">
        <v>721</v>
      </c>
      <c r="K687"/>
      <c r="L687"/>
      <c r="M687" t="s">
        <v>841</v>
      </c>
      <c r="N687" t="s">
        <v>842</v>
      </c>
      <c r="O687"/>
      <c r="P687" t="e">
        <f>VLOOKUP(N687,#REF!,2,FALSE)</f>
        <v>#REF!</v>
      </c>
      <c r="Q687" t="s">
        <v>856</v>
      </c>
      <c r="R687" s="345">
        <v>-529.33000000000004</v>
      </c>
    </row>
    <row r="688" spans="1:18" x14ac:dyDescent="0.2">
      <c r="A688" s="344" t="s">
        <v>759</v>
      </c>
      <c r="B688" t="s">
        <v>827</v>
      </c>
      <c r="C688" t="s">
        <v>823</v>
      </c>
      <c r="D688" t="s">
        <v>746</v>
      </c>
      <c r="E688" t="s">
        <v>829</v>
      </c>
      <c r="F688" t="s">
        <v>803</v>
      </c>
      <c r="G688" t="s">
        <v>830</v>
      </c>
      <c r="H688" t="s">
        <v>831</v>
      </c>
      <c r="I688" t="s">
        <v>722</v>
      </c>
      <c r="J688" t="s">
        <v>721</v>
      </c>
      <c r="K688"/>
      <c r="L688"/>
      <c r="M688" t="s">
        <v>841</v>
      </c>
      <c r="N688" t="s">
        <v>842</v>
      </c>
      <c r="O688"/>
      <c r="P688" t="e">
        <f>VLOOKUP(N688,#REF!,2,FALSE)</f>
        <v>#REF!</v>
      </c>
      <c r="Q688" t="s">
        <v>856</v>
      </c>
      <c r="R688" s="345">
        <v>-3963.09</v>
      </c>
    </row>
    <row r="689" spans="1:18" x14ac:dyDescent="0.2">
      <c r="A689" s="344" t="s">
        <v>760</v>
      </c>
      <c r="B689" t="s">
        <v>827</v>
      </c>
      <c r="C689" t="s">
        <v>823</v>
      </c>
      <c r="D689" t="s">
        <v>746</v>
      </c>
      <c r="E689" t="s">
        <v>829</v>
      </c>
      <c r="F689" t="s">
        <v>803</v>
      </c>
      <c r="G689" t="s">
        <v>830</v>
      </c>
      <c r="H689" t="s">
        <v>831</v>
      </c>
      <c r="I689" t="s">
        <v>722</v>
      </c>
      <c r="J689" t="s">
        <v>721</v>
      </c>
      <c r="K689"/>
      <c r="L689"/>
      <c r="M689" t="s">
        <v>841</v>
      </c>
      <c r="N689" t="s">
        <v>842</v>
      </c>
      <c r="O689"/>
      <c r="P689" t="e">
        <f>VLOOKUP(N689,#REF!,2,FALSE)</f>
        <v>#REF!</v>
      </c>
      <c r="Q689" t="s">
        <v>856</v>
      </c>
      <c r="R689" s="345">
        <v>-820.13</v>
      </c>
    </row>
    <row r="690" spans="1:18" x14ac:dyDescent="0.2">
      <c r="A690" s="344" t="s">
        <v>745</v>
      </c>
      <c r="B690" t="s">
        <v>827</v>
      </c>
      <c r="C690" t="s">
        <v>823</v>
      </c>
      <c r="D690" t="s">
        <v>746</v>
      </c>
      <c r="E690" t="s">
        <v>829</v>
      </c>
      <c r="F690" t="s">
        <v>803</v>
      </c>
      <c r="G690" t="s">
        <v>830</v>
      </c>
      <c r="H690" t="s">
        <v>831</v>
      </c>
      <c r="I690" t="s">
        <v>722</v>
      </c>
      <c r="J690" t="s">
        <v>721</v>
      </c>
      <c r="K690"/>
      <c r="L690"/>
      <c r="M690" t="s">
        <v>841</v>
      </c>
      <c r="N690" t="s">
        <v>842</v>
      </c>
      <c r="O690"/>
      <c r="P690" t="e">
        <f>VLOOKUP(N690,#REF!,2,FALSE)</f>
        <v>#REF!</v>
      </c>
      <c r="Q690" t="s">
        <v>856</v>
      </c>
      <c r="R690" s="345">
        <v>-1444.25</v>
      </c>
    </row>
    <row r="691" spans="1:18" x14ac:dyDescent="0.2">
      <c r="A691" s="344" t="s">
        <v>749</v>
      </c>
      <c r="B691" t="s">
        <v>827</v>
      </c>
      <c r="C691" t="s">
        <v>823</v>
      </c>
      <c r="D691" t="s">
        <v>746</v>
      </c>
      <c r="E691" t="s">
        <v>829</v>
      </c>
      <c r="F691" t="s">
        <v>803</v>
      </c>
      <c r="G691" t="s">
        <v>830</v>
      </c>
      <c r="H691" t="s">
        <v>831</v>
      </c>
      <c r="I691" t="s">
        <v>722</v>
      </c>
      <c r="J691" t="s">
        <v>721</v>
      </c>
      <c r="K691"/>
      <c r="L691"/>
      <c r="M691" t="s">
        <v>841</v>
      </c>
      <c r="N691" t="s">
        <v>842</v>
      </c>
      <c r="O691"/>
      <c r="P691" t="e">
        <f>VLOOKUP(N691,#REF!,2,FALSE)</f>
        <v>#REF!</v>
      </c>
      <c r="Q691" t="s">
        <v>872</v>
      </c>
      <c r="R691" s="345">
        <v>-123.99</v>
      </c>
    </row>
    <row r="692" spans="1:18" x14ac:dyDescent="0.2">
      <c r="A692" s="344" t="s">
        <v>754</v>
      </c>
      <c r="B692" t="s">
        <v>827</v>
      </c>
      <c r="C692" t="s">
        <v>823</v>
      </c>
      <c r="D692" t="s">
        <v>746</v>
      </c>
      <c r="E692" t="s">
        <v>829</v>
      </c>
      <c r="F692" t="s">
        <v>803</v>
      </c>
      <c r="G692" t="s">
        <v>830</v>
      </c>
      <c r="H692" t="s">
        <v>831</v>
      </c>
      <c r="I692" t="s">
        <v>722</v>
      </c>
      <c r="J692" t="s">
        <v>721</v>
      </c>
      <c r="K692"/>
      <c r="L692"/>
      <c r="M692" t="s">
        <v>841</v>
      </c>
      <c r="N692" t="s">
        <v>842</v>
      </c>
      <c r="O692"/>
      <c r="P692" t="e">
        <f>VLOOKUP(N692,#REF!,2,FALSE)</f>
        <v>#REF!</v>
      </c>
      <c r="Q692" t="s">
        <v>859</v>
      </c>
      <c r="R692" s="345">
        <v>-49.63</v>
      </c>
    </row>
    <row r="693" spans="1:18" x14ac:dyDescent="0.2">
      <c r="A693" s="344" t="s">
        <v>755</v>
      </c>
      <c r="B693" t="s">
        <v>827</v>
      </c>
      <c r="C693" t="s">
        <v>823</v>
      </c>
      <c r="D693" t="s">
        <v>746</v>
      </c>
      <c r="E693" t="s">
        <v>829</v>
      </c>
      <c r="F693" t="s">
        <v>803</v>
      </c>
      <c r="G693" t="s">
        <v>830</v>
      </c>
      <c r="H693" t="s">
        <v>831</v>
      </c>
      <c r="I693" t="s">
        <v>722</v>
      </c>
      <c r="J693" t="s">
        <v>721</v>
      </c>
      <c r="K693"/>
      <c r="L693"/>
      <c r="M693" t="s">
        <v>841</v>
      </c>
      <c r="N693" t="s">
        <v>842</v>
      </c>
      <c r="O693"/>
      <c r="P693" t="e">
        <f>VLOOKUP(N693,#REF!,2,FALSE)</f>
        <v>#REF!</v>
      </c>
      <c r="Q693" t="s">
        <v>859</v>
      </c>
      <c r="R693" s="345">
        <v>-79.41</v>
      </c>
    </row>
    <row r="694" spans="1:18" x14ac:dyDescent="0.2">
      <c r="A694" s="344" t="s">
        <v>756</v>
      </c>
      <c r="B694" t="s">
        <v>827</v>
      </c>
      <c r="C694" t="s">
        <v>823</v>
      </c>
      <c r="D694" t="s">
        <v>746</v>
      </c>
      <c r="E694" t="s">
        <v>829</v>
      </c>
      <c r="F694" t="s">
        <v>803</v>
      </c>
      <c r="G694" t="s">
        <v>830</v>
      </c>
      <c r="H694" t="s">
        <v>831</v>
      </c>
      <c r="I694" t="s">
        <v>722</v>
      </c>
      <c r="J694" t="s">
        <v>721</v>
      </c>
      <c r="K694"/>
      <c r="L694"/>
      <c r="M694" t="s">
        <v>841</v>
      </c>
      <c r="N694" t="s">
        <v>842</v>
      </c>
      <c r="O694"/>
      <c r="P694" t="e">
        <f>VLOOKUP(N694,#REF!,2,FALSE)</f>
        <v>#REF!</v>
      </c>
      <c r="Q694" t="s">
        <v>859</v>
      </c>
      <c r="R694" s="345">
        <v>0</v>
      </c>
    </row>
    <row r="695" spans="1:18" x14ac:dyDescent="0.2">
      <c r="A695" s="344" t="s">
        <v>757</v>
      </c>
      <c r="B695" t="s">
        <v>827</v>
      </c>
      <c r="C695" t="s">
        <v>823</v>
      </c>
      <c r="D695" t="s">
        <v>746</v>
      </c>
      <c r="E695" t="s">
        <v>829</v>
      </c>
      <c r="F695" t="s">
        <v>803</v>
      </c>
      <c r="G695" t="s">
        <v>830</v>
      </c>
      <c r="H695" t="s">
        <v>831</v>
      </c>
      <c r="I695" t="s">
        <v>722</v>
      </c>
      <c r="J695" t="s">
        <v>721</v>
      </c>
      <c r="K695"/>
      <c r="L695"/>
      <c r="M695" t="s">
        <v>841</v>
      </c>
      <c r="N695" t="s">
        <v>842</v>
      </c>
      <c r="O695"/>
      <c r="P695" t="e">
        <f>VLOOKUP(N695,#REF!,2,FALSE)</f>
        <v>#REF!</v>
      </c>
      <c r="Q695" t="s">
        <v>859</v>
      </c>
      <c r="R695" s="345">
        <v>-2004.57</v>
      </c>
    </row>
    <row r="696" spans="1:18" x14ac:dyDescent="0.2">
      <c r="A696" s="344" t="s">
        <v>758</v>
      </c>
      <c r="B696" t="s">
        <v>827</v>
      </c>
      <c r="C696" t="s">
        <v>823</v>
      </c>
      <c r="D696" t="s">
        <v>746</v>
      </c>
      <c r="E696" t="s">
        <v>829</v>
      </c>
      <c r="F696" t="s">
        <v>803</v>
      </c>
      <c r="G696" t="s">
        <v>830</v>
      </c>
      <c r="H696" t="s">
        <v>831</v>
      </c>
      <c r="I696" t="s">
        <v>722</v>
      </c>
      <c r="J696" t="s">
        <v>721</v>
      </c>
      <c r="K696"/>
      <c r="L696"/>
      <c r="M696" t="s">
        <v>841</v>
      </c>
      <c r="N696" t="s">
        <v>842</v>
      </c>
      <c r="O696"/>
      <c r="P696" t="e">
        <f>VLOOKUP(N696,#REF!,2,FALSE)</f>
        <v>#REF!</v>
      </c>
      <c r="Q696" t="s">
        <v>859</v>
      </c>
      <c r="R696" s="345">
        <v>2004.57</v>
      </c>
    </row>
    <row r="697" spans="1:18" x14ac:dyDescent="0.2">
      <c r="A697" s="344" t="s">
        <v>759</v>
      </c>
      <c r="B697" t="s">
        <v>827</v>
      </c>
      <c r="C697" t="s">
        <v>823</v>
      </c>
      <c r="D697" t="s">
        <v>746</v>
      </c>
      <c r="E697" t="s">
        <v>829</v>
      </c>
      <c r="F697" t="s">
        <v>803</v>
      </c>
      <c r="G697" t="s">
        <v>830</v>
      </c>
      <c r="H697" t="s">
        <v>831</v>
      </c>
      <c r="I697" t="s">
        <v>722</v>
      </c>
      <c r="J697" t="s">
        <v>721</v>
      </c>
      <c r="K697"/>
      <c r="L697"/>
      <c r="M697" t="s">
        <v>841</v>
      </c>
      <c r="N697" t="s">
        <v>842</v>
      </c>
      <c r="O697"/>
      <c r="P697" t="e">
        <f>VLOOKUP(N697,#REF!,2,FALSE)</f>
        <v>#REF!</v>
      </c>
      <c r="Q697" t="s">
        <v>859</v>
      </c>
      <c r="R697" s="345">
        <v>0</v>
      </c>
    </row>
    <row r="698" spans="1:18" x14ac:dyDescent="0.2">
      <c r="A698" s="344" t="s">
        <v>745</v>
      </c>
      <c r="B698" t="s">
        <v>827</v>
      </c>
      <c r="C698" t="s">
        <v>823</v>
      </c>
      <c r="D698" t="s">
        <v>746</v>
      </c>
      <c r="E698" t="s">
        <v>829</v>
      </c>
      <c r="F698" t="s">
        <v>803</v>
      </c>
      <c r="G698" t="s">
        <v>830</v>
      </c>
      <c r="H698" t="s">
        <v>831</v>
      </c>
      <c r="I698" t="s">
        <v>722</v>
      </c>
      <c r="J698" t="s">
        <v>721</v>
      </c>
      <c r="K698"/>
      <c r="L698"/>
      <c r="M698" t="s">
        <v>841</v>
      </c>
      <c r="N698" t="s">
        <v>842</v>
      </c>
      <c r="O698"/>
      <c r="P698" t="e">
        <f>VLOOKUP(N698,#REF!,2,FALSE)</f>
        <v>#REF!</v>
      </c>
      <c r="Q698" t="s">
        <v>859</v>
      </c>
      <c r="R698" s="345">
        <v>-1333.75</v>
      </c>
    </row>
    <row r="699" spans="1:18" x14ac:dyDescent="0.2">
      <c r="A699" s="344" t="s">
        <v>757</v>
      </c>
      <c r="B699" t="s">
        <v>827</v>
      </c>
      <c r="C699" t="s">
        <v>823</v>
      </c>
      <c r="D699" t="s">
        <v>746</v>
      </c>
      <c r="E699" t="s">
        <v>829</v>
      </c>
      <c r="F699" t="s">
        <v>803</v>
      </c>
      <c r="G699" t="s">
        <v>830</v>
      </c>
      <c r="H699" t="s">
        <v>831</v>
      </c>
      <c r="I699" t="s">
        <v>722</v>
      </c>
      <c r="J699" t="s">
        <v>721</v>
      </c>
      <c r="K699"/>
      <c r="L699"/>
      <c r="M699" t="s">
        <v>841</v>
      </c>
      <c r="N699" t="s">
        <v>842</v>
      </c>
      <c r="O699"/>
      <c r="P699" t="e">
        <f>VLOOKUP(N699,#REF!,2,FALSE)</f>
        <v>#REF!</v>
      </c>
      <c r="Q699" t="s">
        <v>875</v>
      </c>
      <c r="R699" s="345">
        <v>-1304.56</v>
      </c>
    </row>
    <row r="700" spans="1:18" x14ac:dyDescent="0.2">
      <c r="A700" s="344" t="s">
        <v>758</v>
      </c>
      <c r="B700" t="s">
        <v>827</v>
      </c>
      <c r="C700" t="s">
        <v>823</v>
      </c>
      <c r="D700" t="s">
        <v>746</v>
      </c>
      <c r="E700" t="s">
        <v>829</v>
      </c>
      <c r="F700" t="s">
        <v>803</v>
      </c>
      <c r="G700" t="s">
        <v>830</v>
      </c>
      <c r="H700" t="s">
        <v>831</v>
      </c>
      <c r="I700" t="s">
        <v>722</v>
      </c>
      <c r="J700" t="s">
        <v>721</v>
      </c>
      <c r="K700"/>
      <c r="L700"/>
      <c r="M700" t="s">
        <v>841</v>
      </c>
      <c r="N700" t="s">
        <v>842</v>
      </c>
      <c r="O700"/>
      <c r="P700" t="e">
        <f>VLOOKUP(N700,#REF!,2,FALSE)</f>
        <v>#REF!</v>
      </c>
      <c r="Q700" t="s">
        <v>875</v>
      </c>
      <c r="R700" s="345">
        <v>-5390.86</v>
      </c>
    </row>
    <row r="701" spans="1:18" x14ac:dyDescent="0.2">
      <c r="A701" s="344" t="s">
        <v>759</v>
      </c>
      <c r="B701" t="s">
        <v>827</v>
      </c>
      <c r="C701" t="s">
        <v>823</v>
      </c>
      <c r="D701" t="s">
        <v>746</v>
      </c>
      <c r="E701" t="s">
        <v>829</v>
      </c>
      <c r="F701" t="s">
        <v>803</v>
      </c>
      <c r="G701" t="s">
        <v>830</v>
      </c>
      <c r="H701" t="s">
        <v>831</v>
      </c>
      <c r="I701" t="s">
        <v>722</v>
      </c>
      <c r="J701" t="s">
        <v>721</v>
      </c>
      <c r="K701"/>
      <c r="L701"/>
      <c r="M701" t="s">
        <v>841</v>
      </c>
      <c r="N701" t="s">
        <v>842</v>
      </c>
      <c r="O701"/>
      <c r="P701" t="e">
        <f>VLOOKUP(N701,#REF!,2,FALSE)</f>
        <v>#REF!</v>
      </c>
      <c r="Q701" t="s">
        <v>875</v>
      </c>
      <c r="R701" s="345">
        <v>-1740.38</v>
      </c>
    </row>
    <row r="702" spans="1:18" x14ac:dyDescent="0.2">
      <c r="A702" s="344" t="s">
        <v>743</v>
      </c>
      <c r="B702" t="s">
        <v>827</v>
      </c>
      <c r="C702" t="s">
        <v>823</v>
      </c>
      <c r="D702" t="s">
        <v>746</v>
      </c>
      <c r="E702" t="s">
        <v>829</v>
      </c>
      <c r="F702" t="s">
        <v>803</v>
      </c>
      <c r="G702" t="s">
        <v>830</v>
      </c>
      <c r="H702" t="s">
        <v>831</v>
      </c>
      <c r="I702" t="s">
        <v>722</v>
      </c>
      <c r="J702" t="s">
        <v>721</v>
      </c>
      <c r="K702"/>
      <c r="L702"/>
      <c r="M702" t="s">
        <v>841</v>
      </c>
      <c r="N702" t="s">
        <v>842</v>
      </c>
      <c r="O702"/>
      <c r="P702" t="e">
        <f>VLOOKUP(N702,#REF!,2,FALSE)</f>
        <v>#REF!</v>
      </c>
      <c r="Q702" t="s">
        <v>875</v>
      </c>
      <c r="R702" s="345">
        <v>-3772.2</v>
      </c>
    </row>
    <row r="703" spans="1:18" x14ac:dyDescent="0.2">
      <c r="A703" s="344" t="s">
        <v>760</v>
      </c>
      <c r="B703" t="s">
        <v>827</v>
      </c>
      <c r="C703" t="s">
        <v>823</v>
      </c>
      <c r="D703" t="s">
        <v>746</v>
      </c>
      <c r="E703" t="s">
        <v>829</v>
      </c>
      <c r="F703" t="s">
        <v>803</v>
      </c>
      <c r="G703" t="s">
        <v>830</v>
      </c>
      <c r="H703" t="s">
        <v>831</v>
      </c>
      <c r="I703" t="s">
        <v>722</v>
      </c>
      <c r="J703" t="s">
        <v>721</v>
      </c>
      <c r="K703"/>
      <c r="L703"/>
      <c r="M703" t="s">
        <v>841</v>
      </c>
      <c r="N703" t="s">
        <v>842</v>
      </c>
      <c r="O703"/>
      <c r="P703" t="e">
        <f>VLOOKUP(N703,#REF!,2,FALSE)</f>
        <v>#REF!</v>
      </c>
      <c r="Q703" t="s">
        <v>875</v>
      </c>
      <c r="R703" s="345">
        <v>-22303.119999999999</v>
      </c>
    </row>
    <row r="704" spans="1:18" x14ac:dyDescent="0.2">
      <c r="A704" s="344" t="s">
        <v>745</v>
      </c>
      <c r="B704" t="s">
        <v>827</v>
      </c>
      <c r="C704" t="s">
        <v>823</v>
      </c>
      <c r="D704" t="s">
        <v>746</v>
      </c>
      <c r="E704" t="s">
        <v>829</v>
      </c>
      <c r="F704" t="s">
        <v>803</v>
      </c>
      <c r="G704" t="s">
        <v>830</v>
      </c>
      <c r="H704" t="s">
        <v>831</v>
      </c>
      <c r="I704" t="s">
        <v>722</v>
      </c>
      <c r="J704" t="s">
        <v>721</v>
      </c>
      <c r="K704"/>
      <c r="L704"/>
      <c r="M704" t="s">
        <v>841</v>
      </c>
      <c r="N704" t="s">
        <v>842</v>
      </c>
      <c r="O704"/>
      <c r="P704" t="e">
        <f>VLOOKUP(N704,#REF!,2,FALSE)</f>
        <v>#REF!</v>
      </c>
      <c r="Q704" t="s">
        <v>875</v>
      </c>
      <c r="R704" s="345">
        <v>16976.68</v>
      </c>
    </row>
    <row r="705" spans="1:18" x14ac:dyDescent="0.2">
      <c r="A705" s="344" t="s">
        <v>749</v>
      </c>
      <c r="B705" t="s">
        <v>827</v>
      </c>
      <c r="C705" t="s">
        <v>823</v>
      </c>
      <c r="D705" t="s">
        <v>746</v>
      </c>
      <c r="E705" t="s">
        <v>829</v>
      </c>
      <c r="F705" t="s">
        <v>803</v>
      </c>
      <c r="G705" t="s">
        <v>830</v>
      </c>
      <c r="H705" t="s">
        <v>831</v>
      </c>
      <c r="I705" t="s">
        <v>722</v>
      </c>
      <c r="J705" t="s">
        <v>721</v>
      </c>
      <c r="K705"/>
      <c r="L705"/>
      <c r="M705" t="s">
        <v>841</v>
      </c>
      <c r="N705" t="s">
        <v>842</v>
      </c>
      <c r="O705"/>
      <c r="P705" t="e">
        <f>VLOOKUP(N705,#REF!,2,FALSE)</f>
        <v>#REF!</v>
      </c>
      <c r="Q705" t="s">
        <v>877</v>
      </c>
      <c r="R705" s="345">
        <v>2546.98</v>
      </c>
    </row>
    <row r="706" spans="1:18" x14ac:dyDescent="0.2">
      <c r="A706" s="344" t="s">
        <v>745</v>
      </c>
      <c r="B706" t="s">
        <v>827</v>
      </c>
      <c r="C706" t="s">
        <v>823</v>
      </c>
      <c r="D706" t="s">
        <v>746</v>
      </c>
      <c r="E706" t="s">
        <v>829</v>
      </c>
      <c r="F706" t="s">
        <v>803</v>
      </c>
      <c r="G706" t="s">
        <v>830</v>
      </c>
      <c r="H706" t="s">
        <v>831</v>
      </c>
      <c r="I706" t="s">
        <v>722</v>
      </c>
      <c r="J706" t="s">
        <v>721</v>
      </c>
      <c r="K706"/>
      <c r="L706"/>
      <c r="M706" t="s">
        <v>841</v>
      </c>
      <c r="N706" t="s">
        <v>842</v>
      </c>
      <c r="O706"/>
      <c r="P706" t="e">
        <f>VLOOKUP(N706,#REF!,2,FALSE)</f>
        <v>#REF!</v>
      </c>
      <c r="Q706" t="s">
        <v>877</v>
      </c>
      <c r="R706" s="345">
        <v>-8.1199999999999992</v>
      </c>
    </row>
    <row r="707" spans="1:18" x14ac:dyDescent="0.2">
      <c r="A707" s="344" t="s">
        <v>749</v>
      </c>
      <c r="B707" t="s">
        <v>827</v>
      </c>
      <c r="C707" t="s">
        <v>823</v>
      </c>
      <c r="D707" t="s">
        <v>746</v>
      </c>
      <c r="E707" t="s">
        <v>829</v>
      </c>
      <c r="F707" t="s">
        <v>803</v>
      </c>
      <c r="G707" t="s">
        <v>830</v>
      </c>
      <c r="H707" t="s">
        <v>831</v>
      </c>
      <c r="I707" t="s">
        <v>722</v>
      </c>
      <c r="J707" t="s">
        <v>721</v>
      </c>
      <c r="K707"/>
      <c r="L707"/>
      <c r="M707" t="s">
        <v>841</v>
      </c>
      <c r="N707" t="s">
        <v>842</v>
      </c>
      <c r="O707"/>
      <c r="P707" t="e">
        <f>VLOOKUP(N707,#REF!,2,FALSE)</f>
        <v>#REF!</v>
      </c>
      <c r="Q707" t="s">
        <v>879</v>
      </c>
      <c r="R707" s="345">
        <v>-10108.11</v>
      </c>
    </row>
    <row r="708" spans="1:18" x14ac:dyDescent="0.2">
      <c r="A708" s="344" t="s">
        <v>752</v>
      </c>
      <c r="B708" t="s">
        <v>827</v>
      </c>
      <c r="C708" t="s">
        <v>823</v>
      </c>
      <c r="D708" t="s">
        <v>746</v>
      </c>
      <c r="E708" t="s">
        <v>829</v>
      </c>
      <c r="F708" t="s">
        <v>803</v>
      </c>
      <c r="G708" t="s">
        <v>830</v>
      </c>
      <c r="H708" t="s">
        <v>831</v>
      </c>
      <c r="I708" t="s">
        <v>722</v>
      </c>
      <c r="J708" t="s">
        <v>721</v>
      </c>
      <c r="K708"/>
      <c r="L708"/>
      <c r="M708" t="s">
        <v>841</v>
      </c>
      <c r="N708" t="s">
        <v>842</v>
      </c>
      <c r="O708"/>
      <c r="P708" t="e">
        <f>VLOOKUP(N708,#REF!,2,FALSE)</f>
        <v>#REF!</v>
      </c>
      <c r="Q708" t="s">
        <v>879</v>
      </c>
      <c r="R708" s="345">
        <v>4.8099999999999996</v>
      </c>
    </row>
    <row r="709" spans="1:18" x14ac:dyDescent="0.2">
      <c r="A709" s="344" t="s">
        <v>755</v>
      </c>
      <c r="B709" t="s">
        <v>827</v>
      </c>
      <c r="C709" t="s">
        <v>823</v>
      </c>
      <c r="D709" t="s">
        <v>746</v>
      </c>
      <c r="E709" t="s">
        <v>829</v>
      </c>
      <c r="F709" t="s">
        <v>803</v>
      </c>
      <c r="G709" t="s">
        <v>830</v>
      </c>
      <c r="H709" t="s">
        <v>831</v>
      </c>
      <c r="I709" t="s">
        <v>722</v>
      </c>
      <c r="J709" t="s">
        <v>721</v>
      </c>
      <c r="K709"/>
      <c r="L709"/>
      <c r="M709" t="s">
        <v>841</v>
      </c>
      <c r="N709" t="s">
        <v>842</v>
      </c>
      <c r="O709"/>
      <c r="P709" t="e">
        <f>VLOOKUP(N709,#REF!,2,FALSE)</f>
        <v>#REF!</v>
      </c>
      <c r="Q709" t="s">
        <v>879</v>
      </c>
      <c r="R709" s="345">
        <v>-9479.0499999999993</v>
      </c>
    </row>
    <row r="710" spans="1:18" x14ac:dyDescent="0.2">
      <c r="A710" s="344" t="s">
        <v>756</v>
      </c>
      <c r="B710" t="s">
        <v>827</v>
      </c>
      <c r="C710" t="s">
        <v>823</v>
      </c>
      <c r="D710" t="s">
        <v>746</v>
      </c>
      <c r="E710" t="s">
        <v>829</v>
      </c>
      <c r="F710" t="s">
        <v>803</v>
      </c>
      <c r="G710" t="s">
        <v>830</v>
      </c>
      <c r="H710" t="s">
        <v>831</v>
      </c>
      <c r="I710" t="s">
        <v>722</v>
      </c>
      <c r="J710" t="s">
        <v>721</v>
      </c>
      <c r="K710"/>
      <c r="L710"/>
      <c r="M710" t="s">
        <v>841</v>
      </c>
      <c r="N710" t="s">
        <v>842</v>
      </c>
      <c r="O710"/>
      <c r="P710" t="e">
        <f>VLOOKUP(N710,#REF!,2,FALSE)</f>
        <v>#REF!</v>
      </c>
      <c r="Q710" t="s">
        <v>879</v>
      </c>
      <c r="R710" s="345">
        <v>-4898.6400000000003</v>
      </c>
    </row>
    <row r="711" spans="1:18" x14ac:dyDescent="0.2">
      <c r="A711" s="344" t="s">
        <v>757</v>
      </c>
      <c r="B711" t="s">
        <v>827</v>
      </c>
      <c r="C711" t="s">
        <v>823</v>
      </c>
      <c r="D711" t="s">
        <v>746</v>
      </c>
      <c r="E711" t="s">
        <v>829</v>
      </c>
      <c r="F711" t="s">
        <v>803</v>
      </c>
      <c r="G711" t="s">
        <v>830</v>
      </c>
      <c r="H711" t="s">
        <v>831</v>
      </c>
      <c r="I711" t="s">
        <v>722</v>
      </c>
      <c r="J711" t="s">
        <v>721</v>
      </c>
      <c r="K711"/>
      <c r="L711"/>
      <c r="M711" t="s">
        <v>841</v>
      </c>
      <c r="N711" t="s">
        <v>842</v>
      </c>
      <c r="O711"/>
      <c r="P711" t="e">
        <f>VLOOKUP(N711,#REF!,2,FALSE)</f>
        <v>#REF!</v>
      </c>
      <c r="Q711" t="s">
        <v>879</v>
      </c>
      <c r="R711" s="345">
        <v>-9761.4</v>
      </c>
    </row>
    <row r="712" spans="1:18" x14ac:dyDescent="0.2">
      <c r="A712" s="344" t="s">
        <v>758</v>
      </c>
      <c r="B712" t="s">
        <v>827</v>
      </c>
      <c r="C712" t="s">
        <v>823</v>
      </c>
      <c r="D712" t="s">
        <v>746</v>
      </c>
      <c r="E712" t="s">
        <v>829</v>
      </c>
      <c r="F712" t="s">
        <v>803</v>
      </c>
      <c r="G712" t="s">
        <v>830</v>
      </c>
      <c r="H712" t="s">
        <v>831</v>
      </c>
      <c r="I712" t="s">
        <v>722</v>
      </c>
      <c r="J712" t="s">
        <v>721</v>
      </c>
      <c r="K712"/>
      <c r="L712"/>
      <c r="M712" t="s">
        <v>841</v>
      </c>
      <c r="N712" t="s">
        <v>842</v>
      </c>
      <c r="O712"/>
      <c r="P712" t="e">
        <f>VLOOKUP(N712,#REF!,2,FALSE)</f>
        <v>#REF!</v>
      </c>
      <c r="Q712" t="s">
        <v>879</v>
      </c>
      <c r="R712" s="345">
        <v>-1082.3399999999999</v>
      </c>
    </row>
    <row r="713" spans="1:18" x14ac:dyDescent="0.2">
      <c r="A713" s="344" t="s">
        <v>759</v>
      </c>
      <c r="B713" t="s">
        <v>827</v>
      </c>
      <c r="C713" t="s">
        <v>823</v>
      </c>
      <c r="D713" t="s">
        <v>746</v>
      </c>
      <c r="E713" t="s">
        <v>829</v>
      </c>
      <c r="F713" t="s">
        <v>803</v>
      </c>
      <c r="G713" t="s">
        <v>830</v>
      </c>
      <c r="H713" t="s">
        <v>831</v>
      </c>
      <c r="I713" t="s">
        <v>722</v>
      </c>
      <c r="J713" t="s">
        <v>721</v>
      </c>
      <c r="K713"/>
      <c r="L713"/>
      <c r="M713" t="s">
        <v>841</v>
      </c>
      <c r="N713" t="s">
        <v>842</v>
      </c>
      <c r="O713"/>
      <c r="P713" t="e">
        <f>VLOOKUP(N713,#REF!,2,FALSE)</f>
        <v>#REF!</v>
      </c>
      <c r="Q713" t="s">
        <v>879</v>
      </c>
      <c r="R713" s="345">
        <v>-1763.64</v>
      </c>
    </row>
    <row r="714" spans="1:18" x14ac:dyDescent="0.2">
      <c r="A714" s="344" t="s">
        <v>743</v>
      </c>
      <c r="B714" t="s">
        <v>827</v>
      </c>
      <c r="C714" t="s">
        <v>823</v>
      </c>
      <c r="D714" t="s">
        <v>746</v>
      </c>
      <c r="E714" t="s">
        <v>829</v>
      </c>
      <c r="F714" t="s">
        <v>803</v>
      </c>
      <c r="G714" t="s">
        <v>830</v>
      </c>
      <c r="H714" t="s">
        <v>831</v>
      </c>
      <c r="I714" t="s">
        <v>722</v>
      </c>
      <c r="J714" t="s">
        <v>721</v>
      </c>
      <c r="K714"/>
      <c r="L714"/>
      <c r="M714" t="s">
        <v>841</v>
      </c>
      <c r="N714" t="s">
        <v>842</v>
      </c>
      <c r="O714"/>
      <c r="P714" t="e">
        <f>VLOOKUP(N714,#REF!,2,FALSE)</f>
        <v>#REF!</v>
      </c>
      <c r="Q714" t="s">
        <v>879</v>
      </c>
      <c r="R714" s="345">
        <v>-4741.6499999999996</v>
      </c>
    </row>
    <row r="715" spans="1:18" x14ac:dyDescent="0.2">
      <c r="A715" s="344" t="s">
        <v>760</v>
      </c>
      <c r="B715" t="s">
        <v>827</v>
      </c>
      <c r="C715" t="s">
        <v>823</v>
      </c>
      <c r="D715" t="s">
        <v>746</v>
      </c>
      <c r="E715" t="s">
        <v>829</v>
      </c>
      <c r="F715" t="s">
        <v>803</v>
      </c>
      <c r="G715" t="s">
        <v>830</v>
      </c>
      <c r="H715" t="s">
        <v>831</v>
      </c>
      <c r="I715" t="s">
        <v>722</v>
      </c>
      <c r="J715" t="s">
        <v>721</v>
      </c>
      <c r="K715"/>
      <c r="L715"/>
      <c r="M715" t="s">
        <v>841</v>
      </c>
      <c r="N715" t="s">
        <v>842</v>
      </c>
      <c r="O715"/>
      <c r="P715" t="e">
        <f>VLOOKUP(N715,#REF!,2,FALSE)</f>
        <v>#REF!</v>
      </c>
      <c r="Q715" t="s">
        <v>879</v>
      </c>
      <c r="R715" s="345">
        <v>-3569.93</v>
      </c>
    </row>
    <row r="716" spans="1:18" x14ac:dyDescent="0.2">
      <c r="A716" s="344" t="s">
        <v>745</v>
      </c>
      <c r="B716" t="s">
        <v>827</v>
      </c>
      <c r="C716" t="s">
        <v>823</v>
      </c>
      <c r="D716" t="s">
        <v>746</v>
      </c>
      <c r="E716" t="s">
        <v>829</v>
      </c>
      <c r="F716" t="s">
        <v>803</v>
      </c>
      <c r="G716" t="s">
        <v>830</v>
      </c>
      <c r="H716" t="s">
        <v>831</v>
      </c>
      <c r="I716" t="s">
        <v>722</v>
      </c>
      <c r="J716" t="s">
        <v>721</v>
      </c>
      <c r="K716"/>
      <c r="L716"/>
      <c r="M716" t="s">
        <v>841</v>
      </c>
      <c r="N716" t="s">
        <v>842</v>
      </c>
      <c r="O716"/>
      <c r="P716" t="e">
        <f>VLOOKUP(N716,#REF!,2,FALSE)</f>
        <v>#REF!</v>
      </c>
      <c r="Q716" t="s">
        <v>879</v>
      </c>
      <c r="R716" s="345">
        <v>-15206.33</v>
      </c>
    </row>
    <row r="717" spans="1:18" x14ac:dyDescent="0.2">
      <c r="A717" s="344" t="s">
        <v>749</v>
      </c>
      <c r="B717" t="s">
        <v>827</v>
      </c>
      <c r="C717" t="s">
        <v>823</v>
      </c>
      <c r="D717" t="s">
        <v>746</v>
      </c>
      <c r="E717" t="s">
        <v>829</v>
      </c>
      <c r="F717" t="s">
        <v>803</v>
      </c>
      <c r="G717" t="s">
        <v>830</v>
      </c>
      <c r="H717" t="s">
        <v>831</v>
      </c>
      <c r="I717" t="s">
        <v>722</v>
      </c>
      <c r="J717" t="s">
        <v>721</v>
      </c>
      <c r="K717"/>
      <c r="L717"/>
      <c r="M717" t="s">
        <v>841</v>
      </c>
      <c r="N717" t="s">
        <v>842</v>
      </c>
      <c r="O717"/>
      <c r="P717" t="e">
        <f>VLOOKUP(N717,#REF!,2,FALSE)</f>
        <v>#REF!</v>
      </c>
      <c r="Q717" t="s">
        <v>880</v>
      </c>
      <c r="R717" s="345">
        <v>-96629.63</v>
      </c>
    </row>
    <row r="718" spans="1:18" x14ac:dyDescent="0.2">
      <c r="A718" s="344" t="s">
        <v>752</v>
      </c>
      <c r="B718" t="s">
        <v>827</v>
      </c>
      <c r="C718" t="s">
        <v>823</v>
      </c>
      <c r="D718" t="s">
        <v>746</v>
      </c>
      <c r="E718" t="s">
        <v>829</v>
      </c>
      <c r="F718" t="s">
        <v>803</v>
      </c>
      <c r="G718" t="s">
        <v>830</v>
      </c>
      <c r="H718" t="s">
        <v>831</v>
      </c>
      <c r="I718" t="s">
        <v>722</v>
      </c>
      <c r="J718" t="s">
        <v>721</v>
      </c>
      <c r="K718"/>
      <c r="L718"/>
      <c r="M718" t="s">
        <v>841</v>
      </c>
      <c r="N718" t="s">
        <v>842</v>
      </c>
      <c r="O718"/>
      <c r="P718" t="e">
        <f>VLOOKUP(N718,#REF!,2,FALSE)</f>
        <v>#REF!</v>
      </c>
      <c r="Q718" t="s">
        <v>880</v>
      </c>
      <c r="R718" s="345">
        <v>-79193.279999999999</v>
      </c>
    </row>
    <row r="719" spans="1:18" x14ac:dyDescent="0.2">
      <c r="A719" s="344" t="s">
        <v>753</v>
      </c>
      <c r="B719" t="s">
        <v>827</v>
      </c>
      <c r="C719" t="s">
        <v>823</v>
      </c>
      <c r="D719" t="s">
        <v>746</v>
      </c>
      <c r="E719" t="s">
        <v>829</v>
      </c>
      <c r="F719" t="s">
        <v>803</v>
      </c>
      <c r="G719" t="s">
        <v>830</v>
      </c>
      <c r="H719" t="s">
        <v>831</v>
      </c>
      <c r="I719" t="s">
        <v>722</v>
      </c>
      <c r="J719" t="s">
        <v>721</v>
      </c>
      <c r="K719"/>
      <c r="L719"/>
      <c r="M719" t="s">
        <v>841</v>
      </c>
      <c r="N719" t="s">
        <v>842</v>
      </c>
      <c r="O719"/>
      <c r="P719" t="e">
        <f>VLOOKUP(N719,#REF!,2,FALSE)</f>
        <v>#REF!</v>
      </c>
      <c r="Q719" t="s">
        <v>880</v>
      </c>
      <c r="R719" s="345">
        <v>-53715.05</v>
      </c>
    </row>
    <row r="720" spans="1:18" x14ac:dyDescent="0.2">
      <c r="A720" s="344" t="s">
        <v>754</v>
      </c>
      <c r="B720" t="s">
        <v>827</v>
      </c>
      <c r="C720" t="s">
        <v>823</v>
      </c>
      <c r="D720" t="s">
        <v>746</v>
      </c>
      <c r="E720" t="s">
        <v>829</v>
      </c>
      <c r="F720" t="s">
        <v>803</v>
      </c>
      <c r="G720" t="s">
        <v>830</v>
      </c>
      <c r="H720" t="s">
        <v>831</v>
      </c>
      <c r="I720" t="s">
        <v>722</v>
      </c>
      <c r="J720" t="s">
        <v>721</v>
      </c>
      <c r="K720"/>
      <c r="L720"/>
      <c r="M720" t="s">
        <v>841</v>
      </c>
      <c r="N720" t="s">
        <v>842</v>
      </c>
      <c r="O720"/>
      <c r="P720" t="e">
        <f>VLOOKUP(N720,#REF!,2,FALSE)</f>
        <v>#REF!</v>
      </c>
      <c r="Q720" t="s">
        <v>880</v>
      </c>
      <c r="R720" s="345">
        <v>-38513.800000000003</v>
      </c>
    </row>
    <row r="721" spans="1:18" x14ac:dyDescent="0.2">
      <c r="A721" s="344" t="s">
        <v>755</v>
      </c>
      <c r="B721" t="s">
        <v>827</v>
      </c>
      <c r="C721" t="s">
        <v>823</v>
      </c>
      <c r="D721" t="s">
        <v>746</v>
      </c>
      <c r="E721" t="s">
        <v>829</v>
      </c>
      <c r="F721" t="s">
        <v>803</v>
      </c>
      <c r="G721" t="s">
        <v>830</v>
      </c>
      <c r="H721" t="s">
        <v>831</v>
      </c>
      <c r="I721" t="s">
        <v>722</v>
      </c>
      <c r="J721" t="s">
        <v>721</v>
      </c>
      <c r="K721"/>
      <c r="L721"/>
      <c r="M721" t="s">
        <v>841</v>
      </c>
      <c r="N721" t="s">
        <v>842</v>
      </c>
      <c r="O721"/>
      <c r="P721" t="e">
        <f>VLOOKUP(N721,#REF!,2,FALSE)</f>
        <v>#REF!</v>
      </c>
      <c r="Q721" t="s">
        <v>880</v>
      </c>
      <c r="R721" s="345">
        <v>-36126.199999999997</v>
      </c>
    </row>
    <row r="722" spans="1:18" x14ac:dyDescent="0.2">
      <c r="A722" s="344" t="s">
        <v>756</v>
      </c>
      <c r="B722" t="s">
        <v>827</v>
      </c>
      <c r="C722" t="s">
        <v>823</v>
      </c>
      <c r="D722" t="s">
        <v>746</v>
      </c>
      <c r="E722" t="s">
        <v>829</v>
      </c>
      <c r="F722" t="s">
        <v>803</v>
      </c>
      <c r="G722" t="s">
        <v>830</v>
      </c>
      <c r="H722" t="s">
        <v>831</v>
      </c>
      <c r="I722" t="s">
        <v>722</v>
      </c>
      <c r="J722" t="s">
        <v>721</v>
      </c>
      <c r="K722"/>
      <c r="L722"/>
      <c r="M722" t="s">
        <v>841</v>
      </c>
      <c r="N722" t="s">
        <v>842</v>
      </c>
      <c r="O722"/>
      <c r="P722" t="e">
        <f>VLOOKUP(N722,#REF!,2,FALSE)</f>
        <v>#REF!</v>
      </c>
      <c r="Q722" t="s">
        <v>880</v>
      </c>
      <c r="R722" s="345">
        <v>-35742.15</v>
      </c>
    </row>
    <row r="723" spans="1:18" x14ac:dyDescent="0.2">
      <c r="A723" s="344" t="s">
        <v>757</v>
      </c>
      <c r="B723" t="s">
        <v>827</v>
      </c>
      <c r="C723" t="s">
        <v>823</v>
      </c>
      <c r="D723" t="s">
        <v>746</v>
      </c>
      <c r="E723" t="s">
        <v>829</v>
      </c>
      <c r="F723" t="s">
        <v>803</v>
      </c>
      <c r="G723" t="s">
        <v>830</v>
      </c>
      <c r="H723" t="s">
        <v>831</v>
      </c>
      <c r="I723" t="s">
        <v>722</v>
      </c>
      <c r="J723" t="s">
        <v>721</v>
      </c>
      <c r="K723"/>
      <c r="L723"/>
      <c r="M723" t="s">
        <v>841</v>
      </c>
      <c r="N723" t="s">
        <v>842</v>
      </c>
      <c r="O723"/>
      <c r="P723" t="e">
        <f>VLOOKUP(N723,#REF!,2,FALSE)</f>
        <v>#REF!</v>
      </c>
      <c r="Q723" t="s">
        <v>880</v>
      </c>
      <c r="R723" s="345">
        <v>-54713.599999999999</v>
      </c>
    </row>
    <row r="724" spans="1:18" x14ac:dyDescent="0.2">
      <c r="A724" s="344" t="s">
        <v>758</v>
      </c>
      <c r="B724" t="s">
        <v>827</v>
      </c>
      <c r="C724" t="s">
        <v>823</v>
      </c>
      <c r="D724" t="s">
        <v>746</v>
      </c>
      <c r="E724" t="s">
        <v>829</v>
      </c>
      <c r="F724" t="s">
        <v>803</v>
      </c>
      <c r="G724" t="s">
        <v>830</v>
      </c>
      <c r="H724" t="s">
        <v>831</v>
      </c>
      <c r="I724" t="s">
        <v>722</v>
      </c>
      <c r="J724" t="s">
        <v>721</v>
      </c>
      <c r="K724"/>
      <c r="L724"/>
      <c r="M724" t="s">
        <v>841</v>
      </c>
      <c r="N724" t="s">
        <v>842</v>
      </c>
      <c r="O724"/>
      <c r="P724" t="e">
        <f>VLOOKUP(N724,#REF!,2,FALSE)</f>
        <v>#REF!</v>
      </c>
      <c r="Q724" t="s">
        <v>880</v>
      </c>
      <c r="R724" s="345">
        <v>-46010.19</v>
      </c>
    </row>
    <row r="725" spans="1:18" x14ac:dyDescent="0.2">
      <c r="A725" s="344" t="s">
        <v>759</v>
      </c>
      <c r="B725" t="s">
        <v>827</v>
      </c>
      <c r="C725" t="s">
        <v>823</v>
      </c>
      <c r="D725" t="s">
        <v>746</v>
      </c>
      <c r="E725" t="s">
        <v>829</v>
      </c>
      <c r="F725" t="s">
        <v>803</v>
      </c>
      <c r="G725" t="s">
        <v>830</v>
      </c>
      <c r="H725" t="s">
        <v>831</v>
      </c>
      <c r="I725" t="s">
        <v>722</v>
      </c>
      <c r="J725" t="s">
        <v>721</v>
      </c>
      <c r="K725"/>
      <c r="L725"/>
      <c r="M725" t="s">
        <v>841</v>
      </c>
      <c r="N725" t="s">
        <v>842</v>
      </c>
      <c r="O725"/>
      <c r="P725" t="e">
        <f>VLOOKUP(N725,#REF!,2,FALSE)</f>
        <v>#REF!</v>
      </c>
      <c r="Q725" t="s">
        <v>880</v>
      </c>
      <c r="R725" s="345">
        <v>-52908.78</v>
      </c>
    </row>
    <row r="726" spans="1:18" x14ac:dyDescent="0.2">
      <c r="A726" s="344" t="s">
        <v>743</v>
      </c>
      <c r="B726" t="s">
        <v>827</v>
      </c>
      <c r="C726" t="s">
        <v>823</v>
      </c>
      <c r="D726" t="s">
        <v>746</v>
      </c>
      <c r="E726" t="s">
        <v>829</v>
      </c>
      <c r="F726" t="s">
        <v>803</v>
      </c>
      <c r="G726" t="s">
        <v>830</v>
      </c>
      <c r="H726" t="s">
        <v>831</v>
      </c>
      <c r="I726" t="s">
        <v>722</v>
      </c>
      <c r="J726" t="s">
        <v>721</v>
      </c>
      <c r="K726"/>
      <c r="L726"/>
      <c r="M726" t="s">
        <v>841</v>
      </c>
      <c r="N726" t="s">
        <v>842</v>
      </c>
      <c r="O726"/>
      <c r="P726" t="e">
        <f>VLOOKUP(N726,#REF!,2,FALSE)</f>
        <v>#REF!</v>
      </c>
      <c r="Q726" t="s">
        <v>880</v>
      </c>
      <c r="R726" s="345">
        <v>-37923.760000000002</v>
      </c>
    </row>
    <row r="727" spans="1:18" x14ac:dyDescent="0.2">
      <c r="A727" s="344" t="s">
        <v>745</v>
      </c>
      <c r="B727" t="s">
        <v>827</v>
      </c>
      <c r="C727" t="s">
        <v>823</v>
      </c>
      <c r="D727" t="s">
        <v>746</v>
      </c>
      <c r="E727" t="s">
        <v>829</v>
      </c>
      <c r="F727" t="s">
        <v>803</v>
      </c>
      <c r="G727" t="s">
        <v>830</v>
      </c>
      <c r="H727" t="s">
        <v>831</v>
      </c>
      <c r="I727" t="s">
        <v>722</v>
      </c>
      <c r="J727" t="s">
        <v>721</v>
      </c>
      <c r="K727"/>
      <c r="L727"/>
      <c r="M727" t="s">
        <v>841</v>
      </c>
      <c r="N727" t="s">
        <v>842</v>
      </c>
      <c r="O727"/>
      <c r="P727" t="e">
        <f>VLOOKUP(N727,#REF!,2,FALSE)</f>
        <v>#REF!</v>
      </c>
      <c r="Q727" t="s">
        <v>880</v>
      </c>
      <c r="R727" s="345">
        <v>-57673.48</v>
      </c>
    </row>
    <row r="728" spans="1:18" x14ac:dyDescent="0.2">
      <c r="A728" s="344" t="s">
        <v>757</v>
      </c>
      <c r="B728" t="s">
        <v>827</v>
      </c>
      <c r="C728" t="s">
        <v>823</v>
      </c>
      <c r="D728" t="s">
        <v>746</v>
      </c>
      <c r="E728" t="s">
        <v>829</v>
      </c>
      <c r="F728" t="s">
        <v>803</v>
      </c>
      <c r="G728" t="s">
        <v>830</v>
      </c>
      <c r="H728" t="s">
        <v>831</v>
      </c>
      <c r="I728" t="s">
        <v>722</v>
      </c>
      <c r="J728" t="s">
        <v>721</v>
      </c>
      <c r="K728"/>
      <c r="L728"/>
      <c r="M728" t="s">
        <v>841</v>
      </c>
      <c r="N728" t="s">
        <v>842</v>
      </c>
      <c r="O728"/>
      <c r="P728" t="e">
        <f>VLOOKUP(N728,#REF!,2,FALSE)</f>
        <v>#REF!</v>
      </c>
      <c r="Q728" t="s">
        <v>863</v>
      </c>
      <c r="R728" s="345">
        <v>-53.31</v>
      </c>
    </row>
    <row r="729" spans="1:18" x14ac:dyDescent="0.2">
      <c r="A729" s="344" t="s">
        <v>758</v>
      </c>
      <c r="B729" t="s">
        <v>827</v>
      </c>
      <c r="C729" t="s">
        <v>823</v>
      </c>
      <c r="D729" t="s">
        <v>746</v>
      </c>
      <c r="E729" t="s">
        <v>829</v>
      </c>
      <c r="F729" t="s">
        <v>803</v>
      </c>
      <c r="G729" t="s">
        <v>830</v>
      </c>
      <c r="H729" t="s">
        <v>831</v>
      </c>
      <c r="I729" t="s">
        <v>722</v>
      </c>
      <c r="J729" t="s">
        <v>721</v>
      </c>
      <c r="K729"/>
      <c r="L729"/>
      <c r="M729" t="s">
        <v>841</v>
      </c>
      <c r="N729" t="s">
        <v>842</v>
      </c>
      <c r="O729"/>
      <c r="P729" t="e">
        <f>VLOOKUP(N729,#REF!,2,FALSE)</f>
        <v>#REF!</v>
      </c>
      <c r="Q729" t="s">
        <v>863</v>
      </c>
      <c r="R729" s="345">
        <v>-289.83</v>
      </c>
    </row>
    <row r="730" spans="1:18" x14ac:dyDescent="0.2">
      <c r="A730" s="344" t="s">
        <v>743</v>
      </c>
      <c r="B730" t="s">
        <v>827</v>
      </c>
      <c r="C730" t="s">
        <v>823</v>
      </c>
      <c r="D730" t="s">
        <v>746</v>
      </c>
      <c r="E730" t="s">
        <v>829</v>
      </c>
      <c r="F730" t="s">
        <v>803</v>
      </c>
      <c r="G730" t="s">
        <v>830</v>
      </c>
      <c r="H730" t="s">
        <v>831</v>
      </c>
      <c r="I730" t="s">
        <v>722</v>
      </c>
      <c r="J730" t="s">
        <v>721</v>
      </c>
      <c r="K730"/>
      <c r="L730"/>
      <c r="M730" t="s">
        <v>841</v>
      </c>
      <c r="N730" t="s">
        <v>842</v>
      </c>
      <c r="O730"/>
      <c r="P730" t="e">
        <f>VLOOKUP(N730,#REF!,2,FALSE)</f>
        <v>#REF!</v>
      </c>
      <c r="Q730" t="s">
        <v>863</v>
      </c>
      <c r="R730" s="345">
        <v>-576.01</v>
      </c>
    </row>
    <row r="731" spans="1:18" x14ac:dyDescent="0.2">
      <c r="A731" s="344" t="s">
        <v>760</v>
      </c>
      <c r="B731" t="s">
        <v>827</v>
      </c>
      <c r="C731" t="s">
        <v>823</v>
      </c>
      <c r="D731" t="s">
        <v>746</v>
      </c>
      <c r="E731" t="s">
        <v>829</v>
      </c>
      <c r="F731" t="s">
        <v>803</v>
      </c>
      <c r="G731" t="s">
        <v>830</v>
      </c>
      <c r="H731" t="s">
        <v>831</v>
      </c>
      <c r="I731" t="s">
        <v>722</v>
      </c>
      <c r="J731" t="s">
        <v>721</v>
      </c>
      <c r="K731"/>
      <c r="L731"/>
      <c r="M731" t="s">
        <v>841</v>
      </c>
      <c r="N731" t="s">
        <v>842</v>
      </c>
      <c r="O731"/>
      <c r="P731" t="e">
        <f>VLOOKUP(N731,#REF!,2,FALSE)</f>
        <v>#REF!</v>
      </c>
      <c r="Q731" t="s">
        <v>863</v>
      </c>
      <c r="R731" s="345">
        <v>-196.09</v>
      </c>
    </row>
    <row r="732" spans="1:18" x14ac:dyDescent="0.2">
      <c r="A732" s="344" t="s">
        <v>745</v>
      </c>
      <c r="B732" t="s">
        <v>827</v>
      </c>
      <c r="C732" t="s">
        <v>823</v>
      </c>
      <c r="D732" t="s">
        <v>746</v>
      </c>
      <c r="E732" t="s">
        <v>829</v>
      </c>
      <c r="F732" t="s">
        <v>803</v>
      </c>
      <c r="G732" t="s">
        <v>830</v>
      </c>
      <c r="H732" t="s">
        <v>831</v>
      </c>
      <c r="I732" t="s">
        <v>722</v>
      </c>
      <c r="J732" t="s">
        <v>721</v>
      </c>
      <c r="K732"/>
      <c r="L732"/>
      <c r="M732" t="s">
        <v>841</v>
      </c>
      <c r="N732" t="s">
        <v>842</v>
      </c>
      <c r="O732"/>
      <c r="P732" t="e">
        <f>VLOOKUP(N732,#REF!,2,FALSE)</f>
        <v>#REF!</v>
      </c>
      <c r="Q732" t="s">
        <v>863</v>
      </c>
      <c r="R732" s="345">
        <v>-5111.05</v>
      </c>
    </row>
    <row r="733" spans="1:18" x14ac:dyDescent="0.2">
      <c r="A733" s="344" t="s">
        <v>749</v>
      </c>
      <c r="B733" t="s">
        <v>827</v>
      </c>
      <c r="C733" t="s">
        <v>823</v>
      </c>
      <c r="D733" t="s">
        <v>746</v>
      </c>
      <c r="E733" t="s">
        <v>829</v>
      </c>
      <c r="F733" t="s">
        <v>803</v>
      </c>
      <c r="G733" t="s">
        <v>830</v>
      </c>
      <c r="H733" t="s">
        <v>831</v>
      </c>
      <c r="I733" t="s">
        <v>722</v>
      </c>
      <c r="J733" t="s">
        <v>721</v>
      </c>
      <c r="K733"/>
      <c r="L733"/>
      <c r="M733" t="s">
        <v>841</v>
      </c>
      <c r="N733" t="s">
        <v>842</v>
      </c>
      <c r="O733"/>
      <c r="P733" t="e">
        <f>VLOOKUP(N733,#REF!,2,FALSE)</f>
        <v>#REF!</v>
      </c>
      <c r="Q733" t="s">
        <v>881</v>
      </c>
      <c r="R733" s="345">
        <v>-5222.43</v>
      </c>
    </row>
    <row r="734" spans="1:18" x14ac:dyDescent="0.2">
      <c r="A734" s="344" t="s">
        <v>752</v>
      </c>
      <c r="B734" t="s">
        <v>827</v>
      </c>
      <c r="C734" t="s">
        <v>823</v>
      </c>
      <c r="D734" t="s">
        <v>746</v>
      </c>
      <c r="E734" t="s">
        <v>829</v>
      </c>
      <c r="F734" t="s">
        <v>803</v>
      </c>
      <c r="G734" t="s">
        <v>830</v>
      </c>
      <c r="H734" t="s">
        <v>831</v>
      </c>
      <c r="I734" t="s">
        <v>722</v>
      </c>
      <c r="J734" t="s">
        <v>721</v>
      </c>
      <c r="K734"/>
      <c r="L734"/>
      <c r="M734" t="s">
        <v>841</v>
      </c>
      <c r="N734" t="s">
        <v>842</v>
      </c>
      <c r="O734"/>
      <c r="P734" t="e">
        <f>VLOOKUP(N734,#REF!,2,FALSE)</f>
        <v>#REF!</v>
      </c>
      <c r="Q734" t="s">
        <v>881</v>
      </c>
      <c r="R734" s="345">
        <v>-6380.79</v>
      </c>
    </row>
    <row r="735" spans="1:18" x14ac:dyDescent="0.2">
      <c r="A735" s="344" t="s">
        <v>753</v>
      </c>
      <c r="B735" t="s">
        <v>827</v>
      </c>
      <c r="C735" t="s">
        <v>823</v>
      </c>
      <c r="D735" t="s">
        <v>746</v>
      </c>
      <c r="E735" t="s">
        <v>829</v>
      </c>
      <c r="F735" t="s">
        <v>803</v>
      </c>
      <c r="G735" t="s">
        <v>830</v>
      </c>
      <c r="H735" t="s">
        <v>831</v>
      </c>
      <c r="I735" t="s">
        <v>722</v>
      </c>
      <c r="J735" t="s">
        <v>721</v>
      </c>
      <c r="K735"/>
      <c r="L735"/>
      <c r="M735" t="s">
        <v>841</v>
      </c>
      <c r="N735" t="s">
        <v>842</v>
      </c>
      <c r="O735"/>
      <c r="P735" t="e">
        <f>VLOOKUP(N735,#REF!,2,FALSE)</f>
        <v>#REF!</v>
      </c>
      <c r="Q735" t="s">
        <v>881</v>
      </c>
      <c r="R735" s="345">
        <v>-2424.59</v>
      </c>
    </row>
    <row r="736" spans="1:18" x14ac:dyDescent="0.2">
      <c r="A736" s="344" t="s">
        <v>754</v>
      </c>
      <c r="B736" t="s">
        <v>827</v>
      </c>
      <c r="C736" t="s">
        <v>823</v>
      </c>
      <c r="D736" t="s">
        <v>746</v>
      </c>
      <c r="E736" t="s">
        <v>829</v>
      </c>
      <c r="F736" t="s">
        <v>803</v>
      </c>
      <c r="G736" t="s">
        <v>830</v>
      </c>
      <c r="H736" t="s">
        <v>831</v>
      </c>
      <c r="I736" t="s">
        <v>722</v>
      </c>
      <c r="J736" t="s">
        <v>721</v>
      </c>
      <c r="K736"/>
      <c r="L736"/>
      <c r="M736" t="s">
        <v>841</v>
      </c>
      <c r="N736" t="s">
        <v>842</v>
      </c>
      <c r="O736"/>
      <c r="P736" t="e">
        <f>VLOOKUP(N736,#REF!,2,FALSE)</f>
        <v>#REF!</v>
      </c>
      <c r="Q736" t="s">
        <v>881</v>
      </c>
      <c r="R736" s="345">
        <v>-743.84</v>
      </c>
    </row>
    <row r="737" spans="1:18" x14ac:dyDescent="0.2">
      <c r="A737" s="344" t="s">
        <v>755</v>
      </c>
      <c r="B737" t="s">
        <v>827</v>
      </c>
      <c r="C737" t="s">
        <v>823</v>
      </c>
      <c r="D737" t="s">
        <v>746</v>
      </c>
      <c r="E737" t="s">
        <v>829</v>
      </c>
      <c r="F737" t="s">
        <v>803</v>
      </c>
      <c r="G737" t="s">
        <v>830</v>
      </c>
      <c r="H737" t="s">
        <v>831</v>
      </c>
      <c r="I737" t="s">
        <v>722</v>
      </c>
      <c r="J737" t="s">
        <v>721</v>
      </c>
      <c r="K737"/>
      <c r="L737"/>
      <c r="M737" t="s">
        <v>841</v>
      </c>
      <c r="N737" t="s">
        <v>842</v>
      </c>
      <c r="O737"/>
      <c r="P737" t="e">
        <f>VLOOKUP(N737,#REF!,2,FALSE)</f>
        <v>#REF!</v>
      </c>
      <c r="Q737" t="s">
        <v>881</v>
      </c>
      <c r="R737" s="345">
        <v>-3337.7</v>
      </c>
    </row>
    <row r="738" spans="1:18" x14ac:dyDescent="0.2">
      <c r="A738" s="344" t="s">
        <v>756</v>
      </c>
      <c r="B738" t="s">
        <v>827</v>
      </c>
      <c r="C738" t="s">
        <v>823</v>
      </c>
      <c r="D738" t="s">
        <v>746</v>
      </c>
      <c r="E738" t="s">
        <v>829</v>
      </c>
      <c r="F738" t="s">
        <v>803</v>
      </c>
      <c r="G738" t="s">
        <v>830</v>
      </c>
      <c r="H738" t="s">
        <v>831</v>
      </c>
      <c r="I738" t="s">
        <v>722</v>
      </c>
      <c r="J738" t="s">
        <v>721</v>
      </c>
      <c r="K738"/>
      <c r="L738"/>
      <c r="M738" t="s">
        <v>841</v>
      </c>
      <c r="N738" t="s">
        <v>842</v>
      </c>
      <c r="O738"/>
      <c r="P738" t="e">
        <f>VLOOKUP(N738,#REF!,2,FALSE)</f>
        <v>#REF!</v>
      </c>
      <c r="Q738" t="s">
        <v>881</v>
      </c>
      <c r="R738" s="345">
        <v>-800.77</v>
      </c>
    </row>
    <row r="739" spans="1:18" x14ac:dyDescent="0.2">
      <c r="A739" s="344" t="s">
        <v>757</v>
      </c>
      <c r="B739" t="s">
        <v>827</v>
      </c>
      <c r="C739" t="s">
        <v>823</v>
      </c>
      <c r="D739" t="s">
        <v>746</v>
      </c>
      <c r="E739" t="s">
        <v>829</v>
      </c>
      <c r="F739" t="s">
        <v>803</v>
      </c>
      <c r="G739" t="s">
        <v>830</v>
      </c>
      <c r="H739" t="s">
        <v>831</v>
      </c>
      <c r="I739" t="s">
        <v>722</v>
      </c>
      <c r="J739" t="s">
        <v>721</v>
      </c>
      <c r="K739"/>
      <c r="L739"/>
      <c r="M739" t="s">
        <v>841</v>
      </c>
      <c r="N739" t="s">
        <v>842</v>
      </c>
      <c r="O739"/>
      <c r="P739" t="e">
        <f>VLOOKUP(N739,#REF!,2,FALSE)</f>
        <v>#REF!</v>
      </c>
      <c r="Q739" t="s">
        <v>881</v>
      </c>
      <c r="R739" s="345">
        <v>-474.8</v>
      </c>
    </row>
    <row r="740" spans="1:18" x14ac:dyDescent="0.2">
      <c r="A740" s="344" t="s">
        <v>758</v>
      </c>
      <c r="B740" t="s">
        <v>827</v>
      </c>
      <c r="C740" t="s">
        <v>823</v>
      </c>
      <c r="D740" t="s">
        <v>746</v>
      </c>
      <c r="E740" t="s">
        <v>829</v>
      </c>
      <c r="F740" t="s">
        <v>803</v>
      </c>
      <c r="G740" t="s">
        <v>830</v>
      </c>
      <c r="H740" t="s">
        <v>831</v>
      </c>
      <c r="I740" t="s">
        <v>722</v>
      </c>
      <c r="J740" t="s">
        <v>721</v>
      </c>
      <c r="K740"/>
      <c r="L740"/>
      <c r="M740" t="s">
        <v>841</v>
      </c>
      <c r="N740" t="s">
        <v>842</v>
      </c>
      <c r="O740"/>
      <c r="P740" t="e">
        <f>VLOOKUP(N740,#REF!,2,FALSE)</f>
        <v>#REF!</v>
      </c>
      <c r="Q740" t="s">
        <v>881</v>
      </c>
      <c r="R740" s="345">
        <v>-3222.96</v>
      </c>
    </row>
    <row r="741" spans="1:18" x14ac:dyDescent="0.2">
      <c r="A741" s="344" t="s">
        <v>759</v>
      </c>
      <c r="B741" t="s">
        <v>827</v>
      </c>
      <c r="C741" t="s">
        <v>823</v>
      </c>
      <c r="D741" t="s">
        <v>746</v>
      </c>
      <c r="E741" t="s">
        <v>829</v>
      </c>
      <c r="F741" t="s">
        <v>803</v>
      </c>
      <c r="G741" t="s">
        <v>830</v>
      </c>
      <c r="H741" t="s">
        <v>831</v>
      </c>
      <c r="I741" t="s">
        <v>722</v>
      </c>
      <c r="J741" t="s">
        <v>721</v>
      </c>
      <c r="K741"/>
      <c r="L741"/>
      <c r="M741" t="s">
        <v>841</v>
      </c>
      <c r="N741" t="s">
        <v>842</v>
      </c>
      <c r="O741"/>
      <c r="P741" t="e">
        <f>VLOOKUP(N741,#REF!,2,FALSE)</f>
        <v>#REF!</v>
      </c>
      <c r="Q741" t="s">
        <v>881</v>
      </c>
      <c r="R741" s="345">
        <v>-169.02</v>
      </c>
    </row>
    <row r="742" spans="1:18" x14ac:dyDescent="0.2">
      <c r="A742" s="344" t="s">
        <v>743</v>
      </c>
      <c r="B742" t="s">
        <v>827</v>
      </c>
      <c r="C742" t="s">
        <v>823</v>
      </c>
      <c r="D742" t="s">
        <v>746</v>
      </c>
      <c r="E742" t="s">
        <v>829</v>
      </c>
      <c r="F742" t="s">
        <v>803</v>
      </c>
      <c r="G742" t="s">
        <v>830</v>
      </c>
      <c r="H742" t="s">
        <v>831</v>
      </c>
      <c r="I742" t="s">
        <v>722</v>
      </c>
      <c r="J742" t="s">
        <v>721</v>
      </c>
      <c r="K742"/>
      <c r="L742"/>
      <c r="M742" t="s">
        <v>841</v>
      </c>
      <c r="N742" t="s">
        <v>842</v>
      </c>
      <c r="O742"/>
      <c r="P742" t="e">
        <f>VLOOKUP(N742,#REF!,2,FALSE)</f>
        <v>#REF!</v>
      </c>
      <c r="Q742" t="s">
        <v>881</v>
      </c>
      <c r="R742" s="345">
        <v>-1168.92</v>
      </c>
    </row>
    <row r="743" spans="1:18" x14ac:dyDescent="0.2">
      <c r="A743" s="344" t="s">
        <v>760</v>
      </c>
      <c r="B743" t="s">
        <v>827</v>
      </c>
      <c r="C743" t="s">
        <v>823</v>
      </c>
      <c r="D743" t="s">
        <v>746</v>
      </c>
      <c r="E743" t="s">
        <v>829</v>
      </c>
      <c r="F743" t="s">
        <v>803</v>
      </c>
      <c r="G743" t="s">
        <v>830</v>
      </c>
      <c r="H743" t="s">
        <v>831</v>
      </c>
      <c r="I743" t="s">
        <v>722</v>
      </c>
      <c r="J743" t="s">
        <v>721</v>
      </c>
      <c r="K743"/>
      <c r="L743"/>
      <c r="M743" t="s">
        <v>841</v>
      </c>
      <c r="N743" t="s">
        <v>842</v>
      </c>
      <c r="O743"/>
      <c r="P743" t="e">
        <f>VLOOKUP(N743,#REF!,2,FALSE)</f>
        <v>#REF!</v>
      </c>
      <c r="Q743" t="s">
        <v>881</v>
      </c>
      <c r="R743" s="345">
        <v>-2740.2</v>
      </c>
    </row>
    <row r="744" spans="1:18" x14ac:dyDescent="0.2">
      <c r="A744" s="344" t="s">
        <v>745</v>
      </c>
      <c r="B744" t="s">
        <v>827</v>
      </c>
      <c r="C744" t="s">
        <v>823</v>
      </c>
      <c r="D744" t="s">
        <v>746</v>
      </c>
      <c r="E744" t="s">
        <v>829</v>
      </c>
      <c r="F744" t="s">
        <v>803</v>
      </c>
      <c r="G744" t="s">
        <v>830</v>
      </c>
      <c r="H744" t="s">
        <v>831</v>
      </c>
      <c r="I744" t="s">
        <v>722</v>
      </c>
      <c r="J744" t="s">
        <v>721</v>
      </c>
      <c r="K744"/>
      <c r="L744"/>
      <c r="M744" t="s">
        <v>841</v>
      </c>
      <c r="N744" t="s">
        <v>842</v>
      </c>
      <c r="O744"/>
      <c r="P744" t="e">
        <f>VLOOKUP(N744,#REF!,2,FALSE)</f>
        <v>#REF!</v>
      </c>
      <c r="Q744" t="s">
        <v>881</v>
      </c>
      <c r="R744" s="345">
        <v>-9949.11</v>
      </c>
    </row>
    <row r="745" spans="1:18" x14ac:dyDescent="0.2">
      <c r="A745" s="344" t="s">
        <v>749</v>
      </c>
      <c r="B745" t="s">
        <v>827</v>
      </c>
      <c r="C745" t="s">
        <v>823</v>
      </c>
      <c r="D745" t="s">
        <v>746</v>
      </c>
      <c r="E745" t="s">
        <v>829</v>
      </c>
      <c r="F745" t="s">
        <v>803</v>
      </c>
      <c r="G745" t="s">
        <v>830</v>
      </c>
      <c r="H745" t="s">
        <v>831</v>
      </c>
      <c r="I745" t="s">
        <v>722</v>
      </c>
      <c r="J745" t="s">
        <v>721</v>
      </c>
      <c r="K745"/>
      <c r="L745"/>
      <c r="M745" t="s">
        <v>841</v>
      </c>
      <c r="N745" t="s">
        <v>842</v>
      </c>
      <c r="O745"/>
      <c r="P745" t="e">
        <f>VLOOKUP(N745,#REF!,2,FALSE)</f>
        <v>#REF!</v>
      </c>
      <c r="Q745" t="s">
        <v>883</v>
      </c>
      <c r="R745" s="345">
        <v>-40.03</v>
      </c>
    </row>
    <row r="746" spans="1:18" x14ac:dyDescent="0.2">
      <c r="A746" s="344" t="s">
        <v>752</v>
      </c>
      <c r="B746" t="s">
        <v>827</v>
      </c>
      <c r="C746" t="s">
        <v>823</v>
      </c>
      <c r="D746" t="s">
        <v>746</v>
      </c>
      <c r="E746" t="s">
        <v>829</v>
      </c>
      <c r="F746" t="s">
        <v>803</v>
      </c>
      <c r="G746" t="s">
        <v>830</v>
      </c>
      <c r="H746" t="s">
        <v>831</v>
      </c>
      <c r="I746" t="s">
        <v>722</v>
      </c>
      <c r="J746" t="s">
        <v>721</v>
      </c>
      <c r="K746"/>
      <c r="L746"/>
      <c r="M746" t="s">
        <v>841</v>
      </c>
      <c r="N746" t="s">
        <v>842</v>
      </c>
      <c r="O746"/>
      <c r="P746" t="e">
        <f>VLOOKUP(N746,#REF!,2,FALSE)</f>
        <v>#REF!</v>
      </c>
      <c r="Q746" t="s">
        <v>883</v>
      </c>
      <c r="R746" s="345">
        <v>3.03</v>
      </c>
    </row>
    <row r="747" spans="1:18" x14ac:dyDescent="0.2">
      <c r="A747" s="344" t="s">
        <v>753</v>
      </c>
      <c r="B747" t="s">
        <v>827</v>
      </c>
      <c r="C747" t="s">
        <v>823</v>
      </c>
      <c r="D747" t="s">
        <v>746</v>
      </c>
      <c r="E747" t="s">
        <v>829</v>
      </c>
      <c r="F747" t="s">
        <v>803</v>
      </c>
      <c r="G747" t="s">
        <v>830</v>
      </c>
      <c r="H747" t="s">
        <v>831</v>
      </c>
      <c r="I747" t="s">
        <v>722</v>
      </c>
      <c r="J747" t="s">
        <v>721</v>
      </c>
      <c r="K747"/>
      <c r="L747"/>
      <c r="M747" t="s">
        <v>841</v>
      </c>
      <c r="N747" t="s">
        <v>842</v>
      </c>
      <c r="O747"/>
      <c r="P747" t="e">
        <f>VLOOKUP(N747,#REF!,2,FALSE)</f>
        <v>#REF!</v>
      </c>
      <c r="Q747" t="s">
        <v>883</v>
      </c>
      <c r="R747" s="345">
        <v>-896.99</v>
      </c>
    </row>
    <row r="748" spans="1:18" x14ac:dyDescent="0.2">
      <c r="A748" s="344" t="s">
        <v>754</v>
      </c>
      <c r="B748" t="s">
        <v>827</v>
      </c>
      <c r="C748" t="s">
        <v>823</v>
      </c>
      <c r="D748" t="s">
        <v>746</v>
      </c>
      <c r="E748" t="s">
        <v>829</v>
      </c>
      <c r="F748" t="s">
        <v>803</v>
      </c>
      <c r="G748" t="s">
        <v>830</v>
      </c>
      <c r="H748" t="s">
        <v>831</v>
      </c>
      <c r="I748" t="s">
        <v>722</v>
      </c>
      <c r="J748" t="s">
        <v>721</v>
      </c>
      <c r="K748"/>
      <c r="L748"/>
      <c r="M748" t="s">
        <v>841</v>
      </c>
      <c r="N748" t="s">
        <v>842</v>
      </c>
      <c r="O748"/>
      <c r="P748" t="e">
        <f>VLOOKUP(N748,#REF!,2,FALSE)</f>
        <v>#REF!</v>
      </c>
      <c r="Q748" t="s">
        <v>883</v>
      </c>
      <c r="R748" s="345">
        <v>-1154.57</v>
      </c>
    </row>
    <row r="749" spans="1:18" x14ac:dyDescent="0.2">
      <c r="A749" s="344" t="s">
        <v>755</v>
      </c>
      <c r="B749" t="s">
        <v>827</v>
      </c>
      <c r="C749" t="s">
        <v>823</v>
      </c>
      <c r="D749" t="s">
        <v>746</v>
      </c>
      <c r="E749" t="s">
        <v>829</v>
      </c>
      <c r="F749" t="s">
        <v>803</v>
      </c>
      <c r="G749" t="s">
        <v>830</v>
      </c>
      <c r="H749" t="s">
        <v>831</v>
      </c>
      <c r="I749" t="s">
        <v>722</v>
      </c>
      <c r="J749" t="s">
        <v>721</v>
      </c>
      <c r="K749"/>
      <c r="L749"/>
      <c r="M749" t="s">
        <v>841</v>
      </c>
      <c r="N749" t="s">
        <v>842</v>
      </c>
      <c r="O749"/>
      <c r="P749" t="e">
        <f>VLOOKUP(N749,#REF!,2,FALSE)</f>
        <v>#REF!</v>
      </c>
      <c r="Q749" t="s">
        <v>883</v>
      </c>
      <c r="R749" s="345">
        <v>-700.51</v>
      </c>
    </row>
    <row r="750" spans="1:18" x14ac:dyDescent="0.2">
      <c r="A750" s="344" t="s">
        <v>757</v>
      </c>
      <c r="B750" t="s">
        <v>827</v>
      </c>
      <c r="C750" t="s">
        <v>823</v>
      </c>
      <c r="D750" t="s">
        <v>746</v>
      </c>
      <c r="E750" t="s">
        <v>829</v>
      </c>
      <c r="F750" t="s">
        <v>803</v>
      </c>
      <c r="G750" t="s">
        <v>830</v>
      </c>
      <c r="H750" t="s">
        <v>831</v>
      </c>
      <c r="I750" t="s">
        <v>722</v>
      </c>
      <c r="J750" t="s">
        <v>721</v>
      </c>
      <c r="K750"/>
      <c r="L750"/>
      <c r="M750" t="s">
        <v>841</v>
      </c>
      <c r="N750" t="s">
        <v>842</v>
      </c>
      <c r="O750"/>
      <c r="P750" t="e">
        <f>VLOOKUP(N750,#REF!,2,FALSE)</f>
        <v>#REF!</v>
      </c>
      <c r="Q750" t="s">
        <v>883</v>
      </c>
      <c r="R750" s="345">
        <v>-494</v>
      </c>
    </row>
    <row r="751" spans="1:18" x14ac:dyDescent="0.2">
      <c r="A751" s="344" t="s">
        <v>758</v>
      </c>
      <c r="B751" t="s">
        <v>827</v>
      </c>
      <c r="C751" t="s">
        <v>823</v>
      </c>
      <c r="D751" t="s">
        <v>746</v>
      </c>
      <c r="E751" t="s">
        <v>829</v>
      </c>
      <c r="F751" t="s">
        <v>803</v>
      </c>
      <c r="G751" t="s">
        <v>830</v>
      </c>
      <c r="H751" t="s">
        <v>831</v>
      </c>
      <c r="I751" t="s">
        <v>722</v>
      </c>
      <c r="J751" t="s">
        <v>721</v>
      </c>
      <c r="K751"/>
      <c r="L751"/>
      <c r="M751" t="s">
        <v>841</v>
      </c>
      <c r="N751" t="s">
        <v>842</v>
      </c>
      <c r="O751"/>
      <c r="P751" t="e">
        <f>VLOOKUP(N751,#REF!,2,FALSE)</f>
        <v>#REF!</v>
      </c>
      <c r="Q751" t="s">
        <v>883</v>
      </c>
      <c r="R751" s="345">
        <v>-508.26</v>
      </c>
    </row>
    <row r="752" spans="1:18" x14ac:dyDescent="0.2">
      <c r="A752" s="344" t="s">
        <v>759</v>
      </c>
      <c r="B752" t="s">
        <v>827</v>
      </c>
      <c r="C752" t="s">
        <v>823</v>
      </c>
      <c r="D752" t="s">
        <v>746</v>
      </c>
      <c r="E752" t="s">
        <v>829</v>
      </c>
      <c r="F752" t="s">
        <v>803</v>
      </c>
      <c r="G752" t="s">
        <v>830</v>
      </c>
      <c r="H752" t="s">
        <v>831</v>
      </c>
      <c r="I752" t="s">
        <v>722</v>
      </c>
      <c r="J752" t="s">
        <v>721</v>
      </c>
      <c r="K752"/>
      <c r="L752"/>
      <c r="M752" t="s">
        <v>841</v>
      </c>
      <c r="N752" t="s">
        <v>842</v>
      </c>
      <c r="O752"/>
      <c r="P752" t="e">
        <f>VLOOKUP(N752,#REF!,2,FALSE)</f>
        <v>#REF!</v>
      </c>
      <c r="Q752" t="s">
        <v>883</v>
      </c>
      <c r="R752" s="345">
        <v>-338.84</v>
      </c>
    </row>
    <row r="753" spans="1:18" x14ac:dyDescent="0.2">
      <c r="A753" s="344" t="s">
        <v>743</v>
      </c>
      <c r="B753" t="s">
        <v>827</v>
      </c>
      <c r="C753" t="s">
        <v>823</v>
      </c>
      <c r="D753" t="s">
        <v>746</v>
      </c>
      <c r="E753" t="s">
        <v>829</v>
      </c>
      <c r="F753" t="s">
        <v>803</v>
      </c>
      <c r="G753" t="s">
        <v>830</v>
      </c>
      <c r="H753" t="s">
        <v>831</v>
      </c>
      <c r="I753" t="s">
        <v>722</v>
      </c>
      <c r="J753" t="s">
        <v>721</v>
      </c>
      <c r="K753"/>
      <c r="L753"/>
      <c r="M753" t="s">
        <v>841</v>
      </c>
      <c r="N753" t="s">
        <v>842</v>
      </c>
      <c r="O753"/>
      <c r="P753" t="e">
        <f>VLOOKUP(N753,#REF!,2,FALSE)</f>
        <v>#REF!</v>
      </c>
      <c r="Q753" t="s">
        <v>883</v>
      </c>
      <c r="R753" s="345">
        <v>-169.42</v>
      </c>
    </row>
    <row r="754" spans="1:18" x14ac:dyDescent="0.2">
      <c r="A754" s="344" t="s">
        <v>760</v>
      </c>
      <c r="B754" t="s">
        <v>827</v>
      </c>
      <c r="C754" t="s">
        <v>823</v>
      </c>
      <c r="D754" t="s">
        <v>746</v>
      </c>
      <c r="E754" t="s">
        <v>829</v>
      </c>
      <c r="F754" t="s">
        <v>803</v>
      </c>
      <c r="G754" t="s">
        <v>830</v>
      </c>
      <c r="H754" t="s">
        <v>831</v>
      </c>
      <c r="I754" t="s">
        <v>722</v>
      </c>
      <c r="J754" t="s">
        <v>721</v>
      </c>
      <c r="K754"/>
      <c r="L754"/>
      <c r="M754" t="s">
        <v>841</v>
      </c>
      <c r="N754" t="s">
        <v>842</v>
      </c>
      <c r="O754"/>
      <c r="P754" t="e">
        <f>VLOOKUP(N754,#REF!,2,FALSE)</f>
        <v>#REF!</v>
      </c>
      <c r="Q754" t="s">
        <v>883</v>
      </c>
      <c r="R754" s="345">
        <v>-112.63</v>
      </c>
    </row>
    <row r="755" spans="1:18" x14ac:dyDescent="0.2">
      <c r="A755" s="344" t="s">
        <v>745</v>
      </c>
      <c r="B755" t="s">
        <v>827</v>
      </c>
      <c r="C755" t="s">
        <v>823</v>
      </c>
      <c r="D755" t="s">
        <v>746</v>
      </c>
      <c r="E755" t="s">
        <v>829</v>
      </c>
      <c r="F755" t="s">
        <v>803</v>
      </c>
      <c r="G755" t="s">
        <v>830</v>
      </c>
      <c r="H755" t="s">
        <v>831</v>
      </c>
      <c r="I755" t="s">
        <v>722</v>
      </c>
      <c r="J755" t="s">
        <v>721</v>
      </c>
      <c r="K755"/>
      <c r="L755"/>
      <c r="M755" t="s">
        <v>841</v>
      </c>
      <c r="N755" t="s">
        <v>842</v>
      </c>
      <c r="O755"/>
      <c r="P755" t="e">
        <f>VLOOKUP(N755,#REF!,2,FALSE)</f>
        <v>#REF!</v>
      </c>
      <c r="Q755" t="s">
        <v>883</v>
      </c>
      <c r="R755" s="345">
        <v>-965.59</v>
      </c>
    </row>
    <row r="756" spans="1:18" x14ac:dyDescent="0.2">
      <c r="A756" s="344" t="s">
        <v>758</v>
      </c>
      <c r="B756" t="s">
        <v>827</v>
      </c>
      <c r="C756" t="s">
        <v>823</v>
      </c>
      <c r="D756" t="s">
        <v>746</v>
      </c>
      <c r="E756" t="s">
        <v>829</v>
      </c>
      <c r="F756" t="s">
        <v>803</v>
      </c>
      <c r="G756" t="s">
        <v>830</v>
      </c>
      <c r="H756" t="s">
        <v>831</v>
      </c>
      <c r="I756" t="s">
        <v>722</v>
      </c>
      <c r="J756" t="s">
        <v>721</v>
      </c>
      <c r="K756"/>
      <c r="L756"/>
      <c r="M756" t="s">
        <v>901</v>
      </c>
      <c r="N756" t="s">
        <v>902</v>
      </c>
      <c r="O756"/>
      <c r="P756" t="e">
        <f>VLOOKUP(N756,#REF!,2,FALSE)</f>
        <v>#REF!</v>
      </c>
      <c r="Q756" t="s">
        <v>861</v>
      </c>
      <c r="R756" s="345">
        <v>-347.56</v>
      </c>
    </row>
    <row r="757" spans="1:18" x14ac:dyDescent="0.2">
      <c r="A757" s="344" t="s">
        <v>758</v>
      </c>
      <c r="B757" t="s">
        <v>827</v>
      </c>
      <c r="C757" t="s">
        <v>823</v>
      </c>
      <c r="D757" t="s">
        <v>746</v>
      </c>
      <c r="E757" t="s">
        <v>829</v>
      </c>
      <c r="F757" t="s">
        <v>803</v>
      </c>
      <c r="G757" t="s">
        <v>830</v>
      </c>
      <c r="H757" t="s">
        <v>831</v>
      </c>
      <c r="I757" t="s">
        <v>722</v>
      </c>
      <c r="J757" t="s">
        <v>721</v>
      </c>
      <c r="K757"/>
      <c r="L757"/>
      <c r="M757" t="s">
        <v>763</v>
      </c>
      <c r="N757" t="s">
        <v>764</v>
      </c>
      <c r="O757"/>
      <c r="P757" t="e">
        <f>VLOOKUP(N757,#REF!,2,FALSE)</f>
        <v>#REF!</v>
      </c>
      <c r="Q757" t="s">
        <v>856</v>
      </c>
      <c r="R757" s="345">
        <v>-5063.2299999999996</v>
      </c>
    </row>
    <row r="758" spans="1:18" x14ac:dyDescent="0.2">
      <c r="A758" s="344" t="s">
        <v>759</v>
      </c>
      <c r="B758" t="s">
        <v>827</v>
      </c>
      <c r="C758" t="s">
        <v>823</v>
      </c>
      <c r="D758" t="s">
        <v>746</v>
      </c>
      <c r="E758" t="s">
        <v>829</v>
      </c>
      <c r="F758" t="s">
        <v>803</v>
      </c>
      <c r="G758" t="s">
        <v>830</v>
      </c>
      <c r="H758" t="s">
        <v>831</v>
      </c>
      <c r="I758" t="s">
        <v>722</v>
      </c>
      <c r="J758" t="s">
        <v>721</v>
      </c>
      <c r="K758"/>
      <c r="L758"/>
      <c r="M758" t="s">
        <v>763</v>
      </c>
      <c r="N758" t="s">
        <v>764</v>
      </c>
      <c r="O758"/>
      <c r="P758" t="e">
        <f>VLOOKUP(N758,#REF!,2,FALSE)</f>
        <v>#REF!</v>
      </c>
      <c r="Q758" t="s">
        <v>856</v>
      </c>
      <c r="R758" s="345">
        <v>5063.2299999999996</v>
      </c>
    </row>
    <row r="759" spans="1:18" x14ac:dyDescent="0.2">
      <c r="A759" s="344" t="s">
        <v>743</v>
      </c>
      <c r="B759" t="s">
        <v>827</v>
      </c>
      <c r="C759" t="s">
        <v>823</v>
      </c>
      <c r="D759" t="s">
        <v>746</v>
      </c>
      <c r="E759" t="s">
        <v>829</v>
      </c>
      <c r="F759" t="s">
        <v>803</v>
      </c>
      <c r="G759" t="s">
        <v>830</v>
      </c>
      <c r="H759" t="s">
        <v>831</v>
      </c>
      <c r="I759" t="s">
        <v>722</v>
      </c>
      <c r="J759" t="s">
        <v>721</v>
      </c>
      <c r="K759"/>
      <c r="L759"/>
      <c r="M759" t="s">
        <v>763</v>
      </c>
      <c r="N759" t="s">
        <v>764</v>
      </c>
      <c r="O759"/>
      <c r="P759" t="e">
        <f>VLOOKUP(N759,#REF!,2,FALSE)</f>
        <v>#REF!</v>
      </c>
      <c r="Q759" t="s">
        <v>856</v>
      </c>
      <c r="R759" s="345">
        <v>0</v>
      </c>
    </row>
    <row r="760" spans="1:18" x14ac:dyDescent="0.2">
      <c r="A760" s="344" t="s">
        <v>749</v>
      </c>
      <c r="B760" t="s">
        <v>827</v>
      </c>
      <c r="C760" t="s">
        <v>823</v>
      </c>
      <c r="D760" t="s">
        <v>746</v>
      </c>
      <c r="E760" t="s">
        <v>829</v>
      </c>
      <c r="F760" t="s">
        <v>803</v>
      </c>
      <c r="G760" t="s">
        <v>830</v>
      </c>
      <c r="H760" t="s">
        <v>831</v>
      </c>
      <c r="I760" t="s">
        <v>722</v>
      </c>
      <c r="J760" t="s">
        <v>721</v>
      </c>
      <c r="K760"/>
      <c r="L760"/>
      <c r="M760" t="s">
        <v>763</v>
      </c>
      <c r="N760" t="s">
        <v>764</v>
      </c>
      <c r="O760"/>
      <c r="P760" t="e">
        <f>VLOOKUP(N760,#REF!,2,FALSE)</f>
        <v>#REF!</v>
      </c>
      <c r="Q760" t="s">
        <v>872</v>
      </c>
      <c r="R760" s="345">
        <v>0</v>
      </c>
    </row>
    <row r="761" spans="1:18" x14ac:dyDescent="0.2">
      <c r="A761" s="344" t="s">
        <v>749</v>
      </c>
      <c r="B761" t="s">
        <v>827</v>
      </c>
      <c r="C761" t="s">
        <v>823</v>
      </c>
      <c r="D761" t="s">
        <v>746</v>
      </c>
      <c r="E761" t="s">
        <v>829</v>
      </c>
      <c r="F761" t="s">
        <v>803</v>
      </c>
      <c r="G761" t="s">
        <v>830</v>
      </c>
      <c r="H761" t="s">
        <v>831</v>
      </c>
      <c r="I761" t="s">
        <v>722</v>
      </c>
      <c r="J761" t="s">
        <v>721</v>
      </c>
      <c r="K761"/>
      <c r="L761"/>
      <c r="M761" t="s">
        <v>763</v>
      </c>
      <c r="N761" t="s">
        <v>764</v>
      </c>
      <c r="O761"/>
      <c r="P761" t="e">
        <f>VLOOKUP(N761,#REF!,2,FALSE)</f>
        <v>#REF!</v>
      </c>
      <c r="Q761" t="s">
        <v>858</v>
      </c>
      <c r="R761" s="345">
        <v>3594.27</v>
      </c>
    </row>
    <row r="762" spans="1:18" x14ac:dyDescent="0.2">
      <c r="A762" s="344" t="s">
        <v>749</v>
      </c>
      <c r="B762" t="s">
        <v>827</v>
      </c>
      <c r="C762" t="s">
        <v>823</v>
      </c>
      <c r="D762" t="s">
        <v>746</v>
      </c>
      <c r="E762" t="s">
        <v>829</v>
      </c>
      <c r="F762" t="s">
        <v>803</v>
      </c>
      <c r="G762" t="s">
        <v>830</v>
      </c>
      <c r="H762" t="s">
        <v>831</v>
      </c>
      <c r="I762" t="s">
        <v>722</v>
      </c>
      <c r="J762" t="s">
        <v>721</v>
      </c>
      <c r="K762"/>
      <c r="L762"/>
      <c r="M762" t="s">
        <v>763</v>
      </c>
      <c r="N762" t="s">
        <v>764</v>
      </c>
      <c r="O762"/>
      <c r="P762" t="e">
        <f>VLOOKUP(N762,#REF!,2,FALSE)</f>
        <v>#REF!</v>
      </c>
      <c r="Q762" t="s">
        <v>835</v>
      </c>
      <c r="R762" s="345">
        <v>-2167.39</v>
      </c>
    </row>
    <row r="763" spans="1:18" x14ac:dyDescent="0.2">
      <c r="A763" s="344" t="s">
        <v>752</v>
      </c>
      <c r="B763" t="s">
        <v>827</v>
      </c>
      <c r="C763" t="s">
        <v>823</v>
      </c>
      <c r="D763" t="s">
        <v>746</v>
      </c>
      <c r="E763" t="s">
        <v>829</v>
      </c>
      <c r="F763" t="s">
        <v>803</v>
      </c>
      <c r="G763" t="s">
        <v>830</v>
      </c>
      <c r="H763" t="s">
        <v>831</v>
      </c>
      <c r="I763" t="s">
        <v>722</v>
      </c>
      <c r="J763" t="s">
        <v>721</v>
      </c>
      <c r="K763"/>
      <c r="L763"/>
      <c r="M763" t="s">
        <v>763</v>
      </c>
      <c r="N763" t="s">
        <v>764</v>
      </c>
      <c r="O763"/>
      <c r="P763" t="e">
        <f>VLOOKUP(N763,#REF!,2,FALSE)</f>
        <v>#REF!</v>
      </c>
      <c r="Q763" t="s">
        <v>835</v>
      </c>
      <c r="R763" s="345">
        <v>1199.0999999999999</v>
      </c>
    </row>
    <row r="764" spans="1:18" x14ac:dyDescent="0.2">
      <c r="A764" s="344" t="s">
        <v>758</v>
      </c>
      <c r="B764" t="s">
        <v>827</v>
      </c>
      <c r="C764" t="s">
        <v>823</v>
      </c>
      <c r="D764" t="s">
        <v>746</v>
      </c>
      <c r="E764" t="s">
        <v>829</v>
      </c>
      <c r="F764" t="s">
        <v>803</v>
      </c>
      <c r="G764" t="s">
        <v>830</v>
      </c>
      <c r="H764" t="s">
        <v>831</v>
      </c>
      <c r="I764" t="s">
        <v>722</v>
      </c>
      <c r="J764" t="s">
        <v>721</v>
      </c>
      <c r="K764"/>
      <c r="L764"/>
      <c r="M764" t="s">
        <v>763</v>
      </c>
      <c r="N764" t="s">
        <v>764</v>
      </c>
      <c r="O764"/>
      <c r="P764" t="e">
        <f>VLOOKUP(N764,#REF!,2,FALSE)</f>
        <v>#REF!</v>
      </c>
      <c r="Q764" t="s">
        <v>835</v>
      </c>
      <c r="R764" s="345">
        <v>-2504.69</v>
      </c>
    </row>
    <row r="765" spans="1:18" x14ac:dyDescent="0.2">
      <c r="A765" s="344" t="s">
        <v>759</v>
      </c>
      <c r="B765" t="s">
        <v>827</v>
      </c>
      <c r="C765" t="s">
        <v>823</v>
      </c>
      <c r="D765" t="s">
        <v>746</v>
      </c>
      <c r="E765" t="s">
        <v>829</v>
      </c>
      <c r="F765" t="s">
        <v>803</v>
      </c>
      <c r="G765" t="s">
        <v>830</v>
      </c>
      <c r="H765" t="s">
        <v>831</v>
      </c>
      <c r="I765" t="s">
        <v>722</v>
      </c>
      <c r="J765" t="s">
        <v>721</v>
      </c>
      <c r="K765"/>
      <c r="L765"/>
      <c r="M765" t="s">
        <v>763</v>
      </c>
      <c r="N765" t="s">
        <v>764</v>
      </c>
      <c r="O765"/>
      <c r="P765" t="e">
        <f>VLOOKUP(N765,#REF!,2,FALSE)</f>
        <v>#REF!</v>
      </c>
      <c r="Q765" t="s">
        <v>835</v>
      </c>
      <c r="R765" s="345">
        <v>2504.69</v>
      </c>
    </row>
    <row r="766" spans="1:18" x14ac:dyDescent="0.2">
      <c r="A766" s="344" t="s">
        <v>755</v>
      </c>
      <c r="B766" t="s">
        <v>827</v>
      </c>
      <c r="C766" t="s">
        <v>823</v>
      </c>
      <c r="D766" t="s">
        <v>746</v>
      </c>
      <c r="E766" t="s">
        <v>829</v>
      </c>
      <c r="F766" t="s">
        <v>803</v>
      </c>
      <c r="G766" t="s">
        <v>830</v>
      </c>
      <c r="H766" t="s">
        <v>831</v>
      </c>
      <c r="I766" t="s">
        <v>722</v>
      </c>
      <c r="J766" t="s">
        <v>721</v>
      </c>
      <c r="K766"/>
      <c r="L766"/>
      <c r="M766" t="s">
        <v>763</v>
      </c>
      <c r="N766" t="s">
        <v>764</v>
      </c>
      <c r="O766"/>
      <c r="P766" t="e">
        <f>VLOOKUP(N766,#REF!,2,FALSE)</f>
        <v>#REF!</v>
      </c>
      <c r="Q766" t="s">
        <v>879</v>
      </c>
      <c r="R766" s="345">
        <v>-16084.23</v>
      </c>
    </row>
    <row r="767" spans="1:18" x14ac:dyDescent="0.2">
      <c r="A767" s="344" t="s">
        <v>756</v>
      </c>
      <c r="B767" t="s">
        <v>827</v>
      </c>
      <c r="C767" t="s">
        <v>823</v>
      </c>
      <c r="D767" t="s">
        <v>746</v>
      </c>
      <c r="E767" t="s">
        <v>829</v>
      </c>
      <c r="F767" t="s">
        <v>803</v>
      </c>
      <c r="G767" t="s">
        <v>830</v>
      </c>
      <c r="H767" t="s">
        <v>831</v>
      </c>
      <c r="I767" t="s">
        <v>722</v>
      </c>
      <c r="J767" t="s">
        <v>721</v>
      </c>
      <c r="K767"/>
      <c r="L767"/>
      <c r="M767" t="s">
        <v>763</v>
      </c>
      <c r="N767" t="s">
        <v>764</v>
      </c>
      <c r="O767"/>
      <c r="P767" t="e">
        <f>VLOOKUP(N767,#REF!,2,FALSE)</f>
        <v>#REF!</v>
      </c>
      <c r="Q767" t="s">
        <v>879</v>
      </c>
      <c r="R767" s="345">
        <v>-9751.49</v>
      </c>
    </row>
    <row r="768" spans="1:18" x14ac:dyDescent="0.2">
      <c r="A768" s="344" t="s">
        <v>757</v>
      </c>
      <c r="B768" t="s">
        <v>827</v>
      </c>
      <c r="C768" t="s">
        <v>823</v>
      </c>
      <c r="D768" t="s">
        <v>746</v>
      </c>
      <c r="E768" t="s">
        <v>829</v>
      </c>
      <c r="F768" t="s">
        <v>803</v>
      </c>
      <c r="G768" t="s">
        <v>830</v>
      </c>
      <c r="H768" t="s">
        <v>831</v>
      </c>
      <c r="I768" t="s">
        <v>722</v>
      </c>
      <c r="J768" t="s">
        <v>721</v>
      </c>
      <c r="K768"/>
      <c r="L768"/>
      <c r="M768" t="s">
        <v>763</v>
      </c>
      <c r="N768" t="s">
        <v>764</v>
      </c>
      <c r="O768"/>
      <c r="P768" t="e">
        <f>VLOOKUP(N768,#REF!,2,FALSE)</f>
        <v>#REF!</v>
      </c>
      <c r="Q768" t="s">
        <v>879</v>
      </c>
      <c r="R768" s="345">
        <v>3366.92</v>
      </c>
    </row>
    <row r="769" spans="1:18" x14ac:dyDescent="0.2">
      <c r="A769" s="344" t="s">
        <v>760</v>
      </c>
      <c r="B769" t="s">
        <v>827</v>
      </c>
      <c r="C769" t="s">
        <v>823</v>
      </c>
      <c r="D769" t="s">
        <v>746</v>
      </c>
      <c r="E769" t="s">
        <v>829</v>
      </c>
      <c r="F769" t="s">
        <v>803</v>
      </c>
      <c r="G769" t="s">
        <v>830</v>
      </c>
      <c r="H769" t="s">
        <v>831</v>
      </c>
      <c r="I769" t="s">
        <v>722</v>
      </c>
      <c r="J769" t="s">
        <v>721</v>
      </c>
      <c r="K769"/>
      <c r="L769"/>
      <c r="M769" t="s">
        <v>763</v>
      </c>
      <c r="N769" t="s">
        <v>764</v>
      </c>
      <c r="O769"/>
      <c r="P769" t="e">
        <f>VLOOKUP(N769,#REF!,2,FALSE)</f>
        <v>#REF!</v>
      </c>
      <c r="Q769" t="s">
        <v>879</v>
      </c>
      <c r="R769" s="345">
        <v>-8676.07</v>
      </c>
    </row>
    <row r="770" spans="1:18" x14ac:dyDescent="0.2">
      <c r="A770" s="344" t="s">
        <v>745</v>
      </c>
      <c r="B770" t="s">
        <v>827</v>
      </c>
      <c r="C770" t="s">
        <v>823</v>
      </c>
      <c r="D770" t="s">
        <v>746</v>
      </c>
      <c r="E770" t="s">
        <v>829</v>
      </c>
      <c r="F770" t="s">
        <v>803</v>
      </c>
      <c r="G770" t="s">
        <v>830</v>
      </c>
      <c r="H770" t="s">
        <v>831</v>
      </c>
      <c r="I770" t="s">
        <v>722</v>
      </c>
      <c r="J770" t="s">
        <v>721</v>
      </c>
      <c r="K770"/>
      <c r="L770"/>
      <c r="M770" t="s">
        <v>763</v>
      </c>
      <c r="N770" t="s">
        <v>764</v>
      </c>
      <c r="O770"/>
      <c r="P770" t="e">
        <f>VLOOKUP(N770,#REF!,2,FALSE)</f>
        <v>#REF!</v>
      </c>
      <c r="Q770" t="s">
        <v>879</v>
      </c>
      <c r="R770" s="345">
        <v>-111.28</v>
      </c>
    </row>
    <row r="771" spans="1:18" x14ac:dyDescent="0.2">
      <c r="A771" s="344" t="s">
        <v>754</v>
      </c>
      <c r="B771" t="s">
        <v>827</v>
      </c>
      <c r="C771" t="s">
        <v>823</v>
      </c>
      <c r="D771" t="s">
        <v>746</v>
      </c>
      <c r="E771" t="s">
        <v>829</v>
      </c>
      <c r="F771" t="s">
        <v>803</v>
      </c>
      <c r="G771" t="s">
        <v>830</v>
      </c>
      <c r="H771" t="s">
        <v>831</v>
      </c>
      <c r="I771" t="s">
        <v>722</v>
      </c>
      <c r="J771" t="s">
        <v>721</v>
      </c>
      <c r="K771"/>
      <c r="L771"/>
      <c r="M771" t="s">
        <v>763</v>
      </c>
      <c r="N771" t="s">
        <v>764</v>
      </c>
      <c r="O771"/>
      <c r="P771" t="e">
        <f>VLOOKUP(N771,#REF!,2,FALSE)</f>
        <v>#REF!</v>
      </c>
      <c r="Q771" t="s">
        <v>862</v>
      </c>
      <c r="R771" s="345">
        <v>-100.14</v>
      </c>
    </row>
    <row r="772" spans="1:18" x14ac:dyDescent="0.2">
      <c r="A772" s="344" t="s">
        <v>755</v>
      </c>
      <c r="B772" t="s">
        <v>827</v>
      </c>
      <c r="C772" t="s">
        <v>823</v>
      </c>
      <c r="D772" t="s">
        <v>746</v>
      </c>
      <c r="E772" t="s">
        <v>829</v>
      </c>
      <c r="F772" t="s">
        <v>803</v>
      </c>
      <c r="G772" t="s">
        <v>830</v>
      </c>
      <c r="H772" t="s">
        <v>831</v>
      </c>
      <c r="I772" t="s">
        <v>722</v>
      </c>
      <c r="J772" t="s">
        <v>721</v>
      </c>
      <c r="K772"/>
      <c r="L772"/>
      <c r="M772" t="s">
        <v>763</v>
      </c>
      <c r="N772" t="s">
        <v>764</v>
      </c>
      <c r="O772"/>
      <c r="P772" t="e">
        <f>VLOOKUP(N772,#REF!,2,FALSE)</f>
        <v>#REF!</v>
      </c>
      <c r="Q772" t="s">
        <v>862</v>
      </c>
      <c r="R772" s="345">
        <v>-176.31</v>
      </c>
    </row>
    <row r="773" spans="1:18" x14ac:dyDescent="0.2">
      <c r="A773" s="344" t="s">
        <v>756</v>
      </c>
      <c r="B773" t="s">
        <v>827</v>
      </c>
      <c r="C773" t="s">
        <v>823</v>
      </c>
      <c r="D773" t="s">
        <v>746</v>
      </c>
      <c r="E773" t="s">
        <v>829</v>
      </c>
      <c r="F773" t="s">
        <v>803</v>
      </c>
      <c r="G773" t="s">
        <v>830</v>
      </c>
      <c r="H773" t="s">
        <v>831</v>
      </c>
      <c r="I773" t="s">
        <v>722</v>
      </c>
      <c r="J773" t="s">
        <v>721</v>
      </c>
      <c r="K773"/>
      <c r="L773"/>
      <c r="M773" t="s">
        <v>763</v>
      </c>
      <c r="N773" t="s">
        <v>764</v>
      </c>
      <c r="O773"/>
      <c r="P773" t="e">
        <f>VLOOKUP(N773,#REF!,2,FALSE)</f>
        <v>#REF!</v>
      </c>
      <c r="Q773" t="s">
        <v>862</v>
      </c>
      <c r="R773" s="345">
        <v>-181.95</v>
      </c>
    </row>
    <row r="774" spans="1:18" x14ac:dyDescent="0.2">
      <c r="A774" s="344" t="s">
        <v>757</v>
      </c>
      <c r="B774" t="s">
        <v>827</v>
      </c>
      <c r="C774" t="s">
        <v>823</v>
      </c>
      <c r="D774" t="s">
        <v>746</v>
      </c>
      <c r="E774" t="s">
        <v>829</v>
      </c>
      <c r="F774" t="s">
        <v>803</v>
      </c>
      <c r="G774" t="s">
        <v>830</v>
      </c>
      <c r="H774" t="s">
        <v>831</v>
      </c>
      <c r="I774" t="s">
        <v>722</v>
      </c>
      <c r="J774" t="s">
        <v>721</v>
      </c>
      <c r="K774"/>
      <c r="L774"/>
      <c r="M774" t="s">
        <v>763</v>
      </c>
      <c r="N774" t="s">
        <v>764</v>
      </c>
      <c r="O774"/>
      <c r="P774" t="e">
        <f>VLOOKUP(N774,#REF!,2,FALSE)</f>
        <v>#REF!</v>
      </c>
      <c r="Q774" t="s">
        <v>862</v>
      </c>
      <c r="R774" s="345">
        <v>-182.34</v>
      </c>
    </row>
    <row r="775" spans="1:18" x14ac:dyDescent="0.2">
      <c r="A775" s="344" t="s">
        <v>758</v>
      </c>
      <c r="B775" t="s">
        <v>827</v>
      </c>
      <c r="C775" t="s">
        <v>823</v>
      </c>
      <c r="D775" t="s">
        <v>746</v>
      </c>
      <c r="E775" t="s">
        <v>829</v>
      </c>
      <c r="F775" t="s">
        <v>803</v>
      </c>
      <c r="G775" t="s">
        <v>830</v>
      </c>
      <c r="H775" t="s">
        <v>831</v>
      </c>
      <c r="I775" t="s">
        <v>722</v>
      </c>
      <c r="J775" t="s">
        <v>721</v>
      </c>
      <c r="K775"/>
      <c r="L775"/>
      <c r="M775" t="s">
        <v>763</v>
      </c>
      <c r="N775" t="s">
        <v>764</v>
      </c>
      <c r="O775"/>
      <c r="P775" t="e">
        <f>VLOOKUP(N775,#REF!,2,FALSE)</f>
        <v>#REF!</v>
      </c>
      <c r="Q775" t="s">
        <v>862</v>
      </c>
      <c r="R775" s="345">
        <v>-165.38</v>
      </c>
    </row>
    <row r="776" spans="1:18" x14ac:dyDescent="0.2">
      <c r="A776" s="344" t="s">
        <v>759</v>
      </c>
      <c r="B776" t="s">
        <v>827</v>
      </c>
      <c r="C776" t="s">
        <v>823</v>
      </c>
      <c r="D776" t="s">
        <v>746</v>
      </c>
      <c r="E776" t="s">
        <v>829</v>
      </c>
      <c r="F776" t="s">
        <v>803</v>
      </c>
      <c r="G776" t="s">
        <v>830</v>
      </c>
      <c r="H776" t="s">
        <v>831</v>
      </c>
      <c r="I776" t="s">
        <v>722</v>
      </c>
      <c r="J776" t="s">
        <v>721</v>
      </c>
      <c r="K776"/>
      <c r="L776"/>
      <c r="M776" t="s">
        <v>763</v>
      </c>
      <c r="N776" t="s">
        <v>764</v>
      </c>
      <c r="O776"/>
      <c r="P776" t="e">
        <f>VLOOKUP(N776,#REF!,2,FALSE)</f>
        <v>#REF!</v>
      </c>
      <c r="Q776" t="s">
        <v>862</v>
      </c>
      <c r="R776" s="345">
        <v>-182.34</v>
      </c>
    </row>
    <row r="777" spans="1:18" x14ac:dyDescent="0.2">
      <c r="A777" s="344" t="s">
        <v>743</v>
      </c>
      <c r="B777" t="s">
        <v>827</v>
      </c>
      <c r="C777" t="s">
        <v>823</v>
      </c>
      <c r="D777" t="s">
        <v>746</v>
      </c>
      <c r="E777" t="s">
        <v>829</v>
      </c>
      <c r="F777" t="s">
        <v>803</v>
      </c>
      <c r="G777" t="s">
        <v>830</v>
      </c>
      <c r="H777" t="s">
        <v>831</v>
      </c>
      <c r="I777" t="s">
        <v>722</v>
      </c>
      <c r="J777" t="s">
        <v>721</v>
      </c>
      <c r="K777"/>
      <c r="L777"/>
      <c r="M777" t="s">
        <v>763</v>
      </c>
      <c r="N777" t="s">
        <v>764</v>
      </c>
      <c r="O777"/>
      <c r="P777" t="e">
        <f>VLOOKUP(N777,#REF!,2,FALSE)</f>
        <v>#REF!</v>
      </c>
      <c r="Q777" t="s">
        <v>862</v>
      </c>
      <c r="R777" s="345">
        <v>0</v>
      </c>
    </row>
    <row r="778" spans="1:18" x14ac:dyDescent="0.2">
      <c r="A778" s="344" t="s">
        <v>749</v>
      </c>
      <c r="B778" t="s">
        <v>827</v>
      </c>
      <c r="C778" t="s">
        <v>823</v>
      </c>
      <c r="D778" t="s">
        <v>746</v>
      </c>
      <c r="E778" t="s">
        <v>829</v>
      </c>
      <c r="F778" t="s">
        <v>803</v>
      </c>
      <c r="G778" t="s">
        <v>830</v>
      </c>
      <c r="H778" t="s">
        <v>831</v>
      </c>
      <c r="I778" t="s">
        <v>722</v>
      </c>
      <c r="J778" t="s">
        <v>721</v>
      </c>
      <c r="K778"/>
      <c r="L778"/>
      <c r="M778" t="s">
        <v>763</v>
      </c>
      <c r="N778" t="s">
        <v>764</v>
      </c>
      <c r="O778"/>
      <c r="P778" t="e">
        <f>VLOOKUP(N778,#REF!,2,FALSE)</f>
        <v>#REF!</v>
      </c>
      <c r="Q778" t="s">
        <v>881</v>
      </c>
      <c r="R778" s="345">
        <v>-1683.37</v>
      </c>
    </row>
    <row r="779" spans="1:18" x14ac:dyDescent="0.2">
      <c r="A779" s="344" t="s">
        <v>752</v>
      </c>
      <c r="B779" t="s">
        <v>827</v>
      </c>
      <c r="C779" t="s">
        <v>823</v>
      </c>
      <c r="D779" t="s">
        <v>746</v>
      </c>
      <c r="E779" t="s">
        <v>829</v>
      </c>
      <c r="F779" t="s">
        <v>803</v>
      </c>
      <c r="G779" t="s">
        <v>830</v>
      </c>
      <c r="H779" t="s">
        <v>831</v>
      </c>
      <c r="I779" t="s">
        <v>722</v>
      </c>
      <c r="J779" t="s">
        <v>721</v>
      </c>
      <c r="K779"/>
      <c r="L779"/>
      <c r="M779" t="s">
        <v>763</v>
      </c>
      <c r="N779" t="s">
        <v>764</v>
      </c>
      <c r="O779"/>
      <c r="P779" t="e">
        <f>VLOOKUP(N779,#REF!,2,FALSE)</f>
        <v>#REF!</v>
      </c>
      <c r="Q779" t="s">
        <v>881</v>
      </c>
      <c r="R779" s="345">
        <v>-3295.9</v>
      </c>
    </row>
    <row r="780" spans="1:18" x14ac:dyDescent="0.2">
      <c r="A780" s="344" t="s">
        <v>753</v>
      </c>
      <c r="B780" t="s">
        <v>827</v>
      </c>
      <c r="C780" t="s">
        <v>823</v>
      </c>
      <c r="D780" t="s">
        <v>746</v>
      </c>
      <c r="E780" t="s">
        <v>829</v>
      </c>
      <c r="F780" t="s">
        <v>803</v>
      </c>
      <c r="G780" t="s">
        <v>830</v>
      </c>
      <c r="H780" t="s">
        <v>831</v>
      </c>
      <c r="I780" t="s">
        <v>722</v>
      </c>
      <c r="J780" t="s">
        <v>721</v>
      </c>
      <c r="K780"/>
      <c r="L780"/>
      <c r="M780" t="s">
        <v>763</v>
      </c>
      <c r="N780" t="s">
        <v>764</v>
      </c>
      <c r="O780"/>
      <c r="P780" t="e">
        <f>VLOOKUP(N780,#REF!,2,FALSE)</f>
        <v>#REF!</v>
      </c>
      <c r="Q780" t="s">
        <v>881</v>
      </c>
      <c r="R780" s="345">
        <v>-195.84</v>
      </c>
    </row>
    <row r="781" spans="1:18" x14ac:dyDescent="0.2">
      <c r="A781" s="344" t="s">
        <v>754</v>
      </c>
      <c r="B781" t="s">
        <v>827</v>
      </c>
      <c r="C781" t="s">
        <v>823</v>
      </c>
      <c r="D781" t="s">
        <v>746</v>
      </c>
      <c r="E781" t="s">
        <v>829</v>
      </c>
      <c r="F781" t="s">
        <v>803</v>
      </c>
      <c r="G781" t="s">
        <v>830</v>
      </c>
      <c r="H781" t="s">
        <v>831</v>
      </c>
      <c r="I781" t="s">
        <v>722</v>
      </c>
      <c r="J781" t="s">
        <v>721</v>
      </c>
      <c r="K781"/>
      <c r="L781"/>
      <c r="M781" t="s">
        <v>763</v>
      </c>
      <c r="N781" t="s">
        <v>764</v>
      </c>
      <c r="O781"/>
      <c r="P781" t="e">
        <f>VLOOKUP(N781,#REF!,2,FALSE)</f>
        <v>#REF!</v>
      </c>
      <c r="Q781" t="s">
        <v>881</v>
      </c>
      <c r="R781" s="345">
        <v>0</v>
      </c>
    </row>
    <row r="782" spans="1:18" x14ac:dyDescent="0.2">
      <c r="A782" s="344" t="s">
        <v>755</v>
      </c>
      <c r="B782" t="s">
        <v>827</v>
      </c>
      <c r="C782" t="s">
        <v>823</v>
      </c>
      <c r="D782" t="s">
        <v>746</v>
      </c>
      <c r="E782" t="s">
        <v>829</v>
      </c>
      <c r="F782" t="s">
        <v>803</v>
      </c>
      <c r="G782" t="s">
        <v>830</v>
      </c>
      <c r="H782" t="s">
        <v>831</v>
      </c>
      <c r="I782" t="s">
        <v>722</v>
      </c>
      <c r="J782" t="s">
        <v>721</v>
      </c>
      <c r="K782"/>
      <c r="L782"/>
      <c r="M782" t="s">
        <v>763</v>
      </c>
      <c r="N782" t="s">
        <v>764</v>
      </c>
      <c r="O782"/>
      <c r="P782" t="e">
        <f>VLOOKUP(N782,#REF!,2,FALSE)</f>
        <v>#REF!</v>
      </c>
      <c r="Q782" t="s">
        <v>881</v>
      </c>
      <c r="R782" s="345">
        <v>-1333.46</v>
      </c>
    </row>
    <row r="783" spans="1:18" x14ac:dyDescent="0.2">
      <c r="A783" s="344" t="s">
        <v>756</v>
      </c>
      <c r="B783" t="s">
        <v>827</v>
      </c>
      <c r="C783" t="s">
        <v>823</v>
      </c>
      <c r="D783" t="s">
        <v>746</v>
      </c>
      <c r="E783" t="s">
        <v>829</v>
      </c>
      <c r="F783" t="s">
        <v>803</v>
      </c>
      <c r="G783" t="s">
        <v>830</v>
      </c>
      <c r="H783" t="s">
        <v>831</v>
      </c>
      <c r="I783" t="s">
        <v>722</v>
      </c>
      <c r="J783" t="s">
        <v>721</v>
      </c>
      <c r="K783"/>
      <c r="L783"/>
      <c r="M783" t="s">
        <v>763</v>
      </c>
      <c r="N783" t="s">
        <v>764</v>
      </c>
      <c r="O783"/>
      <c r="P783" t="e">
        <f>VLOOKUP(N783,#REF!,2,FALSE)</f>
        <v>#REF!</v>
      </c>
      <c r="Q783" t="s">
        <v>881</v>
      </c>
      <c r="R783" s="345">
        <v>-467.68</v>
      </c>
    </row>
    <row r="784" spans="1:18" x14ac:dyDescent="0.2">
      <c r="A784" s="344" t="s">
        <v>757</v>
      </c>
      <c r="B784" t="s">
        <v>827</v>
      </c>
      <c r="C784" t="s">
        <v>823</v>
      </c>
      <c r="D784" t="s">
        <v>746</v>
      </c>
      <c r="E784" t="s">
        <v>829</v>
      </c>
      <c r="F784" t="s">
        <v>803</v>
      </c>
      <c r="G784" t="s">
        <v>830</v>
      </c>
      <c r="H784" t="s">
        <v>831</v>
      </c>
      <c r="I784" t="s">
        <v>722</v>
      </c>
      <c r="J784" t="s">
        <v>721</v>
      </c>
      <c r="K784"/>
      <c r="L784"/>
      <c r="M784" t="s">
        <v>763</v>
      </c>
      <c r="N784" t="s">
        <v>764</v>
      </c>
      <c r="O784"/>
      <c r="P784" t="e">
        <f>VLOOKUP(N784,#REF!,2,FALSE)</f>
        <v>#REF!</v>
      </c>
      <c r="Q784" t="s">
        <v>881</v>
      </c>
      <c r="R784" s="345">
        <v>-577.5</v>
      </c>
    </row>
    <row r="785" spans="1:18" x14ac:dyDescent="0.2">
      <c r="A785" s="344" t="s">
        <v>758</v>
      </c>
      <c r="B785" t="s">
        <v>827</v>
      </c>
      <c r="C785" t="s">
        <v>823</v>
      </c>
      <c r="D785" t="s">
        <v>746</v>
      </c>
      <c r="E785" t="s">
        <v>829</v>
      </c>
      <c r="F785" t="s">
        <v>803</v>
      </c>
      <c r="G785" t="s">
        <v>830</v>
      </c>
      <c r="H785" t="s">
        <v>831</v>
      </c>
      <c r="I785" t="s">
        <v>722</v>
      </c>
      <c r="J785" t="s">
        <v>721</v>
      </c>
      <c r="K785"/>
      <c r="L785"/>
      <c r="M785" t="s">
        <v>763</v>
      </c>
      <c r="N785" t="s">
        <v>764</v>
      </c>
      <c r="O785"/>
      <c r="P785" t="e">
        <f>VLOOKUP(N785,#REF!,2,FALSE)</f>
        <v>#REF!</v>
      </c>
      <c r="Q785" t="s">
        <v>881</v>
      </c>
      <c r="R785" s="345">
        <v>-114.38</v>
      </c>
    </row>
    <row r="786" spans="1:18" x14ac:dyDescent="0.2">
      <c r="A786" s="344" t="s">
        <v>759</v>
      </c>
      <c r="B786" t="s">
        <v>827</v>
      </c>
      <c r="C786" t="s">
        <v>823</v>
      </c>
      <c r="D786" t="s">
        <v>746</v>
      </c>
      <c r="E786" t="s">
        <v>829</v>
      </c>
      <c r="F786" t="s">
        <v>803</v>
      </c>
      <c r="G786" t="s">
        <v>830</v>
      </c>
      <c r="H786" t="s">
        <v>831</v>
      </c>
      <c r="I786" t="s">
        <v>722</v>
      </c>
      <c r="J786" t="s">
        <v>721</v>
      </c>
      <c r="K786"/>
      <c r="L786"/>
      <c r="M786" t="s">
        <v>763</v>
      </c>
      <c r="N786" t="s">
        <v>764</v>
      </c>
      <c r="O786"/>
      <c r="P786" t="e">
        <f>VLOOKUP(N786,#REF!,2,FALSE)</f>
        <v>#REF!</v>
      </c>
      <c r="Q786" t="s">
        <v>881</v>
      </c>
      <c r="R786" s="345">
        <v>0</v>
      </c>
    </row>
    <row r="787" spans="1:18" x14ac:dyDescent="0.2">
      <c r="A787" s="344" t="s">
        <v>745</v>
      </c>
      <c r="B787" t="s">
        <v>827</v>
      </c>
      <c r="C787" t="s">
        <v>823</v>
      </c>
      <c r="D787" t="s">
        <v>746</v>
      </c>
      <c r="E787" t="s">
        <v>829</v>
      </c>
      <c r="F787" t="s">
        <v>803</v>
      </c>
      <c r="G787" t="s">
        <v>830</v>
      </c>
      <c r="H787" t="s">
        <v>831</v>
      </c>
      <c r="I787" t="s">
        <v>722</v>
      </c>
      <c r="J787" t="s">
        <v>721</v>
      </c>
      <c r="K787"/>
      <c r="L787"/>
      <c r="M787" t="s">
        <v>763</v>
      </c>
      <c r="N787" t="s">
        <v>764</v>
      </c>
      <c r="O787"/>
      <c r="P787" t="e">
        <f>VLOOKUP(N787,#REF!,2,FALSE)</f>
        <v>#REF!</v>
      </c>
      <c r="Q787" t="s">
        <v>881</v>
      </c>
      <c r="R787" s="345">
        <v>-385.77</v>
      </c>
    </row>
    <row r="788" spans="1:18" x14ac:dyDescent="0.2">
      <c r="A788" s="344" t="s">
        <v>749</v>
      </c>
      <c r="B788" t="s">
        <v>827</v>
      </c>
      <c r="C788" t="s">
        <v>823</v>
      </c>
      <c r="D788" t="s">
        <v>746</v>
      </c>
      <c r="E788" t="s">
        <v>829</v>
      </c>
      <c r="F788" t="s">
        <v>803</v>
      </c>
      <c r="G788" t="s">
        <v>830</v>
      </c>
      <c r="H788" t="s">
        <v>831</v>
      </c>
      <c r="I788" t="s">
        <v>722</v>
      </c>
      <c r="J788" t="s">
        <v>721</v>
      </c>
      <c r="K788"/>
      <c r="L788"/>
      <c r="M788" t="s">
        <v>763</v>
      </c>
      <c r="N788" t="s">
        <v>764</v>
      </c>
      <c r="O788"/>
      <c r="P788" t="e">
        <f>VLOOKUP(N788,#REF!,2,FALSE)</f>
        <v>#REF!</v>
      </c>
      <c r="Q788" t="s">
        <v>883</v>
      </c>
      <c r="R788" s="345">
        <v>-2213.9499999999998</v>
      </c>
    </row>
    <row r="789" spans="1:18" x14ac:dyDescent="0.2">
      <c r="A789" s="344" t="s">
        <v>752</v>
      </c>
      <c r="B789" t="s">
        <v>827</v>
      </c>
      <c r="C789" t="s">
        <v>823</v>
      </c>
      <c r="D789" t="s">
        <v>746</v>
      </c>
      <c r="E789" t="s">
        <v>829</v>
      </c>
      <c r="F789" t="s">
        <v>803</v>
      </c>
      <c r="G789" t="s">
        <v>830</v>
      </c>
      <c r="H789" t="s">
        <v>831</v>
      </c>
      <c r="I789" t="s">
        <v>722</v>
      </c>
      <c r="J789" t="s">
        <v>721</v>
      </c>
      <c r="K789"/>
      <c r="L789"/>
      <c r="M789" t="s">
        <v>763</v>
      </c>
      <c r="N789" t="s">
        <v>764</v>
      </c>
      <c r="O789"/>
      <c r="P789" t="e">
        <f>VLOOKUP(N789,#REF!,2,FALSE)</f>
        <v>#REF!</v>
      </c>
      <c r="Q789" t="s">
        <v>883</v>
      </c>
      <c r="R789" s="345">
        <v>-73.19</v>
      </c>
    </row>
    <row r="790" spans="1:18" x14ac:dyDescent="0.2">
      <c r="A790" s="344" t="s">
        <v>753</v>
      </c>
      <c r="B790" t="s">
        <v>827</v>
      </c>
      <c r="C790" t="s">
        <v>823</v>
      </c>
      <c r="D790" t="s">
        <v>746</v>
      </c>
      <c r="E790" t="s">
        <v>829</v>
      </c>
      <c r="F790" t="s">
        <v>803</v>
      </c>
      <c r="G790" t="s">
        <v>830</v>
      </c>
      <c r="H790" t="s">
        <v>831</v>
      </c>
      <c r="I790" t="s">
        <v>722</v>
      </c>
      <c r="J790" t="s">
        <v>721</v>
      </c>
      <c r="K790"/>
      <c r="L790"/>
      <c r="M790" t="s">
        <v>763</v>
      </c>
      <c r="N790" t="s">
        <v>764</v>
      </c>
      <c r="O790"/>
      <c r="P790" t="e">
        <f>VLOOKUP(N790,#REF!,2,FALSE)</f>
        <v>#REF!</v>
      </c>
      <c r="Q790" t="s">
        <v>883</v>
      </c>
      <c r="R790" s="345">
        <v>-776.92</v>
      </c>
    </row>
    <row r="791" spans="1:18" x14ac:dyDescent="0.2">
      <c r="A791" s="344" t="s">
        <v>754</v>
      </c>
      <c r="B791" t="s">
        <v>827</v>
      </c>
      <c r="C791" t="s">
        <v>823</v>
      </c>
      <c r="D791" t="s">
        <v>746</v>
      </c>
      <c r="E791" t="s">
        <v>829</v>
      </c>
      <c r="F791" t="s">
        <v>803</v>
      </c>
      <c r="G791" t="s">
        <v>830</v>
      </c>
      <c r="H791" t="s">
        <v>831</v>
      </c>
      <c r="I791" t="s">
        <v>722</v>
      </c>
      <c r="J791" t="s">
        <v>721</v>
      </c>
      <c r="K791"/>
      <c r="L791"/>
      <c r="M791" t="s">
        <v>763</v>
      </c>
      <c r="N791" t="s">
        <v>764</v>
      </c>
      <c r="O791"/>
      <c r="P791" t="e">
        <f>VLOOKUP(N791,#REF!,2,FALSE)</f>
        <v>#REF!</v>
      </c>
      <c r="Q791" t="s">
        <v>883</v>
      </c>
      <c r="R791" s="345">
        <v>-995.82</v>
      </c>
    </row>
    <row r="792" spans="1:18" x14ac:dyDescent="0.2">
      <c r="A792" s="344" t="s">
        <v>755</v>
      </c>
      <c r="B792" t="s">
        <v>827</v>
      </c>
      <c r="C792" t="s">
        <v>823</v>
      </c>
      <c r="D792" t="s">
        <v>746</v>
      </c>
      <c r="E792" t="s">
        <v>829</v>
      </c>
      <c r="F792" t="s">
        <v>803</v>
      </c>
      <c r="G792" t="s">
        <v>830</v>
      </c>
      <c r="H792" t="s">
        <v>831</v>
      </c>
      <c r="I792" t="s">
        <v>722</v>
      </c>
      <c r="J792" t="s">
        <v>721</v>
      </c>
      <c r="K792"/>
      <c r="L792"/>
      <c r="M792" t="s">
        <v>763</v>
      </c>
      <c r="N792" t="s">
        <v>764</v>
      </c>
      <c r="O792"/>
      <c r="P792" t="e">
        <f>VLOOKUP(N792,#REF!,2,FALSE)</f>
        <v>#REF!</v>
      </c>
      <c r="Q792" t="s">
        <v>883</v>
      </c>
      <c r="R792" s="345">
        <v>-173.49</v>
      </c>
    </row>
    <row r="793" spans="1:18" x14ac:dyDescent="0.2">
      <c r="A793" s="344" t="s">
        <v>756</v>
      </c>
      <c r="B793" t="s">
        <v>827</v>
      </c>
      <c r="C793" t="s">
        <v>823</v>
      </c>
      <c r="D793" t="s">
        <v>746</v>
      </c>
      <c r="E793" t="s">
        <v>829</v>
      </c>
      <c r="F793" t="s">
        <v>803</v>
      </c>
      <c r="G793" t="s">
        <v>830</v>
      </c>
      <c r="H793" t="s">
        <v>831</v>
      </c>
      <c r="I793" t="s">
        <v>722</v>
      </c>
      <c r="J793" t="s">
        <v>721</v>
      </c>
      <c r="K793"/>
      <c r="L793"/>
      <c r="M793" t="s">
        <v>763</v>
      </c>
      <c r="N793" t="s">
        <v>764</v>
      </c>
      <c r="O793"/>
      <c r="P793" t="e">
        <f>VLOOKUP(N793,#REF!,2,FALSE)</f>
        <v>#REF!</v>
      </c>
      <c r="Q793" t="s">
        <v>883</v>
      </c>
      <c r="R793" s="345">
        <v>-547.28</v>
      </c>
    </row>
    <row r="794" spans="1:18" x14ac:dyDescent="0.2">
      <c r="A794" s="344" t="s">
        <v>757</v>
      </c>
      <c r="B794" t="s">
        <v>827</v>
      </c>
      <c r="C794" t="s">
        <v>823</v>
      </c>
      <c r="D794" t="s">
        <v>746</v>
      </c>
      <c r="E794" t="s">
        <v>829</v>
      </c>
      <c r="F794" t="s">
        <v>803</v>
      </c>
      <c r="G794" t="s">
        <v>830</v>
      </c>
      <c r="H794" t="s">
        <v>831</v>
      </c>
      <c r="I794" t="s">
        <v>722</v>
      </c>
      <c r="J794" t="s">
        <v>721</v>
      </c>
      <c r="K794"/>
      <c r="L794"/>
      <c r="M794" t="s">
        <v>763</v>
      </c>
      <c r="N794" t="s">
        <v>764</v>
      </c>
      <c r="O794"/>
      <c r="P794" t="e">
        <f>VLOOKUP(N794,#REF!,2,FALSE)</f>
        <v>#REF!</v>
      </c>
      <c r="Q794" t="s">
        <v>883</v>
      </c>
      <c r="R794" s="345">
        <v>-588.04</v>
      </c>
    </row>
    <row r="795" spans="1:18" x14ac:dyDescent="0.2">
      <c r="A795" s="344" t="s">
        <v>758</v>
      </c>
      <c r="B795" t="s">
        <v>827</v>
      </c>
      <c r="C795" t="s">
        <v>823</v>
      </c>
      <c r="D795" t="s">
        <v>746</v>
      </c>
      <c r="E795" t="s">
        <v>829</v>
      </c>
      <c r="F795" t="s">
        <v>803</v>
      </c>
      <c r="G795" t="s">
        <v>830</v>
      </c>
      <c r="H795" t="s">
        <v>831</v>
      </c>
      <c r="I795" t="s">
        <v>722</v>
      </c>
      <c r="J795" t="s">
        <v>721</v>
      </c>
      <c r="K795"/>
      <c r="L795"/>
      <c r="M795" t="s">
        <v>763</v>
      </c>
      <c r="N795" t="s">
        <v>764</v>
      </c>
      <c r="O795"/>
      <c r="P795" t="e">
        <f>VLOOKUP(N795,#REF!,2,FALSE)</f>
        <v>#REF!</v>
      </c>
      <c r="Q795" t="s">
        <v>883</v>
      </c>
      <c r="R795" s="345">
        <v>-681.33</v>
      </c>
    </row>
    <row r="796" spans="1:18" x14ac:dyDescent="0.2">
      <c r="A796" s="344" t="s">
        <v>759</v>
      </c>
      <c r="B796" t="s">
        <v>827</v>
      </c>
      <c r="C796" t="s">
        <v>823</v>
      </c>
      <c r="D796" t="s">
        <v>746</v>
      </c>
      <c r="E796" t="s">
        <v>829</v>
      </c>
      <c r="F796" t="s">
        <v>803</v>
      </c>
      <c r="G796" t="s">
        <v>830</v>
      </c>
      <c r="H796" t="s">
        <v>831</v>
      </c>
      <c r="I796" t="s">
        <v>722</v>
      </c>
      <c r="J796" t="s">
        <v>721</v>
      </c>
      <c r="K796"/>
      <c r="L796"/>
      <c r="M796" t="s">
        <v>763</v>
      </c>
      <c r="N796" t="s">
        <v>764</v>
      </c>
      <c r="O796"/>
      <c r="P796" t="e">
        <f>VLOOKUP(N796,#REF!,2,FALSE)</f>
        <v>#REF!</v>
      </c>
      <c r="Q796" t="s">
        <v>883</v>
      </c>
      <c r="R796" s="345">
        <v>183.76</v>
      </c>
    </row>
    <row r="797" spans="1:18" x14ac:dyDescent="0.2">
      <c r="A797" s="344" t="s">
        <v>743</v>
      </c>
      <c r="B797" t="s">
        <v>827</v>
      </c>
      <c r="C797" t="s">
        <v>823</v>
      </c>
      <c r="D797" t="s">
        <v>746</v>
      </c>
      <c r="E797" t="s">
        <v>829</v>
      </c>
      <c r="F797" t="s">
        <v>803</v>
      </c>
      <c r="G797" t="s">
        <v>830</v>
      </c>
      <c r="H797" t="s">
        <v>831</v>
      </c>
      <c r="I797" t="s">
        <v>722</v>
      </c>
      <c r="J797" t="s">
        <v>721</v>
      </c>
      <c r="K797"/>
      <c r="L797"/>
      <c r="M797" t="s">
        <v>763</v>
      </c>
      <c r="N797" t="s">
        <v>764</v>
      </c>
      <c r="O797"/>
      <c r="P797" t="e">
        <f>VLOOKUP(N797,#REF!,2,FALSE)</f>
        <v>#REF!</v>
      </c>
      <c r="Q797" t="s">
        <v>883</v>
      </c>
      <c r="R797" s="345">
        <v>-746.17</v>
      </c>
    </row>
    <row r="798" spans="1:18" x14ac:dyDescent="0.2">
      <c r="A798" s="344" t="s">
        <v>760</v>
      </c>
      <c r="B798" t="s">
        <v>827</v>
      </c>
      <c r="C798" t="s">
        <v>823</v>
      </c>
      <c r="D798" t="s">
        <v>746</v>
      </c>
      <c r="E798" t="s">
        <v>829</v>
      </c>
      <c r="F798" t="s">
        <v>803</v>
      </c>
      <c r="G798" t="s">
        <v>830</v>
      </c>
      <c r="H798" t="s">
        <v>831</v>
      </c>
      <c r="I798" t="s">
        <v>722</v>
      </c>
      <c r="J798" t="s">
        <v>721</v>
      </c>
      <c r="K798"/>
      <c r="L798"/>
      <c r="M798" t="s">
        <v>763</v>
      </c>
      <c r="N798" t="s">
        <v>764</v>
      </c>
      <c r="O798"/>
      <c r="P798" t="e">
        <f>VLOOKUP(N798,#REF!,2,FALSE)</f>
        <v>#REF!</v>
      </c>
      <c r="Q798" t="s">
        <v>883</v>
      </c>
      <c r="R798" s="345">
        <v>-520.77</v>
      </c>
    </row>
    <row r="799" spans="1:18" x14ac:dyDescent="0.2">
      <c r="A799" s="344" t="s">
        <v>745</v>
      </c>
      <c r="B799" t="s">
        <v>827</v>
      </c>
      <c r="C799" t="s">
        <v>823</v>
      </c>
      <c r="D799" t="s">
        <v>746</v>
      </c>
      <c r="E799" t="s">
        <v>829</v>
      </c>
      <c r="F799" t="s">
        <v>803</v>
      </c>
      <c r="G799" t="s">
        <v>830</v>
      </c>
      <c r="H799" t="s">
        <v>831</v>
      </c>
      <c r="I799" t="s">
        <v>722</v>
      </c>
      <c r="J799" t="s">
        <v>721</v>
      </c>
      <c r="K799"/>
      <c r="L799"/>
      <c r="M799" t="s">
        <v>763</v>
      </c>
      <c r="N799" t="s">
        <v>764</v>
      </c>
      <c r="O799"/>
      <c r="P799" t="e">
        <f>VLOOKUP(N799,#REF!,2,FALSE)</f>
        <v>#REF!</v>
      </c>
      <c r="Q799" t="s">
        <v>883</v>
      </c>
      <c r="R799" s="345">
        <v>-1175.6300000000001</v>
      </c>
    </row>
    <row r="800" spans="1:18" x14ac:dyDescent="0.2">
      <c r="A800" s="344" t="s">
        <v>753</v>
      </c>
      <c r="B800" t="s">
        <v>827</v>
      </c>
      <c r="C800" t="s">
        <v>823</v>
      </c>
      <c r="D800" t="s">
        <v>746</v>
      </c>
      <c r="E800" t="s">
        <v>829</v>
      </c>
      <c r="F800" t="s">
        <v>803</v>
      </c>
      <c r="G800" t="s">
        <v>830</v>
      </c>
      <c r="H800" t="s">
        <v>831</v>
      </c>
      <c r="I800" t="s">
        <v>722</v>
      </c>
      <c r="J800" t="s">
        <v>721</v>
      </c>
      <c r="K800"/>
      <c r="L800"/>
      <c r="M800" t="s">
        <v>765</v>
      </c>
      <c r="N800" t="s">
        <v>766</v>
      </c>
      <c r="O800"/>
      <c r="P800" t="e">
        <f>VLOOKUP(N800,#REF!,2,FALSE)</f>
        <v>#REF!</v>
      </c>
      <c r="Q800" t="s">
        <v>873</v>
      </c>
      <c r="R800" s="345">
        <v>-4091.52</v>
      </c>
    </row>
    <row r="801" spans="1:18" x14ac:dyDescent="0.2">
      <c r="A801" s="344" t="s">
        <v>754</v>
      </c>
      <c r="B801" t="s">
        <v>827</v>
      </c>
      <c r="C801" t="s">
        <v>823</v>
      </c>
      <c r="D801" t="s">
        <v>746</v>
      </c>
      <c r="E801" t="s">
        <v>829</v>
      </c>
      <c r="F801" t="s">
        <v>803</v>
      </c>
      <c r="G801" t="s">
        <v>830</v>
      </c>
      <c r="H801" t="s">
        <v>831</v>
      </c>
      <c r="I801" t="s">
        <v>722</v>
      </c>
      <c r="J801" t="s">
        <v>721</v>
      </c>
      <c r="K801"/>
      <c r="L801"/>
      <c r="M801" t="s">
        <v>765</v>
      </c>
      <c r="N801" t="s">
        <v>766</v>
      </c>
      <c r="O801"/>
      <c r="P801" t="e">
        <f>VLOOKUP(N801,#REF!,2,FALSE)</f>
        <v>#REF!</v>
      </c>
      <c r="Q801" t="s">
        <v>873</v>
      </c>
      <c r="R801" s="345">
        <v>-182.12</v>
      </c>
    </row>
    <row r="802" spans="1:18" x14ac:dyDescent="0.2">
      <c r="A802" s="344" t="s">
        <v>755</v>
      </c>
      <c r="B802" t="s">
        <v>827</v>
      </c>
      <c r="C802" t="s">
        <v>823</v>
      </c>
      <c r="D802" t="s">
        <v>746</v>
      </c>
      <c r="E802" t="s">
        <v>829</v>
      </c>
      <c r="F802" t="s">
        <v>803</v>
      </c>
      <c r="G802" t="s">
        <v>830</v>
      </c>
      <c r="H802" t="s">
        <v>831</v>
      </c>
      <c r="I802" t="s">
        <v>722</v>
      </c>
      <c r="J802" t="s">
        <v>721</v>
      </c>
      <c r="K802"/>
      <c r="L802"/>
      <c r="M802" t="s">
        <v>765</v>
      </c>
      <c r="N802" t="s">
        <v>766</v>
      </c>
      <c r="O802"/>
      <c r="P802" t="e">
        <f>VLOOKUP(N802,#REF!,2,FALSE)</f>
        <v>#REF!</v>
      </c>
      <c r="Q802" t="s">
        <v>873</v>
      </c>
      <c r="R802" s="345">
        <v>-3824.42</v>
      </c>
    </row>
    <row r="803" spans="1:18" x14ac:dyDescent="0.2">
      <c r="A803" s="344" t="s">
        <v>756</v>
      </c>
      <c r="B803" t="s">
        <v>827</v>
      </c>
      <c r="C803" t="s">
        <v>823</v>
      </c>
      <c r="D803" t="s">
        <v>746</v>
      </c>
      <c r="E803" t="s">
        <v>829</v>
      </c>
      <c r="F803" t="s">
        <v>803</v>
      </c>
      <c r="G803" t="s">
        <v>830</v>
      </c>
      <c r="H803" t="s">
        <v>831</v>
      </c>
      <c r="I803" t="s">
        <v>722</v>
      </c>
      <c r="J803" t="s">
        <v>721</v>
      </c>
      <c r="K803"/>
      <c r="L803"/>
      <c r="M803" t="s">
        <v>765</v>
      </c>
      <c r="N803" t="s">
        <v>766</v>
      </c>
      <c r="O803"/>
      <c r="P803" t="e">
        <f>VLOOKUP(N803,#REF!,2,FALSE)</f>
        <v>#REF!</v>
      </c>
      <c r="Q803" t="s">
        <v>873</v>
      </c>
      <c r="R803" s="345">
        <v>-3945.83</v>
      </c>
    </row>
    <row r="804" spans="1:18" x14ac:dyDescent="0.2">
      <c r="A804" s="344" t="s">
        <v>757</v>
      </c>
      <c r="B804" t="s">
        <v>827</v>
      </c>
      <c r="C804" t="s">
        <v>823</v>
      </c>
      <c r="D804" t="s">
        <v>746</v>
      </c>
      <c r="E804" t="s">
        <v>829</v>
      </c>
      <c r="F804" t="s">
        <v>803</v>
      </c>
      <c r="G804" t="s">
        <v>830</v>
      </c>
      <c r="H804" t="s">
        <v>831</v>
      </c>
      <c r="I804" t="s">
        <v>722</v>
      </c>
      <c r="J804" t="s">
        <v>721</v>
      </c>
      <c r="K804"/>
      <c r="L804"/>
      <c r="M804" t="s">
        <v>765</v>
      </c>
      <c r="N804" t="s">
        <v>766</v>
      </c>
      <c r="O804"/>
      <c r="P804" t="e">
        <f>VLOOKUP(N804,#REF!,2,FALSE)</f>
        <v>#REF!</v>
      </c>
      <c r="Q804" t="s">
        <v>873</v>
      </c>
      <c r="R804" s="345">
        <v>-2634.59</v>
      </c>
    </row>
    <row r="805" spans="1:18" x14ac:dyDescent="0.2">
      <c r="A805" s="344" t="s">
        <v>758</v>
      </c>
      <c r="B805" t="s">
        <v>827</v>
      </c>
      <c r="C805" t="s">
        <v>823</v>
      </c>
      <c r="D805" t="s">
        <v>746</v>
      </c>
      <c r="E805" t="s">
        <v>829</v>
      </c>
      <c r="F805" t="s">
        <v>803</v>
      </c>
      <c r="G805" t="s">
        <v>830</v>
      </c>
      <c r="H805" t="s">
        <v>831</v>
      </c>
      <c r="I805" t="s">
        <v>722</v>
      </c>
      <c r="J805" t="s">
        <v>721</v>
      </c>
      <c r="K805"/>
      <c r="L805"/>
      <c r="M805" t="s">
        <v>765</v>
      </c>
      <c r="N805" t="s">
        <v>766</v>
      </c>
      <c r="O805"/>
      <c r="P805" t="e">
        <f>VLOOKUP(N805,#REF!,2,FALSE)</f>
        <v>#REF!</v>
      </c>
      <c r="Q805" t="s">
        <v>873</v>
      </c>
      <c r="R805" s="345">
        <v>-1156.46</v>
      </c>
    </row>
    <row r="806" spans="1:18" x14ac:dyDescent="0.2">
      <c r="A806" s="344" t="s">
        <v>759</v>
      </c>
      <c r="B806" t="s">
        <v>827</v>
      </c>
      <c r="C806" t="s">
        <v>823</v>
      </c>
      <c r="D806" t="s">
        <v>746</v>
      </c>
      <c r="E806" t="s">
        <v>829</v>
      </c>
      <c r="F806" t="s">
        <v>803</v>
      </c>
      <c r="G806" t="s">
        <v>830</v>
      </c>
      <c r="H806" t="s">
        <v>831</v>
      </c>
      <c r="I806" t="s">
        <v>722</v>
      </c>
      <c r="J806" t="s">
        <v>721</v>
      </c>
      <c r="K806"/>
      <c r="L806"/>
      <c r="M806" t="s">
        <v>765</v>
      </c>
      <c r="N806" t="s">
        <v>766</v>
      </c>
      <c r="O806"/>
      <c r="P806" t="e">
        <f>VLOOKUP(N806,#REF!,2,FALSE)</f>
        <v>#REF!</v>
      </c>
      <c r="Q806" t="s">
        <v>873</v>
      </c>
      <c r="R806" s="345">
        <v>-1044.54</v>
      </c>
    </row>
    <row r="807" spans="1:18" x14ac:dyDescent="0.2">
      <c r="A807" s="344" t="s">
        <v>743</v>
      </c>
      <c r="B807" t="s">
        <v>827</v>
      </c>
      <c r="C807" t="s">
        <v>823</v>
      </c>
      <c r="D807" t="s">
        <v>746</v>
      </c>
      <c r="E807" t="s">
        <v>829</v>
      </c>
      <c r="F807" t="s">
        <v>803</v>
      </c>
      <c r="G807" t="s">
        <v>830</v>
      </c>
      <c r="H807" t="s">
        <v>831</v>
      </c>
      <c r="I807" t="s">
        <v>722</v>
      </c>
      <c r="J807" t="s">
        <v>721</v>
      </c>
      <c r="K807"/>
      <c r="L807"/>
      <c r="M807" t="s">
        <v>765</v>
      </c>
      <c r="N807" t="s">
        <v>766</v>
      </c>
      <c r="O807"/>
      <c r="P807" t="e">
        <f>VLOOKUP(N807,#REF!,2,FALSE)</f>
        <v>#REF!</v>
      </c>
      <c r="Q807" t="s">
        <v>873</v>
      </c>
      <c r="R807" s="345">
        <v>-1156.46</v>
      </c>
    </row>
    <row r="808" spans="1:18" x14ac:dyDescent="0.2">
      <c r="A808" s="344" t="s">
        <v>760</v>
      </c>
      <c r="B808" t="s">
        <v>827</v>
      </c>
      <c r="C808" t="s">
        <v>823</v>
      </c>
      <c r="D808" t="s">
        <v>746</v>
      </c>
      <c r="E808" t="s">
        <v>829</v>
      </c>
      <c r="F808" t="s">
        <v>803</v>
      </c>
      <c r="G808" t="s">
        <v>830</v>
      </c>
      <c r="H808" t="s">
        <v>831</v>
      </c>
      <c r="I808" t="s">
        <v>722</v>
      </c>
      <c r="J808" t="s">
        <v>721</v>
      </c>
      <c r="K808"/>
      <c r="L808"/>
      <c r="M808" t="s">
        <v>765</v>
      </c>
      <c r="N808" t="s">
        <v>766</v>
      </c>
      <c r="O808"/>
      <c r="P808" t="e">
        <f>VLOOKUP(N808,#REF!,2,FALSE)</f>
        <v>#REF!</v>
      </c>
      <c r="Q808" t="s">
        <v>873</v>
      </c>
      <c r="R808" s="345">
        <v>-1119.1500000000001</v>
      </c>
    </row>
    <row r="809" spans="1:18" x14ac:dyDescent="0.2">
      <c r="A809" s="344" t="s">
        <v>745</v>
      </c>
      <c r="B809" t="s">
        <v>827</v>
      </c>
      <c r="C809" t="s">
        <v>823</v>
      </c>
      <c r="D809" t="s">
        <v>746</v>
      </c>
      <c r="E809" t="s">
        <v>829</v>
      </c>
      <c r="F809" t="s">
        <v>803</v>
      </c>
      <c r="G809" t="s">
        <v>830</v>
      </c>
      <c r="H809" t="s">
        <v>831</v>
      </c>
      <c r="I809" t="s">
        <v>722</v>
      </c>
      <c r="J809" t="s">
        <v>721</v>
      </c>
      <c r="K809"/>
      <c r="L809"/>
      <c r="M809" t="s">
        <v>765</v>
      </c>
      <c r="N809" t="s">
        <v>766</v>
      </c>
      <c r="O809"/>
      <c r="P809" t="e">
        <f>VLOOKUP(N809,#REF!,2,FALSE)</f>
        <v>#REF!</v>
      </c>
      <c r="Q809" t="s">
        <v>873</v>
      </c>
      <c r="R809" s="345">
        <v>-1156.46</v>
      </c>
    </row>
    <row r="810" spans="1:18" x14ac:dyDescent="0.2">
      <c r="A810" s="344" t="s">
        <v>749</v>
      </c>
      <c r="B810" t="s">
        <v>827</v>
      </c>
      <c r="C810" t="s">
        <v>823</v>
      </c>
      <c r="D810" t="s">
        <v>746</v>
      </c>
      <c r="E810" t="s">
        <v>829</v>
      </c>
      <c r="F810" t="s">
        <v>803</v>
      </c>
      <c r="G810" t="s">
        <v>830</v>
      </c>
      <c r="H810" t="s">
        <v>831</v>
      </c>
      <c r="I810" t="s">
        <v>722</v>
      </c>
      <c r="J810" t="s">
        <v>721</v>
      </c>
      <c r="K810"/>
      <c r="L810"/>
      <c r="M810" t="s">
        <v>765</v>
      </c>
      <c r="N810" t="s">
        <v>766</v>
      </c>
      <c r="O810"/>
      <c r="P810" t="e">
        <f>VLOOKUP(N810,#REF!,2,FALSE)</f>
        <v>#REF!</v>
      </c>
      <c r="Q810" t="s">
        <v>874</v>
      </c>
      <c r="R810" s="345">
        <v>-382.29</v>
      </c>
    </row>
    <row r="811" spans="1:18" x14ac:dyDescent="0.2">
      <c r="A811" s="344" t="s">
        <v>752</v>
      </c>
      <c r="B811" t="s">
        <v>827</v>
      </c>
      <c r="C811" t="s">
        <v>823</v>
      </c>
      <c r="D811" t="s">
        <v>746</v>
      </c>
      <c r="E811" t="s">
        <v>829</v>
      </c>
      <c r="F811" t="s">
        <v>803</v>
      </c>
      <c r="G811" t="s">
        <v>830</v>
      </c>
      <c r="H811" t="s">
        <v>831</v>
      </c>
      <c r="I811" t="s">
        <v>722</v>
      </c>
      <c r="J811" t="s">
        <v>721</v>
      </c>
      <c r="K811"/>
      <c r="L811"/>
      <c r="M811" t="s">
        <v>765</v>
      </c>
      <c r="N811" t="s">
        <v>766</v>
      </c>
      <c r="O811"/>
      <c r="P811" t="e">
        <f>VLOOKUP(N811,#REF!,2,FALSE)</f>
        <v>#REF!</v>
      </c>
      <c r="Q811" t="s">
        <v>874</v>
      </c>
      <c r="R811" s="345">
        <v>-443.95</v>
      </c>
    </row>
    <row r="812" spans="1:18" x14ac:dyDescent="0.2">
      <c r="A812" s="344" t="s">
        <v>753</v>
      </c>
      <c r="B812" t="s">
        <v>827</v>
      </c>
      <c r="C812" t="s">
        <v>823</v>
      </c>
      <c r="D812" t="s">
        <v>746</v>
      </c>
      <c r="E812" t="s">
        <v>829</v>
      </c>
      <c r="F812" t="s">
        <v>803</v>
      </c>
      <c r="G812" t="s">
        <v>830</v>
      </c>
      <c r="H812" t="s">
        <v>831</v>
      </c>
      <c r="I812" t="s">
        <v>722</v>
      </c>
      <c r="J812" t="s">
        <v>721</v>
      </c>
      <c r="K812"/>
      <c r="L812"/>
      <c r="M812" t="s">
        <v>765</v>
      </c>
      <c r="N812" t="s">
        <v>766</v>
      </c>
      <c r="O812"/>
      <c r="P812" t="e">
        <f>VLOOKUP(N812,#REF!,2,FALSE)</f>
        <v>#REF!</v>
      </c>
      <c r="Q812" t="s">
        <v>874</v>
      </c>
      <c r="R812" s="345">
        <v>-369.96</v>
      </c>
    </row>
    <row r="813" spans="1:18" x14ac:dyDescent="0.2">
      <c r="A813" s="344" t="s">
        <v>754</v>
      </c>
      <c r="B813" t="s">
        <v>827</v>
      </c>
      <c r="C813" t="s">
        <v>823</v>
      </c>
      <c r="D813" t="s">
        <v>746</v>
      </c>
      <c r="E813" t="s">
        <v>829</v>
      </c>
      <c r="F813" t="s">
        <v>803</v>
      </c>
      <c r="G813" t="s">
        <v>830</v>
      </c>
      <c r="H813" t="s">
        <v>831</v>
      </c>
      <c r="I813" t="s">
        <v>722</v>
      </c>
      <c r="J813" t="s">
        <v>721</v>
      </c>
      <c r="K813"/>
      <c r="L813"/>
      <c r="M813" t="s">
        <v>765</v>
      </c>
      <c r="N813" t="s">
        <v>766</v>
      </c>
      <c r="O813"/>
      <c r="P813" t="e">
        <f>VLOOKUP(N813,#REF!,2,FALSE)</f>
        <v>#REF!</v>
      </c>
      <c r="Q813" t="s">
        <v>874</v>
      </c>
      <c r="R813" s="345">
        <v>0</v>
      </c>
    </row>
    <row r="814" spans="1:18" x14ac:dyDescent="0.2">
      <c r="A814" s="344" t="s">
        <v>743</v>
      </c>
      <c r="B814" t="s">
        <v>827</v>
      </c>
      <c r="C814" t="s">
        <v>823</v>
      </c>
      <c r="D814" t="s">
        <v>746</v>
      </c>
      <c r="E814" t="s">
        <v>829</v>
      </c>
      <c r="F814" t="s">
        <v>803</v>
      </c>
      <c r="G814" t="s">
        <v>830</v>
      </c>
      <c r="H814" t="s">
        <v>831</v>
      </c>
      <c r="I814" t="s">
        <v>722</v>
      </c>
      <c r="J814" t="s">
        <v>721</v>
      </c>
      <c r="K814"/>
      <c r="L814"/>
      <c r="M814" t="s">
        <v>765</v>
      </c>
      <c r="N814" t="s">
        <v>766</v>
      </c>
      <c r="O814"/>
      <c r="P814" t="e">
        <f>VLOOKUP(N814,#REF!,2,FALSE)</f>
        <v>#REF!</v>
      </c>
      <c r="Q814" t="s">
        <v>874</v>
      </c>
      <c r="R814" s="345">
        <v>-150.02000000000001</v>
      </c>
    </row>
    <row r="815" spans="1:18" x14ac:dyDescent="0.2">
      <c r="A815" s="344" t="s">
        <v>760</v>
      </c>
      <c r="B815" t="s">
        <v>827</v>
      </c>
      <c r="C815" t="s">
        <v>823</v>
      </c>
      <c r="D815" t="s">
        <v>746</v>
      </c>
      <c r="E815" t="s">
        <v>829</v>
      </c>
      <c r="F815" t="s">
        <v>803</v>
      </c>
      <c r="G815" t="s">
        <v>830</v>
      </c>
      <c r="H815" t="s">
        <v>831</v>
      </c>
      <c r="I815" t="s">
        <v>722</v>
      </c>
      <c r="J815" t="s">
        <v>721</v>
      </c>
      <c r="K815"/>
      <c r="L815"/>
      <c r="M815" t="s">
        <v>765</v>
      </c>
      <c r="N815" t="s">
        <v>766</v>
      </c>
      <c r="O815"/>
      <c r="P815" t="e">
        <f>VLOOKUP(N815,#REF!,2,FALSE)</f>
        <v>#REF!</v>
      </c>
      <c r="Q815" t="s">
        <v>874</v>
      </c>
      <c r="R815" s="345">
        <v>-205.03</v>
      </c>
    </row>
    <row r="816" spans="1:18" x14ac:dyDescent="0.2">
      <c r="A816" s="344" t="s">
        <v>745</v>
      </c>
      <c r="B816" t="s">
        <v>827</v>
      </c>
      <c r="C816" t="s">
        <v>823</v>
      </c>
      <c r="D816" t="s">
        <v>746</v>
      </c>
      <c r="E816" t="s">
        <v>829</v>
      </c>
      <c r="F816" t="s">
        <v>803</v>
      </c>
      <c r="G816" t="s">
        <v>830</v>
      </c>
      <c r="H816" t="s">
        <v>831</v>
      </c>
      <c r="I816" t="s">
        <v>722</v>
      </c>
      <c r="J816" t="s">
        <v>721</v>
      </c>
      <c r="K816"/>
      <c r="L816"/>
      <c r="M816" t="s">
        <v>765</v>
      </c>
      <c r="N816" t="s">
        <v>766</v>
      </c>
      <c r="O816"/>
      <c r="P816" t="e">
        <f>VLOOKUP(N816,#REF!,2,FALSE)</f>
        <v>#REF!</v>
      </c>
      <c r="Q816" t="s">
        <v>874</v>
      </c>
      <c r="R816" s="345">
        <v>-337.55</v>
      </c>
    </row>
    <row r="817" spans="1:18" x14ac:dyDescent="0.2">
      <c r="A817" s="344" t="s">
        <v>749</v>
      </c>
      <c r="B817" t="s">
        <v>827</v>
      </c>
      <c r="C817" t="s">
        <v>823</v>
      </c>
      <c r="D817" t="s">
        <v>746</v>
      </c>
      <c r="E817" t="s">
        <v>829</v>
      </c>
      <c r="F817" t="s">
        <v>803</v>
      </c>
      <c r="G817" t="s">
        <v>830</v>
      </c>
      <c r="H817" t="s">
        <v>831</v>
      </c>
      <c r="I817" t="s">
        <v>722</v>
      </c>
      <c r="J817" t="s">
        <v>721</v>
      </c>
      <c r="K817"/>
      <c r="L817"/>
      <c r="M817" t="s">
        <v>765</v>
      </c>
      <c r="N817" t="s">
        <v>766</v>
      </c>
      <c r="O817"/>
      <c r="P817" t="e">
        <f>VLOOKUP(N817,#REF!,2,FALSE)</f>
        <v>#REF!</v>
      </c>
      <c r="Q817" t="s">
        <v>859</v>
      </c>
      <c r="R817" s="345">
        <v>-4333.63</v>
      </c>
    </row>
    <row r="818" spans="1:18" x14ac:dyDescent="0.2">
      <c r="A818" s="344" t="s">
        <v>752</v>
      </c>
      <c r="B818" t="s">
        <v>827</v>
      </c>
      <c r="C818" t="s">
        <v>823</v>
      </c>
      <c r="D818" t="s">
        <v>746</v>
      </c>
      <c r="E818" t="s">
        <v>829</v>
      </c>
      <c r="F818" t="s">
        <v>803</v>
      </c>
      <c r="G818" t="s">
        <v>830</v>
      </c>
      <c r="H818" t="s">
        <v>831</v>
      </c>
      <c r="I818" t="s">
        <v>722</v>
      </c>
      <c r="J818" t="s">
        <v>721</v>
      </c>
      <c r="K818"/>
      <c r="L818"/>
      <c r="M818" t="s">
        <v>765</v>
      </c>
      <c r="N818" t="s">
        <v>766</v>
      </c>
      <c r="O818"/>
      <c r="P818" t="e">
        <f>VLOOKUP(N818,#REF!,2,FALSE)</f>
        <v>#REF!</v>
      </c>
      <c r="Q818" t="s">
        <v>859</v>
      </c>
      <c r="R818" s="345">
        <v>-4333.63</v>
      </c>
    </row>
    <row r="819" spans="1:18" x14ac:dyDescent="0.2">
      <c r="A819" s="344" t="s">
        <v>753</v>
      </c>
      <c r="B819" t="s">
        <v>827</v>
      </c>
      <c r="C819" t="s">
        <v>823</v>
      </c>
      <c r="D819" t="s">
        <v>746</v>
      </c>
      <c r="E819" t="s">
        <v>829</v>
      </c>
      <c r="F819" t="s">
        <v>803</v>
      </c>
      <c r="G819" t="s">
        <v>830</v>
      </c>
      <c r="H819" t="s">
        <v>831</v>
      </c>
      <c r="I819" t="s">
        <v>722</v>
      </c>
      <c r="J819" t="s">
        <v>721</v>
      </c>
      <c r="K819"/>
      <c r="L819"/>
      <c r="M819" t="s">
        <v>765</v>
      </c>
      <c r="N819" t="s">
        <v>766</v>
      </c>
      <c r="O819"/>
      <c r="P819" t="e">
        <f>VLOOKUP(N819,#REF!,2,FALSE)</f>
        <v>#REF!</v>
      </c>
      <c r="Q819" t="s">
        <v>859</v>
      </c>
      <c r="R819" s="345">
        <v>-4333.63</v>
      </c>
    </row>
    <row r="820" spans="1:18" x14ac:dyDescent="0.2">
      <c r="A820" s="344" t="s">
        <v>754</v>
      </c>
      <c r="B820" t="s">
        <v>827</v>
      </c>
      <c r="C820" t="s">
        <v>823</v>
      </c>
      <c r="D820" t="s">
        <v>746</v>
      </c>
      <c r="E820" t="s">
        <v>829</v>
      </c>
      <c r="F820" t="s">
        <v>803</v>
      </c>
      <c r="G820" t="s">
        <v>830</v>
      </c>
      <c r="H820" t="s">
        <v>831</v>
      </c>
      <c r="I820" t="s">
        <v>722</v>
      </c>
      <c r="J820" t="s">
        <v>721</v>
      </c>
      <c r="K820"/>
      <c r="L820"/>
      <c r="M820" t="s">
        <v>765</v>
      </c>
      <c r="N820" t="s">
        <v>766</v>
      </c>
      <c r="O820"/>
      <c r="P820" t="e">
        <f>VLOOKUP(N820,#REF!,2,FALSE)</f>
        <v>#REF!</v>
      </c>
      <c r="Q820" t="s">
        <v>859</v>
      </c>
      <c r="R820" s="345">
        <v>-4342.99</v>
      </c>
    </row>
    <row r="821" spans="1:18" x14ac:dyDescent="0.2">
      <c r="A821" s="344" t="s">
        <v>755</v>
      </c>
      <c r="B821" t="s">
        <v>827</v>
      </c>
      <c r="C821" t="s">
        <v>823</v>
      </c>
      <c r="D821" t="s">
        <v>746</v>
      </c>
      <c r="E821" t="s">
        <v>829</v>
      </c>
      <c r="F821" t="s">
        <v>803</v>
      </c>
      <c r="G821" t="s">
        <v>830</v>
      </c>
      <c r="H821" t="s">
        <v>831</v>
      </c>
      <c r="I821" t="s">
        <v>722</v>
      </c>
      <c r="J821" t="s">
        <v>721</v>
      </c>
      <c r="K821"/>
      <c r="L821"/>
      <c r="M821" t="s">
        <v>765</v>
      </c>
      <c r="N821" t="s">
        <v>766</v>
      </c>
      <c r="O821"/>
      <c r="P821" t="e">
        <f>VLOOKUP(N821,#REF!,2,FALSE)</f>
        <v>#REF!</v>
      </c>
      <c r="Q821" t="s">
        <v>859</v>
      </c>
      <c r="R821" s="345">
        <v>-4342.99</v>
      </c>
    </row>
    <row r="822" spans="1:18" x14ac:dyDescent="0.2">
      <c r="A822" s="344" t="s">
        <v>756</v>
      </c>
      <c r="B822" t="s">
        <v>827</v>
      </c>
      <c r="C822" t="s">
        <v>823</v>
      </c>
      <c r="D822" t="s">
        <v>746</v>
      </c>
      <c r="E822" t="s">
        <v>829</v>
      </c>
      <c r="F822" t="s">
        <v>803</v>
      </c>
      <c r="G822" t="s">
        <v>830</v>
      </c>
      <c r="H822" t="s">
        <v>831</v>
      </c>
      <c r="I822" t="s">
        <v>722</v>
      </c>
      <c r="J822" t="s">
        <v>721</v>
      </c>
      <c r="K822"/>
      <c r="L822"/>
      <c r="M822" t="s">
        <v>765</v>
      </c>
      <c r="N822" t="s">
        <v>766</v>
      </c>
      <c r="O822"/>
      <c r="P822" t="e">
        <f>VLOOKUP(N822,#REF!,2,FALSE)</f>
        <v>#REF!</v>
      </c>
      <c r="Q822" t="s">
        <v>859</v>
      </c>
      <c r="R822" s="345">
        <v>-4342.99</v>
      </c>
    </row>
    <row r="823" spans="1:18" x14ac:dyDescent="0.2">
      <c r="A823" s="344" t="s">
        <v>757</v>
      </c>
      <c r="B823" t="s">
        <v>827</v>
      </c>
      <c r="C823" t="s">
        <v>823</v>
      </c>
      <c r="D823" t="s">
        <v>746</v>
      </c>
      <c r="E823" t="s">
        <v>829</v>
      </c>
      <c r="F823" t="s">
        <v>803</v>
      </c>
      <c r="G823" t="s">
        <v>830</v>
      </c>
      <c r="H823" t="s">
        <v>831</v>
      </c>
      <c r="I823" t="s">
        <v>722</v>
      </c>
      <c r="J823" t="s">
        <v>721</v>
      </c>
      <c r="K823"/>
      <c r="L823"/>
      <c r="M823" t="s">
        <v>765</v>
      </c>
      <c r="N823" t="s">
        <v>766</v>
      </c>
      <c r="O823"/>
      <c r="P823" t="e">
        <f>VLOOKUP(N823,#REF!,2,FALSE)</f>
        <v>#REF!</v>
      </c>
      <c r="Q823" t="s">
        <v>859</v>
      </c>
      <c r="R823" s="345">
        <v>-4352.3599999999997</v>
      </c>
    </row>
    <row r="824" spans="1:18" x14ac:dyDescent="0.2">
      <c r="A824" s="344" t="s">
        <v>758</v>
      </c>
      <c r="B824" t="s">
        <v>827</v>
      </c>
      <c r="C824" t="s">
        <v>823</v>
      </c>
      <c r="D824" t="s">
        <v>746</v>
      </c>
      <c r="E824" t="s">
        <v>829</v>
      </c>
      <c r="F824" t="s">
        <v>803</v>
      </c>
      <c r="G824" t="s">
        <v>830</v>
      </c>
      <c r="H824" t="s">
        <v>831</v>
      </c>
      <c r="I824" t="s">
        <v>722</v>
      </c>
      <c r="J824" t="s">
        <v>721</v>
      </c>
      <c r="K824"/>
      <c r="L824"/>
      <c r="M824" t="s">
        <v>765</v>
      </c>
      <c r="N824" t="s">
        <v>766</v>
      </c>
      <c r="O824"/>
      <c r="P824" t="e">
        <f>VLOOKUP(N824,#REF!,2,FALSE)</f>
        <v>#REF!</v>
      </c>
      <c r="Q824" t="s">
        <v>859</v>
      </c>
      <c r="R824" s="345">
        <v>-4352.3599999999997</v>
      </c>
    </row>
    <row r="825" spans="1:18" x14ac:dyDescent="0.2">
      <c r="A825" s="344" t="s">
        <v>759</v>
      </c>
      <c r="B825" t="s">
        <v>827</v>
      </c>
      <c r="C825" t="s">
        <v>823</v>
      </c>
      <c r="D825" t="s">
        <v>746</v>
      </c>
      <c r="E825" t="s">
        <v>829</v>
      </c>
      <c r="F825" t="s">
        <v>803</v>
      </c>
      <c r="G825" t="s">
        <v>830</v>
      </c>
      <c r="H825" t="s">
        <v>831</v>
      </c>
      <c r="I825" t="s">
        <v>722</v>
      </c>
      <c r="J825" t="s">
        <v>721</v>
      </c>
      <c r="K825"/>
      <c r="L825"/>
      <c r="M825" t="s">
        <v>765</v>
      </c>
      <c r="N825" t="s">
        <v>766</v>
      </c>
      <c r="O825"/>
      <c r="P825" t="e">
        <f>VLOOKUP(N825,#REF!,2,FALSE)</f>
        <v>#REF!</v>
      </c>
      <c r="Q825" t="s">
        <v>859</v>
      </c>
      <c r="R825" s="345">
        <v>-4352.3599999999997</v>
      </c>
    </row>
    <row r="826" spans="1:18" x14ac:dyDescent="0.2">
      <c r="A826" s="344" t="s">
        <v>743</v>
      </c>
      <c r="B826" t="s">
        <v>827</v>
      </c>
      <c r="C826" t="s">
        <v>823</v>
      </c>
      <c r="D826" t="s">
        <v>746</v>
      </c>
      <c r="E826" t="s">
        <v>829</v>
      </c>
      <c r="F826" t="s">
        <v>803</v>
      </c>
      <c r="G826" t="s">
        <v>830</v>
      </c>
      <c r="H826" t="s">
        <v>831</v>
      </c>
      <c r="I826" t="s">
        <v>722</v>
      </c>
      <c r="J826" t="s">
        <v>721</v>
      </c>
      <c r="K826"/>
      <c r="L826"/>
      <c r="M826" t="s">
        <v>765</v>
      </c>
      <c r="N826" t="s">
        <v>766</v>
      </c>
      <c r="O826"/>
      <c r="P826" t="e">
        <f>VLOOKUP(N826,#REF!,2,FALSE)</f>
        <v>#REF!</v>
      </c>
      <c r="Q826" t="s">
        <v>859</v>
      </c>
      <c r="R826" s="345">
        <v>-4392.95</v>
      </c>
    </row>
    <row r="827" spans="1:18" x14ac:dyDescent="0.2">
      <c r="A827" s="344" t="s">
        <v>760</v>
      </c>
      <c r="B827" t="s">
        <v>827</v>
      </c>
      <c r="C827" t="s">
        <v>823</v>
      </c>
      <c r="D827" t="s">
        <v>746</v>
      </c>
      <c r="E827" t="s">
        <v>829</v>
      </c>
      <c r="F827" t="s">
        <v>803</v>
      </c>
      <c r="G827" t="s">
        <v>830</v>
      </c>
      <c r="H827" t="s">
        <v>831</v>
      </c>
      <c r="I827" t="s">
        <v>722</v>
      </c>
      <c r="J827" t="s">
        <v>721</v>
      </c>
      <c r="K827"/>
      <c r="L827"/>
      <c r="M827" t="s">
        <v>765</v>
      </c>
      <c r="N827" t="s">
        <v>766</v>
      </c>
      <c r="O827"/>
      <c r="P827" t="e">
        <f>VLOOKUP(N827,#REF!,2,FALSE)</f>
        <v>#REF!</v>
      </c>
      <c r="Q827" t="s">
        <v>859</v>
      </c>
      <c r="R827" s="345">
        <v>-4392.95</v>
      </c>
    </row>
    <row r="828" spans="1:18" x14ac:dyDescent="0.2">
      <c r="A828" s="344" t="s">
        <v>745</v>
      </c>
      <c r="B828" t="s">
        <v>827</v>
      </c>
      <c r="C828" t="s">
        <v>823</v>
      </c>
      <c r="D828" t="s">
        <v>746</v>
      </c>
      <c r="E828" t="s">
        <v>829</v>
      </c>
      <c r="F828" t="s">
        <v>803</v>
      </c>
      <c r="G828" t="s">
        <v>830</v>
      </c>
      <c r="H828" t="s">
        <v>831</v>
      </c>
      <c r="I828" t="s">
        <v>722</v>
      </c>
      <c r="J828" t="s">
        <v>721</v>
      </c>
      <c r="K828"/>
      <c r="L828"/>
      <c r="M828" t="s">
        <v>765</v>
      </c>
      <c r="N828" t="s">
        <v>766</v>
      </c>
      <c r="O828"/>
      <c r="P828" t="e">
        <f>VLOOKUP(N828,#REF!,2,FALSE)</f>
        <v>#REF!</v>
      </c>
      <c r="Q828" t="s">
        <v>859</v>
      </c>
      <c r="R828" s="345">
        <v>-4041.74</v>
      </c>
    </row>
    <row r="829" spans="1:18" x14ac:dyDescent="0.2">
      <c r="A829" s="344" t="s">
        <v>749</v>
      </c>
      <c r="B829" t="s">
        <v>827</v>
      </c>
      <c r="C829" t="s">
        <v>823</v>
      </c>
      <c r="D829" t="s">
        <v>746</v>
      </c>
      <c r="E829" t="s">
        <v>829</v>
      </c>
      <c r="F829" t="s">
        <v>803</v>
      </c>
      <c r="G829" t="s">
        <v>830</v>
      </c>
      <c r="H829" t="s">
        <v>831</v>
      </c>
      <c r="I829" t="s">
        <v>722</v>
      </c>
      <c r="J829" t="s">
        <v>721</v>
      </c>
      <c r="K829"/>
      <c r="L829"/>
      <c r="M829" t="s">
        <v>765</v>
      </c>
      <c r="N829" t="s">
        <v>766</v>
      </c>
      <c r="O829"/>
      <c r="P829" t="e">
        <f>VLOOKUP(N829,#REF!,2,FALSE)</f>
        <v>#REF!</v>
      </c>
      <c r="Q829" t="s">
        <v>875</v>
      </c>
      <c r="R829" s="345">
        <v>-1083.4100000000001</v>
      </c>
    </row>
    <row r="830" spans="1:18" x14ac:dyDescent="0.2">
      <c r="A830" s="344" t="s">
        <v>752</v>
      </c>
      <c r="B830" t="s">
        <v>827</v>
      </c>
      <c r="C830" t="s">
        <v>823</v>
      </c>
      <c r="D830" t="s">
        <v>746</v>
      </c>
      <c r="E830" t="s">
        <v>829</v>
      </c>
      <c r="F830" t="s">
        <v>803</v>
      </c>
      <c r="G830" t="s">
        <v>830</v>
      </c>
      <c r="H830" t="s">
        <v>831</v>
      </c>
      <c r="I830" t="s">
        <v>722</v>
      </c>
      <c r="J830" t="s">
        <v>721</v>
      </c>
      <c r="K830"/>
      <c r="L830"/>
      <c r="M830" t="s">
        <v>765</v>
      </c>
      <c r="N830" t="s">
        <v>766</v>
      </c>
      <c r="O830"/>
      <c r="P830" t="e">
        <f>VLOOKUP(N830,#REF!,2,FALSE)</f>
        <v>#REF!</v>
      </c>
      <c r="Q830" t="s">
        <v>875</v>
      </c>
      <c r="R830" s="345">
        <v>1083.4100000000001</v>
      </c>
    </row>
    <row r="831" spans="1:18" x14ac:dyDescent="0.2">
      <c r="A831" s="344" t="s">
        <v>749</v>
      </c>
      <c r="B831" t="s">
        <v>827</v>
      </c>
      <c r="C831" t="s">
        <v>823</v>
      </c>
      <c r="D831" t="s">
        <v>746</v>
      </c>
      <c r="E831" t="s">
        <v>829</v>
      </c>
      <c r="F831" t="s">
        <v>803</v>
      </c>
      <c r="G831" t="s">
        <v>830</v>
      </c>
      <c r="H831" t="s">
        <v>831</v>
      </c>
      <c r="I831" t="s">
        <v>722</v>
      </c>
      <c r="J831" t="s">
        <v>721</v>
      </c>
      <c r="K831"/>
      <c r="L831"/>
      <c r="M831" t="s">
        <v>765</v>
      </c>
      <c r="N831" t="s">
        <v>766</v>
      </c>
      <c r="O831"/>
      <c r="P831" t="e">
        <f>VLOOKUP(N831,#REF!,2,FALSE)</f>
        <v>#REF!</v>
      </c>
      <c r="Q831" t="s">
        <v>877</v>
      </c>
      <c r="R831" s="345">
        <v>-1083.3800000000001</v>
      </c>
    </row>
    <row r="832" spans="1:18" x14ac:dyDescent="0.2">
      <c r="A832" s="344" t="s">
        <v>752</v>
      </c>
      <c r="B832" t="s">
        <v>827</v>
      </c>
      <c r="C832" t="s">
        <v>823</v>
      </c>
      <c r="D832" t="s">
        <v>746</v>
      </c>
      <c r="E832" t="s">
        <v>829</v>
      </c>
      <c r="F832" t="s">
        <v>803</v>
      </c>
      <c r="G832" t="s">
        <v>830</v>
      </c>
      <c r="H832" t="s">
        <v>831</v>
      </c>
      <c r="I832" t="s">
        <v>722</v>
      </c>
      <c r="J832" t="s">
        <v>721</v>
      </c>
      <c r="K832"/>
      <c r="L832"/>
      <c r="M832" t="s">
        <v>765</v>
      </c>
      <c r="N832" t="s">
        <v>766</v>
      </c>
      <c r="O832"/>
      <c r="P832" t="e">
        <f>VLOOKUP(N832,#REF!,2,FALSE)</f>
        <v>#REF!</v>
      </c>
      <c r="Q832" t="s">
        <v>877</v>
      </c>
      <c r="R832" s="345">
        <v>1083.3800000000001</v>
      </c>
    </row>
    <row r="833" spans="1:18" x14ac:dyDescent="0.2">
      <c r="A833" s="344" t="s">
        <v>749</v>
      </c>
      <c r="B833" t="s">
        <v>827</v>
      </c>
      <c r="C833" t="s">
        <v>823</v>
      </c>
      <c r="D833" t="s">
        <v>746</v>
      </c>
      <c r="E833" t="s">
        <v>829</v>
      </c>
      <c r="F833" t="s">
        <v>803</v>
      </c>
      <c r="G833" t="s">
        <v>830</v>
      </c>
      <c r="H833" t="s">
        <v>831</v>
      </c>
      <c r="I833" t="s">
        <v>722</v>
      </c>
      <c r="J833" t="s">
        <v>721</v>
      </c>
      <c r="K833"/>
      <c r="L833"/>
      <c r="M833" t="s">
        <v>765</v>
      </c>
      <c r="N833" t="s">
        <v>766</v>
      </c>
      <c r="O833"/>
      <c r="P833" t="e">
        <f>VLOOKUP(N833,#REF!,2,FALSE)</f>
        <v>#REF!</v>
      </c>
      <c r="Q833" t="s">
        <v>879</v>
      </c>
      <c r="R833" s="345">
        <v>-562.37</v>
      </c>
    </row>
    <row r="834" spans="1:18" x14ac:dyDescent="0.2">
      <c r="A834" s="344" t="s">
        <v>752</v>
      </c>
      <c r="B834" t="s">
        <v>827</v>
      </c>
      <c r="C834" t="s">
        <v>823</v>
      </c>
      <c r="D834" t="s">
        <v>746</v>
      </c>
      <c r="E834" t="s">
        <v>829</v>
      </c>
      <c r="F834" t="s">
        <v>803</v>
      </c>
      <c r="G834" t="s">
        <v>830</v>
      </c>
      <c r="H834" t="s">
        <v>831</v>
      </c>
      <c r="I834" t="s">
        <v>722</v>
      </c>
      <c r="J834" t="s">
        <v>721</v>
      </c>
      <c r="K834"/>
      <c r="L834"/>
      <c r="M834" t="s">
        <v>765</v>
      </c>
      <c r="N834" t="s">
        <v>766</v>
      </c>
      <c r="O834"/>
      <c r="P834" t="e">
        <f>VLOOKUP(N834,#REF!,2,FALSE)</f>
        <v>#REF!</v>
      </c>
      <c r="Q834" t="s">
        <v>879</v>
      </c>
      <c r="R834" s="345">
        <v>-1336.56</v>
      </c>
    </row>
    <row r="835" spans="1:18" x14ac:dyDescent="0.2">
      <c r="A835" s="344" t="s">
        <v>753</v>
      </c>
      <c r="B835" t="s">
        <v>827</v>
      </c>
      <c r="C835" t="s">
        <v>823</v>
      </c>
      <c r="D835" t="s">
        <v>746</v>
      </c>
      <c r="E835" t="s">
        <v>829</v>
      </c>
      <c r="F835" t="s">
        <v>803</v>
      </c>
      <c r="G835" t="s">
        <v>830</v>
      </c>
      <c r="H835" t="s">
        <v>831</v>
      </c>
      <c r="I835" t="s">
        <v>722</v>
      </c>
      <c r="J835" t="s">
        <v>721</v>
      </c>
      <c r="K835"/>
      <c r="L835"/>
      <c r="M835" t="s">
        <v>765</v>
      </c>
      <c r="N835" t="s">
        <v>766</v>
      </c>
      <c r="O835"/>
      <c r="P835" t="e">
        <f>VLOOKUP(N835,#REF!,2,FALSE)</f>
        <v>#REF!</v>
      </c>
      <c r="Q835" t="s">
        <v>879</v>
      </c>
      <c r="R835" s="345">
        <v>-993.44</v>
      </c>
    </row>
    <row r="836" spans="1:18" x14ac:dyDescent="0.2">
      <c r="A836" s="344" t="s">
        <v>754</v>
      </c>
      <c r="B836" t="s">
        <v>827</v>
      </c>
      <c r="C836" t="s">
        <v>823</v>
      </c>
      <c r="D836" t="s">
        <v>746</v>
      </c>
      <c r="E836" t="s">
        <v>829</v>
      </c>
      <c r="F836" t="s">
        <v>803</v>
      </c>
      <c r="G836" t="s">
        <v>830</v>
      </c>
      <c r="H836" t="s">
        <v>831</v>
      </c>
      <c r="I836" t="s">
        <v>722</v>
      </c>
      <c r="J836" t="s">
        <v>721</v>
      </c>
      <c r="K836"/>
      <c r="L836"/>
      <c r="M836" t="s">
        <v>765</v>
      </c>
      <c r="N836" t="s">
        <v>766</v>
      </c>
      <c r="O836"/>
      <c r="P836" t="e">
        <f>VLOOKUP(N836,#REF!,2,FALSE)</f>
        <v>#REF!</v>
      </c>
      <c r="Q836" t="s">
        <v>879</v>
      </c>
      <c r="R836" s="345">
        <v>-1510.78</v>
      </c>
    </row>
    <row r="837" spans="1:18" x14ac:dyDescent="0.2">
      <c r="A837" s="344" t="s">
        <v>755</v>
      </c>
      <c r="B837" t="s">
        <v>827</v>
      </c>
      <c r="C837" t="s">
        <v>823</v>
      </c>
      <c r="D837" t="s">
        <v>746</v>
      </c>
      <c r="E837" t="s">
        <v>829</v>
      </c>
      <c r="F837" t="s">
        <v>803</v>
      </c>
      <c r="G837" t="s">
        <v>830</v>
      </c>
      <c r="H837" t="s">
        <v>831</v>
      </c>
      <c r="I837" t="s">
        <v>722</v>
      </c>
      <c r="J837" t="s">
        <v>721</v>
      </c>
      <c r="K837"/>
      <c r="L837"/>
      <c r="M837" t="s">
        <v>765</v>
      </c>
      <c r="N837" t="s">
        <v>766</v>
      </c>
      <c r="O837"/>
      <c r="P837" t="e">
        <f>VLOOKUP(N837,#REF!,2,FALSE)</f>
        <v>#REF!</v>
      </c>
      <c r="Q837" t="s">
        <v>879</v>
      </c>
      <c r="R837" s="345">
        <v>-2361.14</v>
      </c>
    </row>
    <row r="838" spans="1:18" x14ac:dyDescent="0.2">
      <c r="A838" s="344" t="s">
        <v>756</v>
      </c>
      <c r="B838" t="s">
        <v>827</v>
      </c>
      <c r="C838" t="s">
        <v>823</v>
      </c>
      <c r="D838" t="s">
        <v>746</v>
      </c>
      <c r="E838" t="s">
        <v>829</v>
      </c>
      <c r="F838" t="s">
        <v>803</v>
      </c>
      <c r="G838" t="s">
        <v>830</v>
      </c>
      <c r="H838" t="s">
        <v>831</v>
      </c>
      <c r="I838" t="s">
        <v>722</v>
      </c>
      <c r="J838" t="s">
        <v>721</v>
      </c>
      <c r="K838"/>
      <c r="L838"/>
      <c r="M838" t="s">
        <v>765</v>
      </c>
      <c r="N838" t="s">
        <v>766</v>
      </c>
      <c r="O838"/>
      <c r="P838" t="e">
        <f>VLOOKUP(N838,#REF!,2,FALSE)</f>
        <v>#REF!</v>
      </c>
      <c r="Q838" t="s">
        <v>879</v>
      </c>
      <c r="R838" s="345">
        <v>-4342.99</v>
      </c>
    </row>
    <row r="839" spans="1:18" x14ac:dyDescent="0.2">
      <c r="A839" s="344" t="s">
        <v>757</v>
      </c>
      <c r="B839" t="s">
        <v>827</v>
      </c>
      <c r="C839" t="s">
        <v>823</v>
      </c>
      <c r="D839" t="s">
        <v>746</v>
      </c>
      <c r="E839" t="s">
        <v>829</v>
      </c>
      <c r="F839" t="s">
        <v>803</v>
      </c>
      <c r="G839" t="s">
        <v>830</v>
      </c>
      <c r="H839" t="s">
        <v>831</v>
      </c>
      <c r="I839" t="s">
        <v>722</v>
      </c>
      <c r="J839" t="s">
        <v>721</v>
      </c>
      <c r="K839"/>
      <c r="L839"/>
      <c r="M839" t="s">
        <v>765</v>
      </c>
      <c r="N839" t="s">
        <v>766</v>
      </c>
      <c r="O839"/>
      <c r="P839" t="e">
        <f>VLOOKUP(N839,#REF!,2,FALSE)</f>
        <v>#REF!</v>
      </c>
      <c r="Q839" t="s">
        <v>879</v>
      </c>
      <c r="R839" s="345">
        <v>-1827.58</v>
      </c>
    </row>
    <row r="840" spans="1:18" x14ac:dyDescent="0.2">
      <c r="A840" s="344" t="s">
        <v>758</v>
      </c>
      <c r="B840" t="s">
        <v>827</v>
      </c>
      <c r="C840" t="s">
        <v>823</v>
      </c>
      <c r="D840" t="s">
        <v>746</v>
      </c>
      <c r="E840" t="s">
        <v>829</v>
      </c>
      <c r="F840" t="s">
        <v>803</v>
      </c>
      <c r="G840" t="s">
        <v>830</v>
      </c>
      <c r="H840" t="s">
        <v>831</v>
      </c>
      <c r="I840" t="s">
        <v>722</v>
      </c>
      <c r="J840" t="s">
        <v>721</v>
      </c>
      <c r="K840"/>
      <c r="L840"/>
      <c r="M840" t="s">
        <v>765</v>
      </c>
      <c r="N840" t="s">
        <v>766</v>
      </c>
      <c r="O840"/>
      <c r="P840" t="e">
        <f>VLOOKUP(N840,#REF!,2,FALSE)</f>
        <v>#REF!</v>
      </c>
      <c r="Q840" t="s">
        <v>879</v>
      </c>
      <c r="R840" s="345">
        <v>-3697.47</v>
      </c>
    </row>
    <row r="841" spans="1:18" x14ac:dyDescent="0.2">
      <c r="A841" s="344" t="s">
        <v>759</v>
      </c>
      <c r="B841" t="s">
        <v>827</v>
      </c>
      <c r="C841" t="s">
        <v>823</v>
      </c>
      <c r="D841" t="s">
        <v>746</v>
      </c>
      <c r="E841" t="s">
        <v>829</v>
      </c>
      <c r="F841" t="s">
        <v>803</v>
      </c>
      <c r="G841" t="s">
        <v>830</v>
      </c>
      <c r="H841" t="s">
        <v>831</v>
      </c>
      <c r="I841" t="s">
        <v>722</v>
      </c>
      <c r="J841" t="s">
        <v>721</v>
      </c>
      <c r="K841"/>
      <c r="L841"/>
      <c r="M841" t="s">
        <v>765</v>
      </c>
      <c r="N841" t="s">
        <v>766</v>
      </c>
      <c r="O841"/>
      <c r="P841" t="e">
        <f>VLOOKUP(N841,#REF!,2,FALSE)</f>
        <v>#REF!</v>
      </c>
      <c r="Q841" t="s">
        <v>879</v>
      </c>
      <c r="R841" s="345">
        <v>-4352.3599999999997</v>
      </c>
    </row>
    <row r="842" spans="1:18" x14ac:dyDescent="0.2">
      <c r="A842" s="344" t="s">
        <v>743</v>
      </c>
      <c r="B842" t="s">
        <v>827</v>
      </c>
      <c r="C842" t="s">
        <v>823</v>
      </c>
      <c r="D842" t="s">
        <v>746</v>
      </c>
      <c r="E842" t="s">
        <v>829</v>
      </c>
      <c r="F842" t="s">
        <v>803</v>
      </c>
      <c r="G842" t="s">
        <v>830</v>
      </c>
      <c r="H842" t="s">
        <v>831</v>
      </c>
      <c r="I842" t="s">
        <v>722</v>
      </c>
      <c r="J842" t="s">
        <v>721</v>
      </c>
      <c r="K842"/>
      <c r="L842"/>
      <c r="M842" t="s">
        <v>765</v>
      </c>
      <c r="N842" t="s">
        <v>766</v>
      </c>
      <c r="O842"/>
      <c r="P842" t="e">
        <f>VLOOKUP(N842,#REF!,2,FALSE)</f>
        <v>#REF!</v>
      </c>
      <c r="Q842" t="s">
        <v>879</v>
      </c>
      <c r="R842" s="345">
        <v>-4067.21</v>
      </c>
    </row>
    <row r="843" spans="1:18" x14ac:dyDescent="0.2">
      <c r="A843" s="344" t="s">
        <v>760</v>
      </c>
      <c r="B843" t="s">
        <v>827</v>
      </c>
      <c r="C843" t="s">
        <v>823</v>
      </c>
      <c r="D843" t="s">
        <v>746</v>
      </c>
      <c r="E843" t="s">
        <v>829</v>
      </c>
      <c r="F843" t="s">
        <v>803</v>
      </c>
      <c r="G843" t="s">
        <v>830</v>
      </c>
      <c r="H843" t="s">
        <v>831</v>
      </c>
      <c r="I843" t="s">
        <v>722</v>
      </c>
      <c r="J843" t="s">
        <v>721</v>
      </c>
      <c r="K843"/>
      <c r="L843"/>
      <c r="M843" t="s">
        <v>765</v>
      </c>
      <c r="N843" t="s">
        <v>766</v>
      </c>
      <c r="O843"/>
      <c r="P843" t="e">
        <f>VLOOKUP(N843,#REF!,2,FALSE)</f>
        <v>#REF!</v>
      </c>
      <c r="Q843" t="s">
        <v>879</v>
      </c>
      <c r="R843" s="345">
        <v>-2900.67</v>
      </c>
    </row>
    <row r="844" spans="1:18" x14ac:dyDescent="0.2">
      <c r="A844" s="344" t="s">
        <v>745</v>
      </c>
      <c r="B844" t="s">
        <v>827</v>
      </c>
      <c r="C844" t="s">
        <v>823</v>
      </c>
      <c r="D844" t="s">
        <v>746</v>
      </c>
      <c r="E844" t="s">
        <v>829</v>
      </c>
      <c r="F844" t="s">
        <v>803</v>
      </c>
      <c r="G844" t="s">
        <v>830</v>
      </c>
      <c r="H844" t="s">
        <v>831</v>
      </c>
      <c r="I844" t="s">
        <v>722</v>
      </c>
      <c r="J844" t="s">
        <v>721</v>
      </c>
      <c r="K844"/>
      <c r="L844"/>
      <c r="M844" t="s">
        <v>765</v>
      </c>
      <c r="N844" t="s">
        <v>766</v>
      </c>
      <c r="O844"/>
      <c r="P844" t="e">
        <f>VLOOKUP(N844,#REF!,2,FALSE)</f>
        <v>#REF!</v>
      </c>
      <c r="Q844" t="s">
        <v>879</v>
      </c>
      <c r="R844" s="345">
        <v>-4043.35</v>
      </c>
    </row>
    <row r="845" spans="1:18" x14ac:dyDescent="0.2">
      <c r="A845" s="344" t="s">
        <v>749</v>
      </c>
      <c r="B845" t="s">
        <v>827</v>
      </c>
      <c r="C845" t="s">
        <v>823</v>
      </c>
      <c r="D845" t="s">
        <v>746</v>
      </c>
      <c r="E845" t="s">
        <v>829</v>
      </c>
      <c r="F845" t="s">
        <v>803</v>
      </c>
      <c r="G845" t="s">
        <v>830</v>
      </c>
      <c r="H845" t="s">
        <v>831</v>
      </c>
      <c r="I845" t="s">
        <v>722</v>
      </c>
      <c r="J845" t="s">
        <v>721</v>
      </c>
      <c r="K845"/>
      <c r="L845"/>
      <c r="M845" t="s">
        <v>765</v>
      </c>
      <c r="N845" t="s">
        <v>766</v>
      </c>
      <c r="O845"/>
      <c r="P845" t="e">
        <f>VLOOKUP(N845,#REF!,2,FALSE)</f>
        <v>#REF!</v>
      </c>
      <c r="Q845" t="s">
        <v>880</v>
      </c>
      <c r="R845" s="345">
        <v>-4362.53</v>
      </c>
    </row>
    <row r="846" spans="1:18" x14ac:dyDescent="0.2">
      <c r="A846" s="344" t="s">
        <v>752</v>
      </c>
      <c r="B846" t="s">
        <v>827</v>
      </c>
      <c r="C846" t="s">
        <v>823</v>
      </c>
      <c r="D846" t="s">
        <v>746</v>
      </c>
      <c r="E846" t="s">
        <v>829</v>
      </c>
      <c r="F846" t="s">
        <v>803</v>
      </c>
      <c r="G846" t="s">
        <v>830</v>
      </c>
      <c r="H846" t="s">
        <v>831</v>
      </c>
      <c r="I846" t="s">
        <v>722</v>
      </c>
      <c r="J846" t="s">
        <v>721</v>
      </c>
      <c r="K846"/>
      <c r="L846"/>
      <c r="M846" t="s">
        <v>765</v>
      </c>
      <c r="N846" t="s">
        <v>766</v>
      </c>
      <c r="O846"/>
      <c r="P846" t="e">
        <f>VLOOKUP(N846,#REF!,2,FALSE)</f>
        <v>#REF!</v>
      </c>
      <c r="Q846" t="s">
        <v>880</v>
      </c>
      <c r="R846" s="345">
        <v>-4362.53</v>
      </c>
    </row>
    <row r="847" spans="1:18" x14ac:dyDescent="0.2">
      <c r="A847" s="344" t="s">
        <v>753</v>
      </c>
      <c r="B847" t="s">
        <v>827</v>
      </c>
      <c r="C847" t="s">
        <v>823</v>
      </c>
      <c r="D847" t="s">
        <v>746</v>
      </c>
      <c r="E847" t="s">
        <v>829</v>
      </c>
      <c r="F847" t="s">
        <v>803</v>
      </c>
      <c r="G847" t="s">
        <v>830</v>
      </c>
      <c r="H847" t="s">
        <v>831</v>
      </c>
      <c r="I847" t="s">
        <v>722</v>
      </c>
      <c r="J847" t="s">
        <v>721</v>
      </c>
      <c r="K847"/>
      <c r="L847"/>
      <c r="M847" t="s">
        <v>765</v>
      </c>
      <c r="N847" t="s">
        <v>766</v>
      </c>
      <c r="O847"/>
      <c r="P847" t="e">
        <f>VLOOKUP(N847,#REF!,2,FALSE)</f>
        <v>#REF!</v>
      </c>
      <c r="Q847" t="s">
        <v>880</v>
      </c>
      <c r="R847" s="345">
        <v>-3606.38</v>
      </c>
    </row>
    <row r="848" spans="1:18" x14ac:dyDescent="0.2">
      <c r="A848" s="344" t="s">
        <v>754</v>
      </c>
      <c r="B848" t="s">
        <v>827</v>
      </c>
      <c r="C848" t="s">
        <v>823</v>
      </c>
      <c r="D848" t="s">
        <v>746</v>
      </c>
      <c r="E848" t="s">
        <v>829</v>
      </c>
      <c r="F848" t="s">
        <v>803</v>
      </c>
      <c r="G848" t="s">
        <v>830</v>
      </c>
      <c r="H848" t="s">
        <v>831</v>
      </c>
      <c r="I848" t="s">
        <v>722</v>
      </c>
      <c r="J848" t="s">
        <v>721</v>
      </c>
      <c r="K848"/>
      <c r="L848"/>
      <c r="M848" t="s">
        <v>765</v>
      </c>
      <c r="N848" t="s">
        <v>766</v>
      </c>
      <c r="O848"/>
      <c r="P848" t="e">
        <f>VLOOKUP(N848,#REF!,2,FALSE)</f>
        <v>#REF!</v>
      </c>
      <c r="Q848" t="s">
        <v>880</v>
      </c>
      <c r="R848" s="345">
        <v>-1.5</v>
      </c>
    </row>
    <row r="849" spans="1:18" x14ac:dyDescent="0.2">
      <c r="A849" s="344" t="s">
        <v>755</v>
      </c>
      <c r="B849" t="s">
        <v>827</v>
      </c>
      <c r="C849" t="s">
        <v>823</v>
      </c>
      <c r="D849" t="s">
        <v>746</v>
      </c>
      <c r="E849" t="s">
        <v>829</v>
      </c>
      <c r="F849" t="s">
        <v>803</v>
      </c>
      <c r="G849" t="s">
        <v>830</v>
      </c>
      <c r="H849" t="s">
        <v>831</v>
      </c>
      <c r="I849" t="s">
        <v>722</v>
      </c>
      <c r="J849" t="s">
        <v>721</v>
      </c>
      <c r="K849"/>
      <c r="L849"/>
      <c r="M849" t="s">
        <v>765</v>
      </c>
      <c r="N849" t="s">
        <v>766</v>
      </c>
      <c r="O849"/>
      <c r="P849" t="e">
        <f>VLOOKUP(N849,#REF!,2,FALSE)</f>
        <v>#REF!</v>
      </c>
      <c r="Q849" t="s">
        <v>880</v>
      </c>
      <c r="R849" s="345">
        <v>-4362.53</v>
      </c>
    </row>
    <row r="850" spans="1:18" x14ac:dyDescent="0.2">
      <c r="A850" s="344" t="s">
        <v>756</v>
      </c>
      <c r="B850" t="s">
        <v>827</v>
      </c>
      <c r="C850" t="s">
        <v>823</v>
      </c>
      <c r="D850" t="s">
        <v>746</v>
      </c>
      <c r="E850" t="s">
        <v>829</v>
      </c>
      <c r="F850" t="s">
        <v>803</v>
      </c>
      <c r="G850" t="s">
        <v>830</v>
      </c>
      <c r="H850" t="s">
        <v>831</v>
      </c>
      <c r="I850" t="s">
        <v>722</v>
      </c>
      <c r="J850" t="s">
        <v>721</v>
      </c>
      <c r="K850"/>
      <c r="L850"/>
      <c r="M850" t="s">
        <v>765</v>
      </c>
      <c r="N850" t="s">
        <v>766</v>
      </c>
      <c r="O850"/>
      <c r="P850" t="e">
        <f>VLOOKUP(N850,#REF!,2,FALSE)</f>
        <v>#REF!</v>
      </c>
      <c r="Q850" t="s">
        <v>880</v>
      </c>
      <c r="R850" s="345">
        <v>-4362.53</v>
      </c>
    </row>
    <row r="851" spans="1:18" x14ac:dyDescent="0.2">
      <c r="A851" s="344" t="s">
        <v>757</v>
      </c>
      <c r="B851" t="s">
        <v>827</v>
      </c>
      <c r="C851" t="s">
        <v>823</v>
      </c>
      <c r="D851" t="s">
        <v>746</v>
      </c>
      <c r="E851" t="s">
        <v>829</v>
      </c>
      <c r="F851" t="s">
        <v>803</v>
      </c>
      <c r="G851" t="s">
        <v>830</v>
      </c>
      <c r="H851" t="s">
        <v>831</v>
      </c>
      <c r="I851" t="s">
        <v>722</v>
      </c>
      <c r="J851" t="s">
        <v>721</v>
      </c>
      <c r="K851"/>
      <c r="L851"/>
      <c r="M851" t="s">
        <v>765</v>
      </c>
      <c r="N851" t="s">
        <v>766</v>
      </c>
      <c r="O851"/>
      <c r="P851" t="e">
        <f>VLOOKUP(N851,#REF!,2,FALSE)</f>
        <v>#REF!</v>
      </c>
      <c r="Q851" t="s">
        <v>880</v>
      </c>
      <c r="R851" s="345">
        <v>-1616.12</v>
      </c>
    </row>
    <row r="852" spans="1:18" x14ac:dyDescent="0.2">
      <c r="A852" s="344" t="s">
        <v>758</v>
      </c>
      <c r="B852" t="s">
        <v>827</v>
      </c>
      <c r="C852" t="s">
        <v>823</v>
      </c>
      <c r="D852" t="s">
        <v>746</v>
      </c>
      <c r="E852" t="s">
        <v>829</v>
      </c>
      <c r="F852" t="s">
        <v>803</v>
      </c>
      <c r="G852" t="s">
        <v>830</v>
      </c>
      <c r="H852" t="s">
        <v>831</v>
      </c>
      <c r="I852" t="s">
        <v>722</v>
      </c>
      <c r="J852" t="s">
        <v>721</v>
      </c>
      <c r="K852"/>
      <c r="L852"/>
      <c r="M852" t="s">
        <v>765</v>
      </c>
      <c r="N852" t="s">
        <v>766</v>
      </c>
      <c r="O852"/>
      <c r="P852" t="e">
        <f>VLOOKUP(N852,#REF!,2,FALSE)</f>
        <v>#REF!</v>
      </c>
      <c r="Q852" t="s">
        <v>880</v>
      </c>
      <c r="R852" s="345">
        <v>-1089.47</v>
      </c>
    </row>
    <row r="853" spans="1:18" x14ac:dyDescent="0.2">
      <c r="A853" s="344" t="s">
        <v>759</v>
      </c>
      <c r="B853" t="s">
        <v>827</v>
      </c>
      <c r="C853" t="s">
        <v>823</v>
      </c>
      <c r="D853" t="s">
        <v>746</v>
      </c>
      <c r="E853" t="s">
        <v>829</v>
      </c>
      <c r="F853" t="s">
        <v>803</v>
      </c>
      <c r="G853" t="s">
        <v>830</v>
      </c>
      <c r="H853" t="s">
        <v>831</v>
      </c>
      <c r="I853" t="s">
        <v>722</v>
      </c>
      <c r="J853" t="s">
        <v>721</v>
      </c>
      <c r="K853"/>
      <c r="L853"/>
      <c r="M853" t="s">
        <v>765</v>
      </c>
      <c r="N853" t="s">
        <v>766</v>
      </c>
      <c r="O853"/>
      <c r="P853" t="e">
        <f>VLOOKUP(N853,#REF!,2,FALSE)</f>
        <v>#REF!</v>
      </c>
      <c r="Q853" t="s">
        <v>880</v>
      </c>
      <c r="R853" s="345">
        <v>-1491.06</v>
      </c>
    </row>
    <row r="854" spans="1:18" x14ac:dyDescent="0.2">
      <c r="A854" s="344" t="s">
        <v>743</v>
      </c>
      <c r="B854" t="s">
        <v>827</v>
      </c>
      <c r="C854" t="s">
        <v>823</v>
      </c>
      <c r="D854" t="s">
        <v>746</v>
      </c>
      <c r="E854" t="s">
        <v>829</v>
      </c>
      <c r="F854" t="s">
        <v>803</v>
      </c>
      <c r="G854" t="s">
        <v>830</v>
      </c>
      <c r="H854" t="s">
        <v>831</v>
      </c>
      <c r="I854" t="s">
        <v>722</v>
      </c>
      <c r="J854" t="s">
        <v>721</v>
      </c>
      <c r="K854"/>
      <c r="L854"/>
      <c r="M854" t="s">
        <v>765</v>
      </c>
      <c r="N854" t="s">
        <v>766</v>
      </c>
      <c r="O854"/>
      <c r="P854" t="e">
        <f>VLOOKUP(N854,#REF!,2,FALSE)</f>
        <v>#REF!</v>
      </c>
      <c r="Q854" t="s">
        <v>880</v>
      </c>
      <c r="R854" s="345">
        <v>-1643.18</v>
      </c>
    </row>
    <row r="855" spans="1:18" x14ac:dyDescent="0.2">
      <c r="A855" s="344" t="s">
        <v>760</v>
      </c>
      <c r="B855" t="s">
        <v>827</v>
      </c>
      <c r="C855" t="s">
        <v>823</v>
      </c>
      <c r="D855" t="s">
        <v>746</v>
      </c>
      <c r="E855" t="s">
        <v>829</v>
      </c>
      <c r="F855" t="s">
        <v>803</v>
      </c>
      <c r="G855" t="s">
        <v>830</v>
      </c>
      <c r="H855" t="s">
        <v>831</v>
      </c>
      <c r="I855" t="s">
        <v>722</v>
      </c>
      <c r="J855" t="s">
        <v>721</v>
      </c>
      <c r="K855"/>
      <c r="L855"/>
      <c r="M855" t="s">
        <v>765</v>
      </c>
      <c r="N855" t="s">
        <v>766</v>
      </c>
      <c r="O855"/>
      <c r="P855" t="e">
        <f>VLOOKUP(N855,#REF!,2,FALSE)</f>
        <v>#REF!</v>
      </c>
      <c r="Q855" t="s">
        <v>880</v>
      </c>
      <c r="R855" s="345">
        <v>-378.33</v>
      </c>
    </row>
    <row r="856" spans="1:18" x14ac:dyDescent="0.2">
      <c r="A856" s="344" t="s">
        <v>745</v>
      </c>
      <c r="B856" t="s">
        <v>827</v>
      </c>
      <c r="C856" t="s">
        <v>823</v>
      </c>
      <c r="D856" t="s">
        <v>746</v>
      </c>
      <c r="E856" t="s">
        <v>829</v>
      </c>
      <c r="F856" t="s">
        <v>803</v>
      </c>
      <c r="G856" t="s">
        <v>830</v>
      </c>
      <c r="H856" t="s">
        <v>831</v>
      </c>
      <c r="I856" t="s">
        <v>722</v>
      </c>
      <c r="J856" t="s">
        <v>721</v>
      </c>
      <c r="K856"/>
      <c r="L856"/>
      <c r="M856" t="s">
        <v>765</v>
      </c>
      <c r="N856" t="s">
        <v>766</v>
      </c>
      <c r="O856"/>
      <c r="P856" t="e">
        <f>VLOOKUP(N856,#REF!,2,FALSE)</f>
        <v>#REF!</v>
      </c>
      <c r="Q856" t="s">
        <v>880</v>
      </c>
      <c r="R856" s="345">
        <v>0</v>
      </c>
    </row>
    <row r="857" spans="1:18" x14ac:dyDescent="0.2">
      <c r="A857" s="344" t="s">
        <v>749</v>
      </c>
      <c r="B857" t="s">
        <v>827</v>
      </c>
      <c r="C857" t="s">
        <v>823</v>
      </c>
      <c r="D857" t="s">
        <v>746</v>
      </c>
      <c r="E857" t="s">
        <v>829</v>
      </c>
      <c r="F857" t="s">
        <v>803</v>
      </c>
      <c r="G857" t="s">
        <v>830</v>
      </c>
      <c r="H857" t="s">
        <v>831</v>
      </c>
      <c r="I857" t="s">
        <v>722</v>
      </c>
      <c r="J857" t="s">
        <v>721</v>
      </c>
      <c r="K857"/>
      <c r="L857"/>
      <c r="M857" t="s">
        <v>765</v>
      </c>
      <c r="N857" t="s">
        <v>766</v>
      </c>
      <c r="O857"/>
      <c r="P857" t="e">
        <f>VLOOKUP(N857,#REF!,2,FALSE)</f>
        <v>#REF!</v>
      </c>
      <c r="Q857" t="s">
        <v>861</v>
      </c>
      <c r="R857" s="345">
        <v>-1050.8599999999999</v>
      </c>
    </row>
    <row r="858" spans="1:18" x14ac:dyDescent="0.2">
      <c r="A858" s="344" t="s">
        <v>752</v>
      </c>
      <c r="B858" t="s">
        <v>827</v>
      </c>
      <c r="C858" t="s">
        <v>823</v>
      </c>
      <c r="D858" t="s">
        <v>746</v>
      </c>
      <c r="E858" t="s">
        <v>829</v>
      </c>
      <c r="F858" t="s">
        <v>803</v>
      </c>
      <c r="G858" t="s">
        <v>830</v>
      </c>
      <c r="H858" t="s">
        <v>831</v>
      </c>
      <c r="I858" t="s">
        <v>722</v>
      </c>
      <c r="J858" t="s">
        <v>721</v>
      </c>
      <c r="K858"/>
      <c r="L858"/>
      <c r="M858" t="s">
        <v>765</v>
      </c>
      <c r="N858" t="s">
        <v>766</v>
      </c>
      <c r="O858"/>
      <c r="P858" t="e">
        <f>VLOOKUP(N858,#REF!,2,FALSE)</f>
        <v>#REF!</v>
      </c>
      <c r="Q858" t="s">
        <v>861</v>
      </c>
      <c r="R858" s="345">
        <v>-1050.8599999999999</v>
      </c>
    </row>
    <row r="859" spans="1:18" x14ac:dyDescent="0.2">
      <c r="A859" s="344" t="s">
        <v>753</v>
      </c>
      <c r="B859" t="s">
        <v>827</v>
      </c>
      <c r="C859" t="s">
        <v>823</v>
      </c>
      <c r="D859" t="s">
        <v>746</v>
      </c>
      <c r="E859" t="s">
        <v>829</v>
      </c>
      <c r="F859" t="s">
        <v>803</v>
      </c>
      <c r="G859" t="s">
        <v>830</v>
      </c>
      <c r="H859" t="s">
        <v>831</v>
      </c>
      <c r="I859" t="s">
        <v>722</v>
      </c>
      <c r="J859" t="s">
        <v>721</v>
      </c>
      <c r="K859"/>
      <c r="L859"/>
      <c r="M859" t="s">
        <v>765</v>
      </c>
      <c r="N859" t="s">
        <v>766</v>
      </c>
      <c r="O859"/>
      <c r="P859" t="e">
        <f>VLOOKUP(N859,#REF!,2,FALSE)</f>
        <v>#REF!</v>
      </c>
      <c r="Q859" t="s">
        <v>861</v>
      </c>
      <c r="R859" s="345">
        <v>-1016.96</v>
      </c>
    </row>
    <row r="860" spans="1:18" x14ac:dyDescent="0.2">
      <c r="A860" s="344" t="s">
        <v>754</v>
      </c>
      <c r="B860" t="s">
        <v>827</v>
      </c>
      <c r="C860" t="s">
        <v>823</v>
      </c>
      <c r="D860" t="s">
        <v>746</v>
      </c>
      <c r="E860" t="s">
        <v>829</v>
      </c>
      <c r="F860" t="s">
        <v>803</v>
      </c>
      <c r="G860" t="s">
        <v>830</v>
      </c>
      <c r="H860" t="s">
        <v>831</v>
      </c>
      <c r="I860" t="s">
        <v>722</v>
      </c>
      <c r="J860" t="s">
        <v>721</v>
      </c>
      <c r="K860"/>
      <c r="L860"/>
      <c r="M860" t="s">
        <v>765</v>
      </c>
      <c r="N860" t="s">
        <v>766</v>
      </c>
      <c r="O860"/>
      <c r="P860" t="e">
        <f>VLOOKUP(N860,#REF!,2,FALSE)</f>
        <v>#REF!</v>
      </c>
      <c r="Q860" t="s">
        <v>861</v>
      </c>
      <c r="R860" s="345">
        <v>-1053.1500000000001</v>
      </c>
    </row>
    <row r="861" spans="1:18" x14ac:dyDescent="0.2">
      <c r="A861" s="344" t="s">
        <v>755</v>
      </c>
      <c r="B861" t="s">
        <v>827</v>
      </c>
      <c r="C861" t="s">
        <v>823</v>
      </c>
      <c r="D861" t="s">
        <v>746</v>
      </c>
      <c r="E861" t="s">
        <v>829</v>
      </c>
      <c r="F861" t="s">
        <v>803</v>
      </c>
      <c r="G861" t="s">
        <v>830</v>
      </c>
      <c r="H861" t="s">
        <v>831</v>
      </c>
      <c r="I861" t="s">
        <v>722</v>
      </c>
      <c r="J861" t="s">
        <v>721</v>
      </c>
      <c r="K861"/>
      <c r="L861"/>
      <c r="M861" t="s">
        <v>765</v>
      </c>
      <c r="N861" t="s">
        <v>766</v>
      </c>
      <c r="O861"/>
      <c r="P861" t="e">
        <f>VLOOKUP(N861,#REF!,2,FALSE)</f>
        <v>#REF!</v>
      </c>
      <c r="Q861" t="s">
        <v>861</v>
      </c>
      <c r="R861" s="345">
        <v>-1019.17</v>
      </c>
    </row>
    <row r="862" spans="1:18" x14ac:dyDescent="0.2">
      <c r="A862" s="344" t="s">
        <v>756</v>
      </c>
      <c r="B862" t="s">
        <v>827</v>
      </c>
      <c r="C862" t="s">
        <v>823</v>
      </c>
      <c r="D862" t="s">
        <v>746</v>
      </c>
      <c r="E862" t="s">
        <v>829</v>
      </c>
      <c r="F862" t="s">
        <v>803</v>
      </c>
      <c r="G862" t="s">
        <v>830</v>
      </c>
      <c r="H862" t="s">
        <v>831</v>
      </c>
      <c r="I862" t="s">
        <v>722</v>
      </c>
      <c r="J862" t="s">
        <v>721</v>
      </c>
      <c r="K862"/>
      <c r="L862"/>
      <c r="M862" t="s">
        <v>765</v>
      </c>
      <c r="N862" t="s">
        <v>766</v>
      </c>
      <c r="O862"/>
      <c r="P862" t="e">
        <f>VLOOKUP(N862,#REF!,2,FALSE)</f>
        <v>#REF!</v>
      </c>
      <c r="Q862" t="s">
        <v>861</v>
      </c>
      <c r="R862" s="345">
        <v>-1053.1500000000001</v>
      </c>
    </row>
    <row r="863" spans="1:18" x14ac:dyDescent="0.2">
      <c r="A863" s="344" t="s">
        <v>757</v>
      </c>
      <c r="B863" t="s">
        <v>827</v>
      </c>
      <c r="C863" t="s">
        <v>823</v>
      </c>
      <c r="D863" t="s">
        <v>746</v>
      </c>
      <c r="E863" t="s">
        <v>829</v>
      </c>
      <c r="F863" t="s">
        <v>803</v>
      </c>
      <c r="G863" t="s">
        <v>830</v>
      </c>
      <c r="H863" t="s">
        <v>831</v>
      </c>
      <c r="I863" t="s">
        <v>722</v>
      </c>
      <c r="J863" t="s">
        <v>721</v>
      </c>
      <c r="K863"/>
      <c r="L863"/>
      <c r="M863" t="s">
        <v>765</v>
      </c>
      <c r="N863" t="s">
        <v>766</v>
      </c>
      <c r="O863"/>
      <c r="P863" t="e">
        <f>VLOOKUP(N863,#REF!,2,FALSE)</f>
        <v>#REF!</v>
      </c>
      <c r="Q863" t="s">
        <v>861</v>
      </c>
      <c r="R863" s="345">
        <v>-717.06</v>
      </c>
    </row>
    <row r="864" spans="1:18" x14ac:dyDescent="0.2">
      <c r="A864" s="344" t="s">
        <v>758</v>
      </c>
      <c r="B864" t="s">
        <v>827</v>
      </c>
      <c r="C864" t="s">
        <v>823</v>
      </c>
      <c r="D864" t="s">
        <v>746</v>
      </c>
      <c r="E864" t="s">
        <v>829</v>
      </c>
      <c r="F864" t="s">
        <v>803</v>
      </c>
      <c r="G864" t="s">
        <v>830</v>
      </c>
      <c r="H864" t="s">
        <v>831</v>
      </c>
      <c r="I864" t="s">
        <v>722</v>
      </c>
      <c r="J864" t="s">
        <v>721</v>
      </c>
      <c r="K864"/>
      <c r="L864"/>
      <c r="M864" t="s">
        <v>765</v>
      </c>
      <c r="N864" t="s">
        <v>766</v>
      </c>
      <c r="O864"/>
      <c r="P864" t="e">
        <f>VLOOKUP(N864,#REF!,2,FALSE)</f>
        <v>#REF!</v>
      </c>
      <c r="Q864" t="s">
        <v>861</v>
      </c>
      <c r="R864" s="345">
        <v>0</v>
      </c>
    </row>
    <row r="865" spans="1:18" x14ac:dyDescent="0.2">
      <c r="A865" s="344" t="s">
        <v>759</v>
      </c>
      <c r="B865" t="s">
        <v>827</v>
      </c>
      <c r="C865" t="s">
        <v>823</v>
      </c>
      <c r="D865" t="s">
        <v>746</v>
      </c>
      <c r="E865" t="s">
        <v>829</v>
      </c>
      <c r="F865" t="s">
        <v>803</v>
      </c>
      <c r="G865" t="s">
        <v>830</v>
      </c>
      <c r="H865" t="s">
        <v>831</v>
      </c>
      <c r="I865" t="s">
        <v>722</v>
      </c>
      <c r="J865" t="s">
        <v>721</v>
      </c>
      <c r="K865"/>
      <c r="L865"/>
      <c r="M865" t="s">
        <v>765</v>
      </c>
      <c r="N865" t="s">
        <v>766</v>
      </c>
      <c r="O865"/>
      <c r="P865" t="e">
        <f>VLOOKUP(N865,#REF!,2,FALSE)</f>
        <v>#REF!</v>
      </c>
      <c r="Q865" t="s">
        <v>871</v>
      </c>
      <c r="R865" s="345">
        <v>-67.290000000000006</v>
      </c>
    </row>
    <row r="866" spans="1:18" x14ac:dyDescent="0.2">
      <c r="A866" s="344" t="s">
        <v>755</v>
      </c>
      <c r="B866" t="s">
        <v>827</v>
      </c>
      <c r="C866" t="s">
        <v>823</v>
      </c>
      <c r="D866" t="s">
        <v>746</v>
      </c>
      <c r="E866" t="s">
        <v>829</v>
      </c>
      <c r="F866" t="s">
        <v>803</v>
      </c>
      <c r="G866" t="s">
        <v>830</v>
      </c>
      <c r="H866" t="s">
        <v>831</v>
      </c>
      <c r="I866" t="s">
        <v>722</v>
      </c>
      <c r="J866" t="s">
        <v>721</v>
      </c>
      <c r="K866"/>
      <c r="L866"/>
      <c r="M866" t="s">
        <v>767</v>
      </c>
      <c r="N866" t="s">
        <v>768</v>
      </c>
      <c r="O866"/>
      <c r="P866" t="e">
        <f>VLOOKUP(N866,#REF!,2,FALSE)</f>
        <v>#REF!</v>
      </c>
      <c r="Q866" t="s">
        <v>875</v>
      </c>
      <c r="R866" s="345">
        <v>-122007</v>
      </c>
    </row>
    <row r="867" spans="1:18" x14ac:dyDescent="0.2">
      <c r="A867" s="344" t="s">
        <v>756</v>
      </c>
      <c r="B867" t="s">
        <v>827</v>
      </c>
      <c r="C867" t="s">
        <v>823</v>
      </c>
      <c r="D867" t="s">
        <v>746</v>
      </c>
      <c r="E867" t="s">
        <v>829</v>
      </c>
      <c r="F867" t="s">
        <v>803</v>
      </c>
      <c r="G867" t="s">
        <v>830</v>
      </c>
      <c r="H867" t="s">
        <v>831</v>
      </c>
      <c r="I867" t="s">
        <v>722</v>
      </c>
      <c r="J867" t="s">
        <v>721</v>
      </c>
      <c r="K867"/>
      <c r="L867"/>
      <c r="M867" t="s">
        <v>767</v>
      </c>
      <c r="N867" t="s">
        <v>768</v>
      </c>
      <c r="O867"/>
      <c r="P867" t="e">
        <f>VLOOKUP(N867,#REF!,2,FALSE)</f>
        <v>#REF!</v>
      </c>
      <c r="Q867" t="s">
        <v>875</v>
      </c>
      <c r="R867" s="345">
        <v>-123023.69</v>
      </c>
    </row>
    <row r="868" spans="1:18" x14ac:dyDescent="0.2">
      <c r="A868" s="344" t="s">
        <v>757</v>
      </c>
      <c r="B868" t="s">
        <v>827</v>
      </c>
      <c r="C868" t="s">
        <v>823</v>
      </c>
      <c r="D868" t="s">
        <v>746</v>
      </c>
      <c r="E868" t="s">
        <v>829</v>
      </c>
      <c r="F868" t="s">
        <v>803</v>
      </c>
      <c r="G868" t="s">
        <v>830</v>
      </c>
      <c r="H868" t="s">
        <v>831</v>
      </c>
      <c r="I868" t="s">
        <v>722</v>
      </c>
      <c r="J868" t="s">
        <v>721</v>
      </c>
      <c r="K868"/>
      <c r="L868"/>
      <c r="M868" t="s">
        <v>767</v>
      </c>
      <c r="N868" t="s">
        <v>768</v>
      </c>
      <c r="O868"/>
      <c r="P868" t="e">
        <f>VLOOKUP(N868,#REF!,2,FALSE)</f>
        <v>#REF!</v>
      </c>
      <c r="Q868" t="s">
        <v>875</v>
      </c>
      <c r="R868" s="345">
        <v>-0.04</v>
      </c>
    </row>
    <row r="869" spans="1:18" x14ac:dyDescent="0.2">
      <c r="A869" s="344" t="s">
        <v>749</v>
      </c>
      <c r="B869" t="s">
        <v>827</v>
      </c>
      <c r="C869" t="s">
        <v>823</v>
      </c>
      <c r="D869" t="s">
        <v>746</v>
      </c>
      <c r="E869" t="s">
        <v>829</v>
      </c>
      <c r="F869" t="s">
        <v>803</v>
      </c>
      <c r="G869" t="s">
        <v>830</v>
      </c>
      <c r="H869" t="s">
        <v>831</v>
      </c>
      <c r="I869" t="s">
        <v>722</v>
      </c>
      <c r="J869" t="s">
        <v>721</v>
      </c>
      <c r="K869"/>
      <c r="L869"/>
      <c r="M869" t="s">
        <v>767</v>
      </c>
      <c r="N869" t="s">
        <v>768</v>
      </c>
      <c r="O869"/>
      <c r="P869" t="e">
        <f>VLOOKUP(N869,#REF!,2,FALSE)</f>
        <v>#REF!</v>
      </c>
      <c r="Q869" t="s">
        <v>880</v>
      </c>
      <c r="R869" s="345">
        <v>-6136.32</v>
      </c>
    </row>
    <row r="870" spans="1:18" x14ac:dyDescent="0.2">
      <c r="A870" s="344" t="s">
        <v>752</v>
      </c>
      <c r="B870" t="s">
        <v>827</v>
      </c>
      <c r="C870" t="s">
        <v>823</v>
      </c>
      <c r="D870" t="s">
        <v>746</v>
      </c>
      <c r="E870" t="s">
        <v>829</v>
      </c>
      <c r="F870" t="s">
        <v>803</v>
      </c>
      <c r="G870" t="s">
        <v>830</v>
      </c>
      <c r="H870" t="s">
        <v>831</v>
      </c>
      <c r="I870" t="s">
        <v>722</v>
      </c>
      <c r="J870" t="s">
        <v>721</v>
      </c>
      <c r="K870"/>
      <c r="L870"/>
      <c r="M870" t="s">
        <v>767</v>
      </c>
      <c r="N870" t="s">
        <v>768</v>
      </c>
      <c r="O870"/>
      <c r="P870" t="e">
        <f>VLOOKUP(N870,#REF!,2,FALSE)</f>
        <v>#REF!</v>
      </c>
      <c r="Q870" t="s">
        <v>880</v>
      </c>
      <c r="R870" s="345">
        <v>1669.37</v>
      </c>
    </row>
    <row r="871" spans="1:18" x14ac:dyDescent="0.2">
      <c r="A871" s="344" t="s">
        <v>753</v>
      </c>
      <c r="B871" t="s">
        <v>827</v>
      </c>
      <c r="C871" t="s">
        <v>823</v>
      </c>
      <c r="D871" t="s">
        <v>746</v>
      </c>
      <c r="E871" t="s">
        <v>829</v>
      </c>
      <c r="F871" t="s">
        <v>803</v>
      </c>
      <c r="G871" t="s">
        <v>830</v>
      </c>
      <c r="H871" t="s">
        <v>831</v>
      </c>
      <c r="I871" t="s">
        <v>722</v>
      </c>
      <c r="J871" t="s">
        <v>721</v>
      </c>
      <c r="K871"/>
      <c r="L871"/>
      <c r="M871" t="s">
        <v>767</v>
      </c>
      <c r="N871" t="s">
        <v>768</v>
      </c>
      <c r="O871"/>
      <c r="P871" t="e">
        <f>VLOOKUP(N871,#REF!,2,FALSE)</f>
        <v>#REF!</v>
      </c>
      <c r="Q871" t="s">
        <v>880</v>
      </c>
      <c r="R871" s="345">
        <v>214.49</v>
      </c>
    </row>
    <row r="872" spans="1:18" x14ac:dyDescent="0.2">
      <c r="A872" s="344" t="s">
        <v>756</v>
      </c>
      <c r="B872" t="s">
        <v>827</v>
      </c>
      <c r="C872" t="s">
        <v>823</v>
      </c>
      <c r="D872" t="s">
        <v>746</v>
      </c>
      <c r="E872" t="s">
        <v>829</v>
      </c>
      <c r="F872" t="s">
        <v>803</v>
      </c>
      <c r="G872" t="s">
        <v>830</v>
      </c>
      <c r="H872" t="s">
        <v>831</v>
      </c>
      <c r="I872" t="s">
        <v>722</v>
      </c>
      <c r="J872" t="s">
        <v>721</v>
      </c>
      <c r="K872"/>
      <c r="L872"/>
      <c r="M872" t="s">
        <v>767</v>
      </c>
      <c r="N872" t="s">
        <v>768</v>
      </c>
      <c r="O872"/>
      <c r="P872" t="e">
        <f>VLOOKUP(N872,#REF!,2,FALSE)</f>
        <v>#REF!</v>
      </c>
      <c r="Q872" t="s">
        <v>880</v>
      </c>
      <c r="R872" s="345">
        <v>-12287.71</v>
      </c>
    </row>
    <row r="873" spans="1:18" x14ac:dyDescent="0.2">
      <c r="A873" s="344" t="s">
        <v>757</v>
      </c>
      <c r="B873" t="s">
        <v>827</v>
      </c>
      <c r="C873" t="s">
        <v>823</v>
      </c>
      <c r="D873" t="s">
        <v>746</v>
      </c>
      <c r="E873" t="s">
        <v>829</v>
      </c>
      <c r="F873" t="s">
        <v>803</v>
      </c>
      <c r="G873" t="s">
        <v>830</v>
      </c>
      <c r="H873" t="s">
        <v>831</v>
      </c>
      <c r="I873" t="s">
        <v>722</v>
      </c>
      <c r="J873" t="s">
        <v>721</v>
      </c>
      <c r="K873"/>
      <c r="L873"/>
      <c r="M873" t="s">
        <v>767</v>
      </c>
      <c r="N873" t="s">
        <v>768</v>
      </c>
      <c r="O873"/>
      <c r="P873" t="e">
        <f>VLOOKUP(N873,#REF!,2,FALSE)</f>
        <v>#REF!</v>
      </c>
      <c r="Q873" t="s">
        <v>880</v>
      </c>
      <c r="R873" s="345">
        <v>-10723.69</v>
      </c>
    </row>
    <row r="874" spans="1:18" x14ac:dyDescent="0.2">
      <c r="A874" s="344" t="s">
        <v>758</v>
      </c>
      <c r="B874" t="s">
        <v>827</v>
      </c>
      <c r="C874" t="s">
        <v>823</v>
      </c>
      <c r="D874" t="s">
        <v>746</v>
      </c>
      <c r="E874" t="s">
        <v>829</v>
      </c>
      <c r="F874" t="s">
        <v>803</v>
      </c>
      <c r="G874" t="s">
        <v>830</v>
      </c>
      <c r="H874" t="s">
        <v>831</v>
      </c>
      <c r="I874" t="s">
        <v>722</v>
      </c>
      <c r="J874" t="s">
        <v>721</v>
      </c>
      <c r="K874"/>
      <c r="L874"/>
      <c r="M874" t="s">
        <v>767</v>
      </c>
      <c r="N874" t="s">
        <v>768</v>
      </c>
      <c r="O874"/>
      <c r="P874" t="e">
        <f>VLOOKUP(N874,#REF!,2,FALSE)</f>
        <v>#REF!</v>
      </c>
      <c r="Q874" t="s">
        <v>863</v>
      </c>
      <c r="R874" s="345">
        <v>-23.65</v>
      </c>
    </row>
    <row r="875" spans="1:18" x14ac:dyDescent="0.2">
      <c r="A875" s="344" t="s">
        <v>749</v>
      </c>
      <c r="B875" t="s">
        <v>827</v>
      </c>
      <c r="C875" t="s">
        <v>823</v>
      </c>
      <c r="D875" t="s">
        <v>746</v>
      </c>
      <c r="E875" t="s">
        <v>829</v>
      </c>
      <c r="F875" t="s">
        <v>803</v>
      </c>
      <c r="G875" t="s">
        <v>830</v>
      </c>
      <c r="H875" t="s">
        <v>831</v>
      </c>
      <c r="I875" t="s">
        <v>722</v>
      </c>
      <c r="J875" t="s">
        <v>721</v>
      </c>
      <c r="K875"/>
      <c r="L875"/>
      <c r="M875" t="s">
        <v>903</v>
      </c>
      <c r="N875" t="s">
        <v>904</v>
      </c>
      <c r="O875"/>
      <c r="P875" t="e">
        <f>VLOOKUP(N875,#REF!,2,FALSE)</f>
        <v>#REF!</v>
      </c>
      <c r="Q875" t="s">
        <v>872</v>
      </c>
      <c r="R875" s="345">
        <v>-51.37</v>
      </c>
    </row>
    <row r="876" spans="1:18" x14ac:dyDescent="0.2">
      <c r="A876" s="344" t="s">
        <v>752</v>
      </c>
      <c r="B876" t="s">
        <v>827</v>
      </c>
      <c r="C876" t="s">
        <v>823</v>
      </c>
      <c r="D876" t="s">
        <v>746</v>
      </c>
      <c r="E876" t="s">
        <v>829</v>
      </c>
      <c r="F876" t="s">
        <v>803</v>
      </c>
      <c r="G876" t="s">
        <v>830</v>
      </c>
      <c r="H876" t="s">
        <v>831</v>
      </c>
      <c r="I876" t="s">
        <v>722</v>
      </c>
      <c r="J876" t="s">
        <v>721</v>
      </c>
      <c r="K876"/>
      <c r="L876"/>
      <c r="M876" t="s">
        <v>903</v>
      </c>
      <c r="N876" t="s">
        <v>904</v>
      </c>
      <c r="O876"/>
      <c r="P876" t="e">
        <f>VLOOKUP(N876,#REF!,2,FALSE)</f>
        <v>#REF!</v>
      </c>
      <c r="Q876" t="s">
        <v>872</v>
      </c>
      <c r="R876" s="345">
        <v>-69.989999999999995</v>
      </c>
    </row>
    <row r="877" spans="1:18" x14ac:dyDescent="0.2">
      <c r="A877" s="344" t="s">
        <v>753</v>
      </c>
      <c r="B877" t="s">
        <v>827</v>
      </c>
      <c r="C877" t="s">
        <v>823</v>
      </c>
      <c r="D877" t="s">
        <v>746</v>
      </c>
      <c r="E877" t="s">
        <v>829</v>
      </c>
      <c r="F877" t="s">
        <v>803</v>
      </c>
      <c r="G877" t="s">
        <v>830</v>
      </c>
      <c r="H877" t="s">
        <v>831</v>
      </c>
      <c r="I877" t="s">
        <v>722</v>
      </c>
      <c r="J877" t="s">
        <v>721</v>
      </c>
      <c r="K877"/>
      <c r="L877"/>
      <c r="M877" t="s">
        <v>903</v>
      </c>
      <c r="N877" t="s">
        <v>904</v>
      </c>
      <c r="O877"/>
      <c r="P877" t="e">
        <f>VLOOKUP(N877,#REF!,2,FALSE)</f>
        <v>#REF!</v>
      </c>
      <c r="Q877" t="s">
        <v>872</v>
      </c>
      <c r="R877" s="345">
        <v>-38.03</v>
      </c>
    </row>
    <row r="878" spans="1:18" x14ac:dyDescent="0.2">
      <c r="A878" s="344" t="s">
        <v>754</v>
      </c>
      <c r="B878" t="s">
        <v>827</v>
      </c>
      <c r="C878" t="s">
        <v>823</v>
      </c>
      <c r="D878" t="s">
        <v>746</v>
      </c>
      <c r="E878" t="s">
        <v>829</v>
      </c>
      <c r="F878" t="s">
        <v>803</v>
      </c>
      <c r="G878" t="s">
        <v>830</v>
      </c>
      <c r="H878" t="s">
        <v>831</v>
      </c>
      <c r="I878" t="s">
        <v>722</v>
      </c>
      <c r="J878" t="s">
        <v>721</v>
      </c>
      <c r="K878"/>
      <c r="L878"/>
      <c r="M878" t="s">
        <v>903</v>
      </c>
      <c r="N878" t="s">
        <v>904</v>
      </c>
      <c r="O878"/>
      <c r="P878" t="e">
        <f>VLOOKUP(N878,#REF!,2,FALSE)</f>
        <v>#REF!</v>
      </c>
      <c r="Q878" t="s">
        <v>872</v>
      </c>
      <c r="R878" s="345">
        <v>4.34</v>
      </c>
    </row>
    <row r="879" spans="1:18" x14ac:dyDescent="0.2">
      <c r="A879" s="344" t="s">
        <v>755</v>
      </c>
      <c r="B879" t="s">
        <v>827</v>
      </c>
      <c r="C879" t="s">
        <v>823</v>
      </c>
      <c r="D879" t="s">
        <v>746</v>
      </c>
      <c r="E879" t="s">
        <v>829</v>
      </c>
      <c r="F879" t="s">
        <v>803</v>
      </c>
      <c r="G879" t="s">
        <v>830</v>
      </c>
      <c r="H879" t="s">
        <v>831</v>
      </c>
      <c r="I879" t="s">
        <v>722</v>
      </c>
      <c r="J879" t="s">
        <v>721</v>
      </c>
      <c r="K879"/>
      <c r="L879"/>
      <c r="M879" t="s">
        <v>903</v>
      </c>
      <c r="N879" t="s">
        <v>904</v>
      </c>
      <c r="O879"/>
      <c r="P879" t="e">
        <f>VLOOKUP(N879,#REF!,2,FALSE)</f>
        <v>#REF!</v>
      </c>
      <c r="Q879" t="s">
        <v>872</v>
      </c>
      <c r="R879" s="345">
        <v>-16.57</v>
      </c>
    </row>
    <row r="880" spans="1:18" x14ac:dyDescent="0.2">
      <c r="A880" s="344" t="s">
        <v>756</v>
      </c>
      <c r="B880" t="s">
        <v>827</v>
      </c>
      <c r="C880" t="s">
        <v>823</v>
      </c>
      <c r="D880" t="s">
        <v>746</v>
      </c>
      <c r="E880" t="s">
        <v>829</v>
      </c>
      <c r="F880" t="s">
        <v>803</v>
      </c>
      <c r="G880" t="s">
        <v>830</v>
      </c>
      <c r="H880" t="s">
        <v>831</v>
      </c>
      <c r="I880" t="s">
        <v>722</v>
      </c>
      <c r="J880" t="s">
        <v>721</v>
      </c>
      <c r="K880"/>
      <c r="L880"/>
      <c r="M880" t="s">
        <v>903</v>
      </c>
      <c r="N880" t="s">
        <v>904</v>
      </c>
      <c r="O880"/>
      <c r="P880" t="e">
        <f>VLOOKUP(N880,#REF!,2,FALSE)</f>
        <v>#REF!</v>
      </c>
      <c r="Q880" t="s">
        <v>872</v>
      </c>
      <c r="R880" s="345">
        <v>4.41</v>
      </c>
    </row>
    <row r="881" spans="1:18" x14ac:dyDescent="0.2">
      <c r="A881" s="344" t="s">
        <v>757</v>
      </c>
      <c r="B881" t="s">
        <v>827</v>
      </c>
      <c r="C881" t="s">
        <v>823</v>
      </c>
      <c r="D881" t="s">
        <v>746</v>
      </c>
      <c r="E881" t="s">
        <v>829</v>
      </c>
      <c r="F881" t="s">
        <v>803</v>
      </c>
      <c r="G881" t="s">
        <v>830</v>
      </c>
      <c r="H881" t="s">
        <v>831</v>
      </c>
      <c r="I881" t="s">
        <v>722</v>
      </c>
      <c r="J881" t="s">
        <v>721</v>
      </c>
      <c r="K881"/>
      <c r="L881"/>
      <c r="M881" t="s">
        <v>903</v>
      </c>
      <c r="N881" t="s">
        <v>904</v>
      </c>
      <c r="O881"/>
      <c r="P881" t="e">
        <f>VLOOKUP(N881,#REF!,2,FALSE)</f>
        <v>#REF!</v>
      </c>
      <c r="Q881" t="s">
        <v>872</v>
      </c>
      <c r="R881" s="345">
        <v>-19.38</v>
      </c>
    </row>
    <row r="882" spans="1:18" x14ac:dyDescent="0.2">
      <c r="A882" s="344" t="s">
        <v>758</v>
      </c>
      <c r="B882" t="s">
        <v>827</v>
      </c>
      <c r="C882" t="s">
        <v>823</v>
      </c>
      <c r="D882" t="s">
        <v>746</v>
      </c>
      <c r="E882" t="s">
        <v>829</v>
      </c>
      <c r="F882" t="s">
        <v>803</v>
      </c>
      <c r="G882" t="s">
        <v>830</v>
      </c>
      <c r="H882" t="s">
        <v>831</v>
      </c>
      <c r="I882" t="s">
        <v>722</v>
      </c>
      <c r="J882" t="s">
        <v>721</v>
      </c>
      <c r="K882"/>
      <c r="L882"/>
      <c r="M882" t="s">
        <v>903</v>
      </c>
      <c r="N882" t="s">
        <v>904</v>
      </c>
      <c r="O882"/>
      <c r="P882" t="e">
        <f>VLOOKUP(N882,#REF!,2,FALSE)</f>
        <v>#REF!</v>
      </c>
      <c r="Q882" t="s">
        <v>872</v>
      </c>
      <c r="R882" s="345">
        <v>-8.31</v>
      </c>
    </row>
    <row r="883" spans="1:18" x14ac:dyDescent="0.2">
      <c r="A883" s="344" t="s">
        <v>759</v>
      </c>
      <c r="B883" t="s">
        <v>827</v>
      </c>
      <c r="C883" t="s">
        <v>823</v>
      </c>
      <c r="D883" t="s">
        <v>746</v>
      </c>
      <c r="E883" t="s">
        <v>829</v>
      </c>
      <c r="F883" t="s">
        <v>803</v>
      </c>
      <c r="G883" t="s">
        <v>830</v>
      </c>
      <c r="H883" t="s">
        <v>831</v>
      </c>
      <c r="I883" t="s">
        <v>722</v>
      </c>
      <c r="J883" t="s">
        <v>721</v>
      </c>
      <c r="K883"/>
      <c r="L883"/>
      <c r="M883" t="s">
        <v>903</v>
      </c>
      <c r="N883" t="s">
        <v>904</v>
      </c>
      <c r="O883"/>
      <c r="P883" t="e">
        <f>VLOOKUP(N883,#REF!,2,FALSE)</f>
        <v>#REF!</v>
      </c>
      <c r="Q883" t="s">
        <v>872</v>
      </c>
      <c r="R883" s="345">
        <v>-47.05</v>
      </c>
    </row>
    <row r="884" spans="1:18" x14ac:dyDescent="0.2">
      <c r="A884" s="344" t="s">
        <v>743</v>
      </c>
      <c r="B884" t="s">
        <v>827</v>
      </c>
      <c r="C884" t="s">
        <v>823</v>
      </c>
      <c r="D884" t="s">
        <v>746</v>
      </c>
      <c r="E884" t="s">
        <v>829</v>
      </c>
      <c r="F884" t="s">
        <v>803</v>
      </c>
      <c r="G884" t="s">
        <v>830</v>
      </c>
      <c r="H884" t="s">
        <v>831</v>
      </c>
      <c r="I884" t="s">
        <v>722</v>
      </c>
      <c r="J884" t="s">
        <v>721</v>
      </c>
      <c r="K884"/>
      <c r="L884"/>
      <c r="M884" t="s">
        <v>903</v>
      </c>
      <c r="N884" t="s">
        <v>904</v>
      </c>
      <c r="O884"/>
      <c r="P884" t="e">
        <f>VLOOKUP(N884,#REF!,2,FALSE)</f>
        <v>#REF!</v>
      </c>
      <c r="Q884" t="s">
        <v>872</v>
      </c>
      <c r="R884" s="345">
        <v>-51.84</v>
      </c>
    </row>
    <row r="885" spans="1:18" x14ac:dyDescent="0.2">
      <c r="A885" s="344" t="s">
        <v>760</v>
      </c>
      <c r="B885" t="s">
        <v>827</v>
      </c>
      <c r="C885" t="s">
        <v>823</v>
      </c>
      <c r="D885" t="s">
        <v>746</v>
      </c>
      <c r="E885" t="s">
        <v>829</v>
      </c>
      <c r="F885" t="s">
        <v>803</v>
      </c>
      <c r="G885" t="s">
        <v>830</v>
      </c>
      <c r="H885" t="s">
        <v>831</v>
      </c>
      <c r="I885" t="s">
        <v>722</v>
      </c>
      <c r="J885" t="s">
        <v>721</v>
      </c>
      <c r="K885"/>
      <c r="L885"/>
      <c r="M885" t="s">
        <v>903</v>
      </c>
      <c r="N885" t="s">
        <v>904</v>
      </c>
      <c r="O885"/>
      <c r="P885" t="e">
        <f>VLOOKUP(N885,#REF!,2,FALSE)</f>
        <v>#REF!</v>
      </c>
      <c r="Q885" t="s">
        <v>872</v>
      </c>
      <c r="R885" s="345">
        <v>22.91</v>
      </c>
    </row>
    <row r="886" spans="1:18" x14ac:dyDescent="0.2">
      <c r="A886" s="344" t="s">
        <v>745</v>
      </c>
      <c r="B886" t="s">
        <v>827</v>
      </c>
      <c r="C886" t="s">
        <v>823</v>
      </c>
      <c r="D886" t="s">
        <v>746</v>
      </c>
      <c r="E886" t="s">
        <v>829</v>
      </c>
      <c r="F886" t="s">
        <v>803</v>
      </c>
      <c r="G886" t="s">
        <v>830</v>
      </c>
      <c r="H886" t="s">
        <v>831</v>
      </c>
      <c r="I886" t="s">
        <v>722</v>
      </c>
      <c r="J886" t="s">
        <v>721</v>
      </c>
      <c r="K886"/>
      <c r="L886"/>
      <c r="M886" t="s">
        <v>903</v>
      </c>
      <c r="N886" t="s">
        <v>904</v>
      </c>
      <c r="O886"/>
      <c r="P886" t="e">
        <f>VLOOKUP(N886,#REF!,2,FALSE)</f>
        <v>#REF!</v>
      </c>
      <c r="Q886" t="s">
        <v>872</v>
      </c>
      <c r="R886" s="345">
        <v>-41.34</v>
      </c>
    </row>
    <row r="887" spans="1:18" x14ac:dyDescent="0.2">
      <c r="A887" s="344" t="s">
        <v>749</v>
      </c>
      <c r="B887" t="s">
        <v>827</v>
      </c>
      <c r="C887" t="s">
        <v>823</v>
      </c>
      <c r="D887" t="s">
        <v>746</v>
      </c>
      <c r="E887" t="s">
        <v>829</v>
      </c>
      <c r="F887" t="s">
        <v>803</v>
      </c>
      <c r="G887" t="s">
        <v>830</v>
      </c>
      <c r="H887" t="s">
        <v>831</v>
      </c>
      <c r="I887" t="s">
        <v>722</v>
      </c>
      <c r="J887" t="s">
        <v>721</v>
      </c>
      <c r="K887"/>
      <c r="L887"/>
      <c r="M887" t="s">
        <v>903</v>
      </c>
      <c r="N887" t="s">
        <v>904</v>
      </c>
      <c r="O887"/>
      <c r="P887" t="e">
        <f>VLOOKUP(N887,#REF!,2,FALSE)</f>
        <v>#REF!</v>
      </c>
      <c r="Q887" t="s">
        <v>873</v>
      </c>
      <c r="R887" s="345">
        <v>-38057.870000000003</v>
      </c>
    </row>
    <row r="888" spans="1:18" x14ac:dyDescent="0.2">
      <c r="A888" s="344" t="s">
        <v>752</v>
      </c>
      <c r="B888" t="s">
        <v>827</v>
      </c>
      <c r="C888" t="s">
        <v>823</v>
      </c>
      <c r="D888" t="s">
        <v>746</v>
      </c>
      <c r="E888" t="s">
        <v>829</v>
      </c>
      <c r="F888" t="s">
        <v>803</v>
      </c>
      <c r="G888" t="s">
        <v>830</v>
      </c>
      <c r="H888" t="s">
        <v>831</v>
      </c>
      <c r="I888" t="s">
        <v>722</v>
      </c>
      <c r="J888" t="s">
        <v>721</v>
      </c>
      <c r="K888"/>
      <c r="L888"/>
      <c r="M888" t="s">
        <v>903</v>
      </c>
      <c r="N888" t="s">
        <v>904</v>
      </c>
      <c r="O888"/>
      <c r="P888" t="e">
        <f>VLOOKUP(N888,#REF!,2,FALSE)</f>
        <v>#REF!</v>
      </c>
      <c r="Q888" t="s">
        <v>873</v>
      </c>
      <c r="R888" s="345">
        <v>-28832.19</v>
      </c>
    </row>
    <row r="889" spans="1:18" x14ac:dyDescent="0.2">
      <c r="A889" s="344" t="s">
        <v>753</v>
      </c>
      <c r="B889" t="s">
        <v>827</v>
      </c>
      <c r="C889" t="s">
        <v>823</v>
      </c>
      <c r="D889" t="s">
        <v>746</v>
      </c>
      <c r="E889" t="s">
        <v>829</v>
      </c>
      <c r="F889" t="s">
        <v>803</v>
      </c>
      <c r="G889" t="s">
        <v>830</v>
      </c>
      <c r="H889" t="s">
        <v>831</v>
      </c>
      <c r="I889" t="s">
        <v>722</v>
      </c>
      <c r="J889" t="s">
        <v>721</v>
      </c>
      <c r="K889"/>
      <c r="L889"/>
      <c r="M889" t="s">
        <v>903</v>
      </c>
      <c r="N889" t="s">
        <v>904</v>
      </c>
      <c r="O889"/>
      <c r="P889" t="e">
        <f>VLOOKUP(N889,#REF!,2,FALSE)</f>
        <v>#REF!</v>
      </c>
      <c r="Q889" t="s">
        <v>873</v>
      </c>
      <c r="R889" s="345">
        <v>-23939.23</v>
      </c>
    </row>
    <row r="890" spans="1:18" x14ac:dyDescent="0.2">
      <c r="A890" s="344" t="s">
        <v>754</v>
      </c>
      <c r="B890" t="s">
        <v>827</v>
      </c>
      <c r="C890" t="s">
        <v>823</v>
      </c>
      <c r="D890" t="s">
        <v>746</v>
      </c>
      <c r="E890" t="s">
        <v>829</v>
      </c>
      <c r="F890" t="s">
        <v>803</v>
      </c>
      <c r="G890" t="s">
        <v>830</v>
      </c>
      <c r="H890" t="s">
        <v>831</v>
      </c>
      <c r="I890" t="s">
        <v>722</v>
      </c>
      <c r="J890" t="s">
        <v>721</v>
      </c>
      <c r="K890"/>
      <c r="L890"/>
      <c r="M890" t="s">
        <v>903</v>
      </c>
      <c r="N890" t="s">
        <v>904</v>
      </c>
      <c r="O890"/>
      <c r="P890" t="e">
        <f>VLOOKUP(N890,#REF!,2,FALSE)</f>
        <v>#REF!</v>
      </c>
      <c r="Q890" t="s">
        <v>873</v>
      </c>
      <c r="R890" s="345">
        <v>-17907.349999999999</v>
      </c>
    </row>
    <row r="891" spans="1:18" x14ac:dyDescent="0.2">
      <c r="A891" s="344" t="s">
        <v>755</v>
      </c>
      <c r="B891" t="s">
        <v>827</v>
      </c>
      <c r="C891" t="s">
        <v>823</v>
      </c>
      <c r="D891" t="s">
        <v>746</v>
      </c>
      <c r="E891" t="s">
        <v>829</v>
      </c>
      <c r="F891" t="s">
        <v>803</v>
      </c>
      <c r="G891" t="s">
        <v>830</v>
      </c>
      <c r="H891" t="s">
        <v>831</v>
      </c>
      <c r="I891" t="s">
        <v>722</v>
      </c>
      <c r="J891" t="s">
        <v>721</v>
      </c>
      <c r="K891"/>
      <c r="L891"/>
      <c r="M891" t="s">
        <v>903</v>
      </c>
      <c r="N891" t="s">
        <v>904</v>
      </c>
      <c r="O891"/>
      <c r="P891" t="e">
        <f>VLOOKUP(N891,#REF!,2,FALSE)</f>
        <v>#REF!</v>
      </c>
      <c r="Q891" t="s">
        <v>873</v>
      </c>
      <c r="R891" s="345">
        <v>96685.57</v>
      </c>
    </row>
    <row r="892" spans="1:18" x14ac:dyDescent="0.2">
      <c r="A892" s="344" t="s">
        <v>756</v>
      </c>
      <c r="B892" t="s">
        <v>827</v>
      </c>
      <c r="C892" t="s">
        <v>823</v>
      </c>
      <c r="D892" t="s">
        <v>746</v>
      </c>
      <c r="E892" t="s">
        <v>829</v>
      </c>
      <c r="F892" t="s">
        <v>803</v>
      </c>
      <c r="G892" t="s">
        <v>830</v>
      </c>
      <c r="H892" t="s">
        <v>831</v>
      </c>
      <c r="I892" t="s">
        <v>722</v>
      </c>
      <c r="J892" t="s">
        <v>721</v>
      </c>
      <c r="K892"/>
      <c r="L892"/>
      <c r="M892" t="s">
        <v>903</v>
      </c>
      <c r="N892" t="s">
        <v>904</v>
      </c>
      <c r="O892"/>
      <c r="P892" t="e">
        <f>VLOOKUP(N892,#REF!,2,FALSE)</f>
        <v>#REF!</v>
      </c>
      <c r="Q892" t="s">
        <v>873</v>
      </c>
      <c r="R892" s="345">
        <v>-778</v>
      </c>
    </row>
    <row r="893" spans="1:18" x14ac:dyDescent="0.2">
      <c r="A893" s="344" t="s">
        <v>757</v>
      </c>
      <c r="B893" t="s">
        <v>827</v>
      </c>
      <c r="C893" t="s">
        <v>823</v>
      </c>
      <c r="D893" t="s">
        <v>746</v>
      </c>
      <c r="E893" t="s">
        <v>829</v>
      </c>
      <c r="F893" t="s">
        <v>803</v>
      </c>
      <c r="G893" t="s">
        <v>830</v>
      </c>
      <c r="H893" t="s">
        <v>831</v>
      </c>
      <c r="I893" t="s">
        <v>722</v>
      </c>
      <c r="J893" t="s">
        <v>721</v>
      </c>
      <c r="K893"/>
      <c r="L893"/>
      <c r="M893" t="s">
        <v>903</v>
      </c>
      <c r="N893" t="s">
        <v>904</v>
      </c>
      <c r="O893"/>
      <c r="P893" t="e">
        <f>VLOOKUP(N893,#REF!,2,FALSE)</f>
        <v>#REF!</v>
      </c>
      <c r="Q893" t="s">
        <v>873</v>
      </c>
      <c r="R893" s="345">
        <v>-692.17</v>
      </c>
    </row>
    <row r="894" spans="1:18" x14ac:dyDescent="0.2">
      <c r="A894" s="344" t="s">
        <v>758</v>
      </c>
      <c r="B894" t="s">
        <v>827</v>
      </c>
      <c r="C894" t="s">
        <v>823</v>
      </c>
      <c r="D894" t="s">
        <v>746</v>
      </c>
      <c r="E894" t="s">
        <v>829</v>
      </c>
      <c r="F894" t="s">
        <v>803</v>
      </c>
      <c r="G894" t="s">
        <v>830</v>
      </c>
      <c r="H894" t="s">
        <v>831</v>
      </c>
      <c r="I894" t="s">
        <v>722</v>
      </c>
      <c r="J894" t="s">
        <v>721</v>
      </c>
      <c r="K894"/>
      <c r="L894"/>
      <c r="M894" t="s">
        <v>903</v>
      </c>
      <c r="N894" t="s">
        <v>904</v>
      </c>
      <c r="O894"/>
      <c r="P894" t="e">
        <f>VLOOKUP(N894,#REF!,2,FALSE)</f>
        <v>#REF!</v>
      </c>
      <c r="Q894" t="s">
        <v>873</v>
      </c>
      <c r="R894" s="345">
        <v>-697.96</v>
      </c>
    </row>
    <row r="895" spans="1:18" x14ac:dyDescent="0.2">
      <c r="A895" s="344" t="s">
        <v>759</v>
      </c>
      <c r="B895" t="s">
        <v>827</v>
      </c>
      <c r="C895" t="s">
        <v>823</v>
      </c>
      <c r="D895" t="s">
        <v>746</v>
      </c>
      <c r="E895" t="s">
        <v>829</v>
      </c>
      <c r="F895" t="s">
        <v>803</v>
      </c>
      <c r="G895" t="s">
        <v>830</v>
      </c>
      <c r="H895" t="s">
        <v>831</v>
      </c>
      <c r="I895" t="s">
        <v>722</v>
      </c>
      <c r="J895" t="s">
        <v>721</v>
      </c>
      <c r="K895"/>
      <c r="L895"/>
      <c r="M895" t="s">
        <v>903</v>
      </c>
      <c r="N895" t="s">
        <v>904</v>
      </c>
      <c r="O895"/>
      <c r="P895" t="e">
        <f>VLOOKUP(N895,#REF!,2,FALSE)</f>
        <v>#REF!</v>
      </c>
      <c r="Q895" t="s">
        <v>873</v>
      </c>
      <c r="R895" s="345">
        <v>-821.73</v>
      </c>
    </row>
    <row r="896" spans="1:18" x14ac:dyDescent="0.2">
      <c r="A896" s="344" t="s">
        <v>743</v>
      </c>
      <c r="B896" t="s">
        <v>827</v>
      </c>
      <c r="C896" t="s">
        <v>823</v>
      </c>
      <c r="D896" t="s">
        <v>746</v>
      </c>
      <c r="E896" t="s">
        <v>829</v>
      </c>
      <c r="F896" t="s">
        <v>803</v>
      </c>
      <c r="G896" t="s">
        <v>830</v>
      </c>
      <c r="H896" t="s">
        <v>831</v>
      </c>
      <c r="I896" t="s">
        <v>722</v>
      </c>
      <c r="J896" t="s">
        <v>721</v>
      </c>
      <c r="K896"/>
      <c r="L896"/>
      <c r="M896" t="s">
        <v>903</v>
      </c>
      <c r="N896" t="s">
        <v>904</v>
      </c>
      <c r="O896"/>
      <c r="P896" t="e">
        <f>VLOOKUP(N896,#REF!,2,FALSE)</f>
        <v>#REF!</v>
      </c>
      <c r="Q896" t="s">
        <v>873</v>
      </c>
      <c r="R896" s="345">
        <v>-1047.95</v>
      </c>
    </row>
    <row r="897" spans="1:18" x14ac:dyDescent="0.2">
      <c r="A897" s="344" t="s">
        <v>760</v>
      </c>
      <c r="B897" t="s">
        <v>827</v>
      </c>
      <c r="C897" t="s">
        <v>823</v>
      </c>
      <c r="D897" t="s">
        <v>746</v>
      </c>
      <c r="E897" t="s">
        <v>829</v>
      </c>
      <c r="F897" t="s">
        <v>803</v>
      </c>
      <c r="G897" t="s">
        <v>830</v>
      </c>
      <c r="H897" t="s">
        <v>831</v>
      </c>
      <c r="I897" t="s">
        <v>722</v>
      </c>
      <c r="J897" t="s">
        <v>721</v>
      </c>
      <c r="K897"/>
      <c r="L897"/>
      <c r="M897" t="s">
        <v>903</v>
      </c>
      <c r="N897" t="s">
        <v>904</v>
      </c>
      <c r="O897"/>
      <c r="P897" t="e">
        <f>VLOOKUP(N897,#REF!,2,FALSE)</f>
        <v>#REF!</v>
      </c>
      <c r="Q897" t="s">
        <v>873</v>
      </c>
      <c r="R897" s="345">
        <v>-2020.84</v>
      </c>
    </row>
    <row r="898" spans="1:18" x14ac:dyDescent="0.2">
      <c r="A898" s="344" t="s">
        <v>745</v>
      </c>
      <c r="B898" t="s">
        <v>827</v>
      </c>
      <c r="C898" t="s">
        <v>823</v>
      </c>
      <c r="D898" t="s">
        <v>746</v>
      </c>
      <c r="E898" t="s">
        <v>829</v>
      </c>
      <c r="F898" t="s">
        <v>803</v>
      </c>
      <c r="G898" t="s">
        <v>830</v>
      </c>
      <c r="H898" t="s">
        <v>831</v>
      </c>
      <c r="I898" t="s">
        <v>722</v>
      </c>
      <c r="J898" t="s">
        <v>721</v>
      </c>
      <c r="K898"/>
      <c r="L898"/>
      <c r="M898" t="s">
        <v>903</v>
      </c>
      <c r="N898" t="s">
        <v>904</v>
      </c>
      <c r="O898"/>
      <c r="P898" t="e">
        <f>VLOOKUP(N898,#REF!,2,FALSE)</f>
        <v>#REF!</v>
      </c>
      <c r="Q898" t="s">
        <v>873</v>
      </c>
      <c r="R898" s="345">
        <v>-3271.69</v>
      </c>
    </row>
    <row r="899" spans="1:18" x14ac:dyDescent="0.2">
      <c r="A899" s="344" t="s">
        <v>749</v>
      </c>
      <c r="B899" t="s">
        <v>827</v>
      </c>
      <c r="C899" t="s">
        <v>823</v>
      </c>
      <c r="D899" t="s">
        <v>746</v>
      </c>
      <c r="E899" t="s">
        <v>829</v>
      </c>
      <c r="F899" t="s">
        <v>803</v>
      </c>
      <c r="G899" t="s">
        <v>830</v>
      </c>
      <c r="H899" t="s">
        <v>831</v>
      </c>
      <c r="I899" t="s">
        <v>722</v>
      </c>
      <c r="J899" t="s">
        <v>721</v>
      </c>
      <c r="K899"/>
      <c r="L899"/>
      <c r="M899" t="s">
        <v>903</v>
      </c>
      <c r="N899" t="s">
        <v>904</v>
      </c>
      <c r="O899"/>
      <c r="P899" t="e">
        <f>VLOOKUP(N899,#REF!,2,FALSE)</f>
        <v>#REF!</v>
      </c>
      <c r="Q899" t="s">
        <v>877</v>
      </c>
      <c r="R899" s="345">
        <v>-754.85</v>
      </c>
    </row>
    <row r="900" spans="1:18" x14ac:dyDescent="0.2">
      <c r="A900" s="344" t="s">
        <v>752</v>
      </c>
      <c r="B900" t="s">
        <v>827</v>
      </c>
      <c r="C900" t="s">
        <v>823</v>
      </c>
      <c r="D900" t="s">
        <v>746</v>
      </c>
      <c r="E900" t="s">
        <v>829</v>
      </c>
      <c r="F900" t="s">
        <v>803</v>
      </c>
      <c r="G900" t="s">
        <v>830</v>
      </c>
      <c r="H900" t="s">
        <v>831</v>
      </c>
      <c r="I900" t="s">
        <v>722</v>
      </c>
      <c r="J900" t="s">
        <v>721</v>
      </c>
      <c r="K900"/>
      <c r="L900"/>
      <c r="M900" t="s">
        <v>903</v>
      </c>
      <c r="N900" t="s">
        <v>904</v>
      </c>
      <c r="O900"/>
      <c r="P900" t="e">
        <f>VLOOKUP(N900,#REF!,2,FALSE)</f>
        <v>#REF!</v>
      </c>
      <c r="Q900" t="s">
        <v>877</v>
      </c>
      <c r="R900" s="345">
        <v>-424.14</v>
      </c>
    </row>
    <row r="901" spans="1:18" x14ac:dyDescent="0.2">
      <c r="A901" s="344" t="s">
        <v>753</v>
      </c>
      <c r="B901" t="s">
        <v>827</v>
      </c>
      <c r="C901" t="s">
        <v>823</v>
      </c>
      <c r="D901" t="s">
        <v>746</v>
      </c>
      <c r="E901" t="s">
        <v>829</v>
      </c>
      <c r="F901" t="s">
        <v>803</v>
      </c>
      <c r="G901" t="s">
        <v>830</v>
      </c>
      <c r="H901" t="s">
        <v>831</v>
      </c>
      <c r="I901" t="s">
        <v>722</v>
      </c>
      <c r="J901" t="s">
        <v>721</v>
      </c>
      <c r="K901"/>
      <c r="L901"/>
      <c r="M901" t="s">
        <v>903</v>
      </c>
      <c r="N901" t="s">
        <v>904</v>
      </c>
      <c r="O901"/>
      <c r="P901" t="e">
        <f>VLOOKUP(N901,#REF!,2,FALSE)</f>
        <v>#REF!</v>
      </c>
      <c r="Q901" t="s">
        <v>877</v>
      </c>
      <c r="R901" s="345">
        <v>-487.7</v>
      </c>
    </row>
    <row r="902" spans="1:18" x14ac:dyDescent="0.2">
      <c r="A902" s="344" t="s">
        <v>754</v>
      </c>
      <c r="B902" t="s">
        <v>827</v>
      </c>
      <c r="C902" t="s">
        <v>823</v>
      </c>
      <c r="D902" t="s">
        <v>746</v>
      </c>
      <c r="E902" t="s">
        <v>829</v>
      </c>
      <c r="F902" t="s">
        <v>803</v>
      </c>
      <c r="G902" t="s">
        <v>830</v>
      </c>
      <c r="H902" t="s">
        <v>831</v>
      </c>
      <c r="I902" t="s">
        <v>722</v>
      </c>
      <c r="J902" t="s">
        <v>721</v>
      </c>
      <c r="K902"/>
      <c r="L902"/>
      <c r="M902" t="s">
        <v>903</v>
      </c>
      <c r="N902" t="s">
        <v>904</v>
      </c>
      <c r="O902"/>
      <c r="P902" t="e">
        <f>VLOOKUP(N902,#REF!,2,FALSE)</f>
        <v>#REF!</v>
      </c>
      <c r="Q902" t="s">
        <v>877</v>
      </c>
      <c r="R902" s="345">
        <v>-212.36</v>
      </c>
    </row>
    <row r="903" spans="1:18" x14ac:dyDescent="0.2">
      <c r="A903" s="344" t="s">
        <v>755</v>
      </c>
      <c r="B903" t="s">
        <v>827</v>
      </c>
      <c r="C903" t="s">
        <v>823</v>
      </c>
      <c r="D903" t="s">
        <v>746</v>
      </c>
      <c r="E903" t="s">
        <v>829</v>
      </c>
      <c r="F903" t="s">
        <v>803</v>
      </c>
      <c r="G903" t="s">
        <v>830</v>
      </c>
      <c r="H903" t="s">
        <v>831</v>
      </c>
      <c r="I903" t="s">
        <v>722</v>
      </c>
      <c r="J903" t="s">
        <v>721</v>
      </c>
      <c r="K903"/>
      <c r="L903"/>
      <c r="M903" t="s">
        <v>903</v>
      </c>
      <c r="N903" t="s">
        <v>904</v>
      </c>
      <c r="O903"/>
      <c r="P903" t="e">
        <f>VLOOKUP(N903,#REF!,2,FALSE)</f>
        <v>#REF!</v>
      </c>
      <c r="Q903" t="s">
        <v>877</v>
      </c>
      <c r="R903" s="345">
        <v>-105.28</v>
      </c>
    </row>
    <row r="904" spans="1:18" x14ac:dyDescent="0.2">
      <c r="A904" s="344" t="s">
        <v>756</v>
      </c>
      <c r="B904" t="s">
        <v>827</v>
      </c>
      <c r="C904" t="s">
        <v>823</v>
      </c>
      <c r="D904" t="s">
        <v>746</v>
      </c>
      <c r="E904" t="s">
        <v>829</v>
      </c>
      <c r="F904" t="s">
        <v>803</v>
      </c>
      <c r="G904" t="s">
        <v>830</v>
      </c>
      <c r="H904" t="s">
        <v>831</v>
      </c>
      <c r="I904" t="s">
        <v>722</v>
      </c>
      <c r="J904" t="s">
        <v>721</v>
      </c>
      <c r="K904"/>
      <c r="L904"/>
      <c r="M904" t="s">
        <v>903</v>
      </c>
      <c r="N904" t="s">
        <v>904</v>
      </c>
      <c r="O904"/>
      <c r="P904" t="e">
        <f>VLOOKUP(N904,#REF!,2,FALSE)</f>
        <v>#REF!</v>
      </c>
      <c r="Q904" t="s">
        <v>877</v>
      </c>
      <c r="R904" s="345">
        <v>-96.19</v>
      </c>
    </row>
    <row r="905" spans="1:18" x14ac:dyDescent="0.2">
      <c r="A905" s="344" t="s">
        <v>757</v>
      </c>
      <c r="B905" t="s">
        <v>827</v>
      </c>
      <c r="C905" t="s">
        <v>823</v>
      </c>
      <c r="D905" t="s">
        <v>746</v>
      </c>
      <c r="E905" t="s">
        <v>829</v>
      </c>
      <c r="F905" t="s">
        <v>803</v>
      </c>
      <c r="G905" t="s">
        <v>830</v>
      </c>
      <c r="H905" t="s">
        <v>831</v>
      </c>
      <c r="I905" t="s">
        <v>722</v>
      </c>
      <c r="J905" t="s">
        <v>721</v>
      </c>
      <c r="K905"/>
      <c r="L905"/>
      <c r="M905" t="s">
        <v>903</v>
      </c>
      <c r="N905" t="s">
        <v>904</v>
      </c>
      <c r="O905"/>
      <c r="P905" t="e">
        <f>VLOOKUP(N905,#REF!,2,FALSE)</f>
        <v>#REF!</v>
      </c>
      <c r="Q905" t="s">
        <v>877</v>
      </c>
      <c r="R905" s="345">
        <v>-166.76</v>
      </c>
    </row>
    <row r="906" spans="1:18" x14ac:dyDescent="0.2">
      <c r="A906" s="344" t="s">
        <v>758</v>
      </c>
      <c r="B906" t="s">
        <v>827</v>
      </c>
      <c r="C906" t="s">
        <v>823</v>
      </c>
      <c r="D906" t="s">
        <v>746</v>
      </c>
      <c r="E906" t="s">
        <v>829</v>
      </c>
      <c r="F906" t="s">
        <v>803</v>
      </c>
      <c r="G906" t="s">
        <v>830</v>
      </c>
      <c r="H906" t="s">
        <v>831</v>
      </c>
      <c r="I906" t="s">
        <v>722</v>
      </c>
      <c r="J906" t="s">
        <v>721</v>
      </c>
      <c r="K906"/>
      <c r="L906"/>
      <c r="M906" t="s">
        <v>903</v>
      </c>
      <c r="N906" t="s">
        <v>904</v>
      </c>
      <c r="O906"/>
      <c r="P906" t="e">
        <f>VLOOKUP(N906,#REF!,2,FALSE)</f>
        <v>#REF!</v>
      </c>
      <c r="Q906" t="s">
        <v>877</v>
      </c>
      <c r="R906" s="345">
        <v>-108.12</v>
      </c>
    </row>
    <row r="907" spans="1:18" x14ac:dyDescent="0.2">
      <c r="A907" s="344" t="s">
        <v>759</v>
      </c>
      <c r="B907" t="s">
        <v>827</v>
      </c>
      <c r="C907" t="s">
        <v>823</v>
      </c>
      <c r="D907" t="s">
        <v>746</v>
      </c>
      <c r="E907" t="s">
        <v>829</v>
      </c>
      <c r="F907" t="s">
        <v>803</v>
      </c>
      <c r="G907" t="s">
        <v>830</v>
      </c>
      <c r="H907" t="s">
        <v>831</v>
      </c>
      <c r="I907" t="s">
        <v>722</v>
      </c>
      <c r="J907" t="s">
        <v>721</v>
      </c>
      <c r="K907"/>
      <c r="L907"/>
      <c r="M907" t="s">
        <v>903</v>
      </c>
      <c r="N907" t="s">
        <v>904</v>
      </c>
      <c r="O907"/>
      <c r="P907" t="e">
        <f>VLOOKUP(N907,#REF!,2,FALSE)</f>
        <v>#REF!</v>
      </c>
      <c r="Q907" t="s">
        <v>877</v>
      </c>
      <c r="R907" s="345">
        <v>-70.27</v>
      </c>
    </row>
    <row r="908" spans="1:18" x14ac:dyDescent="0.2">
      <c r="A908" s="344" t="s">
        <v>743</v>
      </c>
      <c r="B908" t="s">
        <v>827</v>
      </c>
      <c r="C908" t="s">
        <v>823</v>
      </c>
      <c r="D908" t="s">
        <v>746</v>
      </c>
      <c r="E908" t="s">
        <v>829</v>
      </c>
      <c r="F908" t="s">
        <v>803</v>
      </c>
      <c r="G908" t="s">
        <v>830</v>
      </c>
      <c r="H908" t="s">
        <v>831</v>
      </c>
      <c r="I908" t="s">
        <v>722</v>
      </c>
      <c r="J908" t="s">
        <v>721</v>
      </c>
      <c r="K908"/>
      <c r="L908"/>
      <c r="M908" t="s">
        <v>903</v>
      </c>
      <c r="N908" t="s">
        <v>904</v>
      </c>
      <c r="O908"/>
      <c r="P908" t="e">
        <f>VLOOKUP(N908,#REF!,2,FALSE)</f>
        <v>#REF!</v>
      </c>
      <c r="Q908" t="s">
        <v>877</v>
      </c>
      <c r="R908" s="345">
        <v>-263.77999999999997</v>
      </c>
    </row>
    <row r="909" spans="1:18" x14ac:dyDescent="0.2">
      <c r="A909" s="344" t="s">
        <v>760</v>
      </c>
      <c r="B909" t="s">
        <v>827</v>
      </c>
      <c r="C909" t="s">
        <v>823</v>
      </c>
      <c r="D909" t="s">
        <v>746</v>
      </c>
      <c r="E909" t="s">
        <v>829</v>
      </c>
      <c r="F909" t="s">
        <v>803</v>
      </c>
      <c r="G909" t="s">
        <v>830</v>
      </c>
      <c r="H909" t="s">
        <v>831</v>
      </c>
      <c r="I909" t="s">
        <v>722</v>
      </c>
      <c r="J909" t="s">
        <v>721</v>
      </c>
      <c r="K909"/>
      <c r="L909"/>
      <c r="M909" t="s">
        <v>903</v>
      </c>
      <c r="N909" t="s">
        <v>904</v>
      </c>
      <c r="O909"/>
      <c r="P909" t="e">
        <f>VLOOKUP(N909,#REF!,2,FALSE)</f>
        <v>#REF!</v>
      </c>
      <c r="Q909" t="s">
        <v>877</v>
      </c>
      <c r="R909" s="345">
        <v>-400.41</v>
      </c>
    </row>
    <row r="910" spans="1:18" x14ac:dyDescent="0.2">
      <c r="A910" s="344" t="s">
        <v>745</v>
      </c>
      <c r="B910" t="s">
        <v>827</v>
      </c>
      <c r="C910" t="s">
        <v>823</v>
      </c>
      <c r="D910" t="s">
        <v>746</v>
      </c>
      <c r="E910" t="s">
        <v>829</v>
      </c>
      <c r="F910" t="s">
        <v>803</v>
      </c>
      <c r="G910" t="s">
        <v>830</v>
      </c>
      <c r="H910" t="s">
        <v>831</v>
      </c>
      <c r="I910" t="s">
        <v>722</v>
      </c>
      <c r="J910" t="s">
        <v>721</v>
      </c>
      <c r="K910"/>
      <c r="L910"/>
      <c r="M910" t="s">
        <v>903</v>
      </c>
      <c r="N910" t="s">
        <v>904</v>
      </c>
      <c r="O910"/>
      <c r="P910" t="e">
        <f>VLOOKUP(N910,#REF!,2,FALSE)</f>
        <v>#REF!</v>
      </c>
      <c r="Q910" t="s">
        <v>877</v>
      </c>
      <c r="R910" s="345">
        <v>-662.85</v>
      </c>
    </row>
    <row r="911" spans="1:18" x14ac:dyDescent="0.2">
      <c r="A911" s="344" t="s">
        <v>749</v>
      </c>
      <c r="B911" t="s">
        <v>827</v>
      </c>
      <c r="C911" t="s">
        <v>823</v>
      </c>
      <c r="D911" t="s">
        <v>746</v>
      </c>
      <c r="E911" t="s">
        <v>829</v>
      </c>
      <c r="F911" t="s">
        <v>803</v>
      </c>
      <c r="G911" t="s">
        <v>830</v>
      </c>
      <c r="H911" t="s">
        <v>831</v>
      </c>
      <c r="I911" t="s">
        <v>722</v>
      </c>
      <c r="J911" t="s">
        <v>721</v>
      </c>
      <c r="K911"/>
      <c r="L911"/>
      <c r="M911" t="s">
        <v>903</v>
      </c>
      <c r="N911" t="s">
        <v>904</v>
      </c>
      <c r="O911"/>
      <c r="P911" t="e">
        <f>VLOOKUP(N911,#REF!,2,FALSE)</f>
        <v>#REF!</v>
      </c>
      <c r="Q911" t="s">
        <v>880</v>
      </c>
      <c r="R911" s="345">
        <v>-23017.53</v>
      </c>
    </row>
    <row r="912" spans="1:18" x14ac:dyDescent="0.2">
      <c r="A912" s="344" t="s">
        <v>752</v>
      </c>
      <c r="B912" t="s">
        <v>827</v>
      </c>
      <c r="C912" t="s">
        <v>823</v>
      </c>
      <c r="D912" t="s">
        <v>746</v>
      </c>
      <c r="E912" t="s">
        <v>829</v>
      </c>
      <c r="F912" t="s">
        <v>803</v>
      </c>
      <c r="G912" t="s">
        <v>830</v>
      </c>
      <c r="H912" t="s">
        <v>831</v>
      </c>
      <c r="I912" t="s">
        <v>722</v>
      </c>
      <c r="J912" t="s">
        <v>721</v>
      </c>
      <c r="K912"/>
      <c r="L912"/>
      <c r="M912" t="s">
        <v>903</v>
      </c>
      <c r="N912" t="s">
        <v>904</v>
      </c>
      <c r="O912"/>
      <c r="P912" t="e">
        <f>VLOOKUP(N912,#REF!,2,FALSE)</f>
        <v>#REF!</v>
      </c>
      <c r="Q912" t="s">
        <v>880</v>
      </c>
      <c r="R912" s="345">
        <v>-13612.67</v>
      </c>
    </row>
    <row r="913" spans="1:18" x14ac:dyDescent="0.2">
      <c r="A913" s="344" t="s">
        <v>753</v>
      </c>
      <c r="B913" t="s">
        <v>827</v>
      </c>
      <c r="C913" t="s">
        <v>823</v>
      </c>
      <c r="D913" t="s">
        <v>746</v>
      </c>
      <c r="E913" t="s">
        <v>829</v>
      </c>
      <c r="F913" t="s">
        <v>803</v>
      </c>
      <c r="G913" t="s">
        <v>830</v>
      </c>
      <c r="H913" t="s">
        <v>831</v>
      </c>
      <c r="I913" t="s">
        <v>722</v>
      </c>
      <c r="J913" t="s">
        <v>721</v>
      </c>
      <c r="K913"/>
      <c r="L913"/>
      <c r="M913" t="s">
        <v>903</v>
      </c>
      <c r="N913" t="s">
        <v>904</v>
      </c>
      <c r="O913"/>
      <c r="P913" t="e">
        <f>VLOOKUP(N913,#REF!,2,FALSE)</f>
        <v>#REF!</v>
      </c>
      <c r="Q913" t="s">
        <v>880</v>
      </c>
      <c r="R913" s="345">
        <v>-11709.59</v>
      </c>
    </row>
    <row r="914" spans="1:18" x14ac:dyDescent="0.2">
      <c r="A914" s="344" t="s">
        <v>754</v>
      </c>
      <c r="B914" t="s">
        <v>827</v>
      </c>
      <c r="C914" t="s">
        <v>823</v>
      </c>
      <c r="D914" t="s">
        <v>746</v>
      </c>
      <c r="E914" t="s">
        <v>829</v>
      </c>
      <c r="F914" t="s">
        <v>803</v>
      </c>
      <c r="G914" t="s">
        <v>830</v>
      </c>
      <c r="H914" t="s">
        <v>831</v>
      </c>
      <c r="I914" t="s">
        <v>722</v>
      </c>
      <c r="J914" t="s">
        <v>721</v>
      </c>
      <c r="K914"/>
      <c r="L914"/>
      <c r="M914" t="s">
        <v>903</v>
      </c>
      <c r="N914" t="s">
        <v>904</v>
      </c>
      <c r="O914"/>
      <c r="P914" t="e">
        <f>VLOOKUP(N914,#REF!,2,FALSE)</f>
        <v>#REF!</v>
      </c>
      <c r="Q914" t="s">
        <v>880</v>
      </c>
      <c r="R914" s="345">
        <v>-5128.3599999999997</v>
      </c>
    </row>
    <row r="915" spans="1:18" x14ac:dyDescent="0.2">
      <c r="A915" s="344" t="s">
        <v>755</v>
      </c>
      <c r="B915" t="s">
        <v>827</v>
      </c>
      <c r="C915" t="s">
        <v>823</v>
      </c>
      <c r="D915" t="s">
        <v>746</v>
      </c>
      <c r="E915" t="s">
        <v>829</v>
      </c>
      <c r="F915" t="s">
        <v>803</v>
      </c>
      <c r="G915" t="s">
        <v>830</v>
      </c>
      <c r="H915" t="s">
        <v>831</v>
      </c>
      <c r="I915" t="s">
        <v>722</v>
      </c>
      <c r="J915" t="s">
        <v>721</v>
      </c>
      <c r="K915"/>
      <c r="L915"/>
      <c r="M915" t="s">
        <v>903</v>
      </c>
      <c r="N915" t="s">
        <v>904</v>
      </c>
      <c r="O915"/>
      <c r="P915" t="e">
        <f>VLOOKUP(N915,#REF!,2,FALSE)</f>
        <v>#REF!</v>
      </c>
      <c r="Q915" t="s">
        <v>880</v>
      </c>
      <c r="R915" s="345">
        <v>-4569.92</v>
      </c>
    </row>
    <row r="916" spans="1:18" x14ac:dyDescent="0.2">
      <c r="A916" s="344" t="s">
        <v>756</v>
      </c>
      <c r="B916" t="s">
        <v>827</v>
      </c>
      <c r="C916" t="s">
        <v>823</v>
      </c>
      <c r="D916" t="s">
        <v>746</v>
      </c>
      <c r="E916" t="s">
        <v>829</v>
      </c>
      <c r="F916" t="s">
        <v>803</v>
      </c>
      <c r="G916" t="s">
        <v>830</v>
      </c>
      <c r="H916" t="s">
        <v>831</v>
      </c>
      <c r="I916" t="s">
        <v>722</v>
      </c>
      <c r="J916" t="s">
        <v>721</v>
      </c>
      <c r="K916"/>
      <c r="L916"/>
      <c r="M916" t="s">
        <v>903</v>
      </c>
      <c r="N916" t="s">
        <v>904</v>
      </c>
      <c r="O916"/>
      <c r="P916" t="e">
        <f>VLOOKUP(N916,#REF!,2,FALSE)</f>
        <v>#REF!</v>
      </c>
      <c r="Q916" t="s">
        <v>880</v>
      </c>
      <c r="R916" s="345">
        <v>-5233.63</v>
      </c>
    </row>
    <row r="917" spans="1:18" x14ac:dyDescent="0.2">
      <c r="A917" s="344" t="s">
        <v>757</v>
      </c>
      <c r="B917" t="s">
        <v>827</v>
      </c>
      <c r="C917" t="s">
        <v>823</v>
      </c>
      <c r="D917" t="s">
        <v>746</v>
      </c>
      <c r="E917" t="s">
        <v>829</v>
      </c>
      <c r="F917" t="s">
        <v>803</v>
      </c>
      <c r="G917" t="s">
        <v>830</v>
      </c>
      <c r="H917" t="s">
        <v>831</v>
      </c>
      <c r="I917" t="s">
        <v>722</v>
      </c>
      <c r="J917" t="s">
        <v>721</v>
      </c>
      <c r="K917"/>
      <c r="L917"/>
      <c r="M917" t="s">
        <v>903</v>
      </c>
      <c r="N917" t="s">
        <v>904</v>
      </c>
      <c r="O917"/>
      <c r="P917" t="e">
        <f>VLOOKUP(N917,#REF!,2,FALSE)</f>
        <v>#REF!</v>
      </c>
      <c r="Q917" t="s">
        <v>880</v>
      </c>
      <c r="R917" s="345">
        <v>-6313.36</v>
      </c>
    </row>
    <row r="918" spans="1:18" x14ac:dyDescent="0.2">
      <c r="A918" s="344" t="s">
        <v>758</v>
      </c>
      <c r="B918" t="s">
        <v>827</v>
      </c>
      <c r="C918" t="s">
        <v>823</v>
      </c>
      <c r="D918" t="s">
        <v>746</v>
      </c>
      <c r="E918" t="s">
        <v>829</v>
      </c>
      <c r="F918" t="s">
        <v>803</v>
      </c>
      <c r="G918" t="s">
        <v>830</v>
      </c>
      <c r="H918" t="s">
        <v>831</v>
      </c>
      <c r="I918" t="s">
        <v>722</v>
      </c>
      <c r="J918" t="s">
        <v>721</v>
      </c>
      <c r="K918"/>
      <c r="L918"/>
      <c r="M918" t="s">
        <v>903</v>
      </c>
      <c r="N918" t="s">
        <v>904</v>
      </c>
      <c r="O918"/>
      <c r="P918" t="e">
        <f>VLOOKUP(N918,#REF!,2,FALSE)</f>
        <v>#REF!</v>
      </c>
      <c r="Q918" t="s">
        <v>880</v>
      </c>
      <c r="R918" s="345">
        <v>-5407.48</v>
      </c>
    </row>
    <row r="919" spans="1:18" x14ac:dyDescent="0.2">
      <c r="A919" s="344" t="s">
        <v>759</v>
      </c>
      <c r="B919" t="s">
        <v>827</v>
      </c>
      <c r="C919" t="s">
        <v>823</v>
      </c>
      <c r="D919" t="s">
        <v>746</v>
      </c>
      <c r="E919" t="s">
        <v>829</v>
      </c>
      <c r="F919" t="s">
        <v>803</v>
      </c>
      <c r="G919" t="s">
        <v>830</v>
      </c>
      <c r="H919" t="s">
        <v>831</v>
      </c>
      <c r="I919" t="s">
        <v>722</v>
      </c>
      <c r="J919" t="s">
        <v>721</v>
      </c>
      <c r="K919"/>
      <c r="L919"/>
      <c r="M919" t="s">
        <v>903</v>
      </c>
      <c r="N919" t="s">
        <v>904</v>
      </c>
      <c r="O919"/>
      <c r="P919" t="e">
        <f>VLOOKUP(N919,#REF!,2,FALSE)</f>
        <v>#REF!</v>
      </c>
      <c r="Q919" t="s">
        <v>880</v>
      </c>
      <c r="R919" s="345">
        <v>-6062.21</v>
      </c>
    </row>
    <row r="920" spans="1:18" x14ac:dyDescent="0.2">
      <c r="A920" s="344" t="s">
        <v>743</v>
      </c>
      <c r="B920" t="s">
        <v>827</v>
      </c>
      <c r="C920" t="s">
        <v>823</v>
      </c>
      <c r="D920" t="s">
        <v>746</v>
      </c>
      <c r="E920" t="s">
        <v>829</v>
      </c>
      <c r="F920" t="s">
        <v>803</v>
      </c>
      <c r="G920" t="s">
        <v>830</v>
      </c>
      <c r="H920" t="s">
        <v>831</v>
      </c>
      <c r="I920" t="s">
        <v>722</v>
      </c>
      <c r="J920" t="s">
        <v>721</v>
      </c>
      <c r="K920"/>
      <c r="L920"/>
      <c r="M920" t="s">
        <v>903</v>
      </c>
      <c r="N920" t="s">
        <v>904</v>
      </c>
      <c r="O920"/>
      <c r="P920" t="e">
        <f>VLOOKUP(N920,#REF!,2,FALSE)</f>
        <v>#REF!</v>
      </c>
      <c r="Q920" t="s">
        <v>880</v>
      </c>
      <c r="R920" s="345">
        <v>-8607.4599999999991</v>
      </c>
    </row>
    <row r="921" spans="1:18" x14ac:dyDescent="0.2">
      <c r="A921" s="344" t="s">
        <v>760</v>
      </c>
      <c r="B921" t="s">
        <v>827</v>
      </c>
      <c r="C921" t="s">
        <v>823</v>
      </c>
      <c r="D921" t="s">
        <v>746</v>
      </c>
      <c r="E921" t="s">
        <v>829</v>
      </c>
      <c r="F921" t="s">
        <v>803</v>
      </c>
      <c r="G921" t="s">
        <v>830</v>
      </c>
      <c r="H921" t="s">
        <v>831</v>
      </c>
      <c r="I921" t="s">
        <v>722</v>
      </c>
      <c r="J921" t="s">
        <v>721</v>
      </c>
      <c r="K921"/>
      <c r="L921"/>
      <c r="M921" t="s">
        <v>903</v>
      </c>
      <c r="N921" t="s">
        <v>904</v>
      </c>
      <c r="O921"/>
      <c r="P921" t="e">
        <f>VLOOKUP(N921,#REF!,2,FALSE)</f>
        <v>#REF!</v>
      </c>
      <c r="Q921" t="s">
        <v>880</v>
      </c>
      <c r="R921" s="345">
        <v>-14557.59</v>
      </c>
    </row>
    <row r="922" spans="1:18" x14ac:dyDescent="0.2">
      <c r="A922" s="344" t="s">
        <v>745</v>
      </c>
      <c r="B922" t="s">
        <v>827</v>
      </c>
      <c r="C922" t="s">
        <v>823</v>
      </c>
      <c r="D922" t="s">
        <v>746</v>
      </c>
      <c r="E922" t="s">
        <v>829</v>
      </c>
      <c r="F922" t="s">
        <v>803</v>
      </c>
      <c r="G922" t="s">
        <v>830</v>
      </c>
      <c r="H922" t="s">
        <v>831</v>
      </c>
      <c r="I922" t="s">
        <v>722</v>
      </c>
      <c r="J922" t="s">
        <v>721</v>
      </c>
      <c r="K922"/>
      <c r="L922"/>
      <c r="M922" t="s">
        <v>903</v>
      </c>
      <c r="N922" t="s">
        <v>904</v>
      </c>
      <c r="O922"/>
      <c r="P922" t="e">
        <f>VLOOKUP(N922,#REF!,2,FALSE)</f>
        <v>#REF!</v>
      </c>
      <c r="Q922" t="s">
        <v>880</v>
      </c>
      <c r="R922" s="345">
        <v>-24332.52</v>
      </c>
    </row>
    <row r="923" spans="1:18" x14ac:dyDescent="0.2">
      <c r="A923" s="344" t="s">
        <v>749</v>
      </c>
      <c r="B923" t="s">
        <v>827</v>
      </c>
      <c r="C923" t="s">
        <v>823</v>
      </c>
      <c r="D923" t="s">
        <v>746</v>
      </c>
      <c r="E923" t="s">
        <v>829</v>
      </c>
      <c r="F923" t="s">
        <v>803</v>
      </c>
      <c r="G923" t="s">
        <v>830</v>
      </c>
      <c r="H923" t="s">
        <v>831</v>
      </c>
      <c r="I923" t="s">
        <v>722</v>
      </c>
      <c r="J923" t="s">
        <v>721</v>
      </c>
      <c r="K923"/>
      <c r="L923"/>
      <c r="M923" t="s">
        <v>905</v>
      </c>
      <c r="N923" t="s">
        <v>906</v>
      </c>
      <c r="O923"/>
      <c r="P923" t="e">
        <f>VLOOKUP(N923,#REF!,2,FALSE)</f>
        <v>#REF!</v>
      </c>
      <c r="Q923" t="s">
        <v>856</v>
      </c>
      <c r="R923" s="345">
        <v>-2469.39</v>
      </c>
    </row>
    <row r="924" spans="1:18" x14ac:dyDescent="0.2">
      <c r="A924" s="344" t="s">
        <v>752</v>
      </c>
      <c r="B924" t="s">
        <v>827</v>
      </c>
      <c r="C924" t="s">
        <v>823</v>
      </c>
      <c r="D924" t="s">
        <v>746</v>
      </c>
      <c r="E924" t="s">
        <v>829</v>
      </c>
      <c r="F924" t="s">
        <v>803</v>
      </c>
      <c r="G924" t="s">
        <v>830</v>
      </c>
      <c r="H924" t="s">
        <v>831</v>
      </c>
      <c r="I924" t="s">
        <v>722</v>
      </c>
      <c r="J924" t="s">
        <v>721</v>
      </c>
      <c r="K924"/>
      <c r="L924"/>
      <c r="M924" t="s">
        <v>905</v>
      </c>
      <c r="N924" t="s">
        <v>906</v>
      </c>
      <c r="O924"/>
      <c r="P924" t="e">
        <f>VLOOKUP(N924,#REF!,2,FALSE)</f>
        <v>#REF!</v>
      </c>
      <c r="Q924" t="s">
        <v>856</v>
      </c>
      <c r="R924" s="345">
        <v>0</v>
      </c>
    </row>
    <row r="925" spans="1:18" x14ac:dyDescent="0.2">
      <c r="A925" s="344" t="s">
        <v>753</v>
      </c>
      <c r="B925" t="s">
        <v>827</v>
      </c>
      <c r="C925" t="s">
        <v>823</v>
      </c>
      <c r="D925" t="s">
        <v>746</v>
      </c>
      <c r="E925" t="s">
        <v>829</v>
      </c>
      <c r="F925" t="s">
        <v>803</v>
      </c>
      <c r="G925" t="s">
        <v>830</v>
      </c>
      <c r="H925" t="s">
        <v>831</v>
      </c>
      <c r="I925" t="s">
        <v>722</v>
      </c>
      <c r="J925" t="s">
        <v>721</v>
      </c>
      <c r="K925"/>
      <c r="L925"/>
      <c r="M925" t="s">
        <v>905</v>
      </c>
      <c r="N925" t="s">
        <v>906</v>
      </c>
      <c r="O925"/>
      <c r="P925" t="e">
        <f>VLOOKUP(N925,#REF!,2,FALSE)</f>
        <v>#REF!</v>
      </c>
      <c r="Q925" t="s">
        <v>856</v>
      </c>
      <c r="R925" s="345">
        <v>-2763.69</v>
      </c>
    </row>
    <row r="926" spans="1:18" x14ac:dyDescent="0.2">
      <c r="A926" s="344" t="s">
        <v>754</v>
      </c>
      <c r="B926" t="s">
        <v>827</v>
      </c>
      <c r="C926" t="s">
        <v>823</v>
      </c>
      <c r="D926" t="s">
        <v>746</v>
      </c>
      <c r="E926" t="s">
        <v>829</v>
      </c>
      <c r="F926" t="s">
        <v>803</v>
      </c>
      <c r="G926" t="s">
        <v>830</v>
      </c>
      <c r="H926" t="s">
        <v>831</v>
      </c>
      <c r="I926" t="s">
        <v>722</v>
      </c>
      <c r="J926" t="s">
        <v>721</v>
      </c>
      <c r="K926"/>
      <c r="L926"/>
      <c r="M926" t="s">
        <v>905</v>
      </c>
      <c r="N926" t="s">
        <v>906</v>
      </c>
      <c r="O926"/>
      <c r="P926" t="e">
        <f>VLOOKUP(N926,#REF!,2,FALSE)</f>
        <v>#REF!</v>
      </c>
      <c r="Q926" t="s">
        <v>856</v>
      </c>
      <c r="R926" s="345">
        <v>-239.93</v>
      </c>
    </row>
    <row r="927" spans="1:18" x14ac:dyDescent="0.2">
      <c r="A927" s="344" t="s">
        <v>743</v>
      </c>
      <c r="B927" t="s">
        <v>827</v>
      </c>
      <c r="C927" t="s">
        <v>823</v>
      </c>
      <c r="D927" t="s">
        <v>746</v>
      </c>
      <c r="E927" t="s">
        <v>829</v>
      </c>
      <c r="F927" t="s">
        <v>803</v>
      </c>
      <c r="G927" t="s">
        <v>830</v>
      </c>
      <c r="H927" t="s">
        <v>831</v>
      </c>
      <c r="I927" t="s">
        <v>722</v>
      </c>
      <c r="J927" t="s">
        <v>721</v>
      </c>
      <c r="K927"/>
      <c r="L927"/>
      <c r="M927" t="s">
        <v>905</v>
      </c>
      <c r="N927" t="s">
        <v>906</v>
      </c>
      <c r="O927"/>
      <c r="P927" t="e">
        <f>VLOOKUP(N927,#REF!,2,FALSE)</f>
        <v>#REF!</v>
      </c>
      <c r="Q927" t="s">
        <v>856</v>
      </c>
      <c r="R927" s="345">
        <v>-10754.77</v>
      </c>
    </row>
    <row r="928" spans="1:18" x14ac:dyDescent="0.2">
      <c r="A928" s="344" t="s">
        <v>749</v>
      </c>
      <c r="B928" t="s">
        <v>827</v>
      </c>
      <c r="C928" t="s">
        <v>823</v>
      </c>
      <c r="D928" t="s">
        <v>746</v>
      </c>
      <c r="E928" t="s">
        <v>829</v>
      </c>
      <c r="F928" t="s">
        <v>803</v>
      </c>
      <c r="G928" t="s">
        <v>830</v>
      </c>
      <c r="H928" t="s">
        <v>831</v>
      </c>
      <c r="I928" t="s">
        <v>722</v>
      </c>
      <c r="J928" t="s">
        <v>721</v>
      </c>
      <c r="K928"/>
      <c r="L928"/>
      <c r="M928" t="s">
        <v>905</v>
      </c>
      <c r="N928" t="s">
        <v>906</v>
      </c>
      <c r="O928"/>
      <c r="P928" t="e">
        <f>VLOOKUP(N928,#REF!,2,FALSE)</f>
        <v>#REF!</v>
      </c>
      <c r="Q928" t="s">
        <v>873</v>
      </c>
      <c r="R928" s="345">
        <v>-51659.82</v>
      </c>
    </row>
    <row r="929" spans="1:18" x14ac:dyDescent="0.2">
      <c r="A929" s="344" t="s">
        <v>752</v>
      </c>
      <c r="B929" t="s">
        <v>827</v>
      </c>
      <c r="C929" t="s">
        <v>823</v>
      </c>
      <c r="D929" t="s">
        <v>746</v>
      </c>
      <c r="E929" t="s">
        <v>829</v>
      </c>
      <c r="F929" t="s">
        <v>803</v>
      </c>
      <c r="G929" t="s">
        <v>830</v>
      </c>
      <c r="H929" t="s">
        <v>831</v>
      </c>
      <c r="I929" t="s">
        <v>722</v>
      </c>
      <c r="J929" t="s">
        <v>721</v>
      </c>
      <c r="K929"/>
      <c r="L929"/>
      <c r="M929" t="s">
        <v>905</v>
      </c>
      <c r="N929" t="s">
        <v>906</v>
      </c>
      <c r="O929"/>
      <c r="P929" t="e">
        <f>VLOOKUP(N929,#REF!,2,FALSE)</f>
        <v>#REF!</v>
      </c>
      <c r="Q929" t="s">
        <v>873</v>
      </c>
      <c r="R929" s="345">
        <v>-15709.69</v>
      </c>
    </row>
    <row r="930" spans="1:18" x14ac:dyDescent="0.2">
      <c r="A930" s="344" t="s">
        <v>753</v>
      </c>
      <c r="B930" t="s">
        <v>827</v>
      </c>
      <c r="C930" t="s">
        <v>823</v>
      </c>
      <c r="D930" t="s">
        <v>746</v>
      </c>
      <c r="E930" t="s">
        <v>829</v>
      </c>
      <c r="F930" t="s">
        <v>803</v>
      </c>
      <c r="G930" t="s">
        <v>830</v>
      </c>
      <c r="H930" t="s">
        <v>831</v>
      </c>
      <c r="I930" t="s">
        <v>722</v>
      </c>
      <c r="J930" t="s">
        <v>721</v>
      </c>
      <c r="K930"/>
      <c r="L930"/>
      <c r="M930" t="s">
        <v>905</v>
      </c>
      <c r="N930" t="s">
        <v>906</v>
      </c>
      <c r="O930"/>
      <c r="P930" t="e">
        <f>VLOOKUP(N930,#REF!,2,FALSE)</f>
        <v>#REF!</v>
      </c>
      <c r="Q930" t="s">
        <v>873</v>
      </c>
      <c r="R930" s="345">
        <v>-149.76</v>
      </c>
    </row>
    <row r="931" spans="1:18" x14ac:dyDescent="0.2">
      <c r="A931" s="344" t="s">
        <v>754</v>
      </c>
      <c r="B931" t="s">
        <v>827</v>
      </c>
      <c r="C931" t="s">
        <v>823</v>
      </c>
      <c r="D931" t="s">
        <v>746</v>
      </c>
      <c r="E931" t="s">
        <v>829</v>
      </c>
      <c r="F931" t="s">
        <v>803</v>
      </c>
      <c r="G931" t="s">
        <v>830</v>
      </c>
      <c r="H931" t="s">
        <v>831</v>
      </c>
      <c r="I931" t="s">
        <v>722</v>
      </c>
      <c r="J931" t="s">
        <v>721</v>
      </c>
      <c r="K931"/>
      <c r="L931"/>
      <c r="M931" t="s">
        <v>905</v>
      </c>
      <c r="N931" t="s">
        <v>906</v>
      </c>
      <c r="O931"/>
      <c r="P931" t="e">
        <f>VLOOKUP(N931,#REF!,2,FALSE)</f>
        <v>#REF!</v>
      </c>
      <c r="Q931" t="s">
        <v>873</v>
      </c>
      <c r="R931" s="345">
        <v>-42471.71</v>
      </c>
    </row>
    <row r="932" spans="1:18" x14ac:dyDescent="0.2">
      <c r="A932" s="344" t="s">
        <v>755</v>
      </c>
      <c r="B932" t="s">
        <v>827</v>
      </c>
      <c r="C932" t="s">
        <v>823</v>
      </c>
      <c r="D932" t="s">
        <v>746</v>
      </c>
      <c r="E932" t="s">
        <v>829</v>
      </c>
      <c r="F932" t="s">
        <v>803</v>
      </c>
      <c r="G932" t="s">
        <v>830</v>
      </c>
      <c r="H932" t="s">
        <v>831</v>
      </c>
      <c r="I932" t="s">
        <v>722</v>
      </c>
      <c r="J932" t="s">
        <v>721</v>
      </c>
      <c r="K932"/>
      <c r="L932"/>
      <c r="M932" t="s">
        <v>905</v>
      </c>
      <c r="N932" t="s">
        <v>906</v>
      </c>
      <c r="O932"/>
      <c r="P932" t="e">
        <f>VLOOKUP(N932,#REF!,2,FALSE)</f>
        <v>#REF!</v>
      </c>
      <c r="Q932" t="s">
        <v>873</v>
      </c>
      <c r="R932" s="345">
        <v>25907.75</v>
      </c>
    </row>
    <row r="933" spans="1:18" x14ac:dyDescent="0.2">
      <c r="A933" s="344" t="s">
        <v>757</v>
      </c>
      <c r="B933" t="s">
        <v>827</v>
      </c>
      <c r="C933" t="s">
        <v>823</v>
      </c>
      <c r="D933" t="s">
        <v>746</v>
      </c>
      <c r="E933" t="s">
        <v>829</v>
      </c>
      <c r="F933" t="s">
        <v>803</v>
      </c>
      <c r="G933" t="s">
        <v>830</v>
      </c>
      <c r="H933" t="s">
        <v>831</v>
      </c>
      <c r="I933" t="s">
        <v>722</v>
      </c>
      <c r="J933" t="s">
        <v>721</v>
      </c>
      <c r="K933"/>
      <c r="L933"/>
      <c r="M933" t="s">
        <v>905</v>
      </c>
      <c r="N933" t="s">
        <v>906</v>
      </c>
      <c r="O933"/>
      <c r="P933" t="e">
        <f>VLOOKUP(N933,#REF!,2,FALSE)</f>
        <v>#REF!</v>
      </c>
      <c r="Q933" t="s">
        <v>873</v>
      </c>
      <c r="R933" s="345">
        <v>-27606.62</v>
      </c>
    </row>
    <row r="934" spans="1:18" x14ac:dyDescent="0.2">
      <c r="A934" s="344" t="s">
        <v>760</v>
      </c>
      <c r="B934" t="s">
        <v>827</v>
      </c>
      <c r="C934" t="s">
        <v>823</v>
      </c>
      <c r="D934" t="s">
        <v>746</v>
      </c>
      <c r="E934" t="s">
        <v>829</v>
      </c>
      <c r="F934" t="s">
        <v>803</v>
      </c>
      <c r="G934" t="s">
        <v>830</v>
      </c>
      <c r="H934" t="s">
        <v>831</v>
      </c>
      <c r="I934" t="s">
        <v>722</v>
      </c>
      <c r="J934" t="s">
        <v>721</v>
      </c>
      <c r="K934"/>
      <c r="L934"/>
      <c r="M934" t="s">
        <v>905</v>
      </c>
      <c r="N934" t="s">
        <v>906</v>
      </c>
      <c r="O934"/>
      <c r="P934" t="e">
        <f>VLOOKUP(N934,#REF!,2,FALSE)</f>
        <v>#REF!</v>
      </c>
      <c r="Q934" t="s">
        <v>873</v>
      </c>
      <c r="R934" s="345">
        <v>-1131.04</v>
      </c>
    </row>
    <row r="935" spans="1:18" x14ac:dyDescent="0.2">
      <c r="A935" s="344" t="s">
        <v>749</v>
      </c>
      <c r="B935" t="s">
        <v>827</v>
      </c>
      <c r="C935" t="s">
        <v>823</v>
      </c>
      <c r="D935" t="s">
        <v>746</v>
      </c>
      <c r="E935" t="s">
        <v>829</v>
      </c>
      <c r="F935" t="s">
        <v>803</v>
      </c>
      <c r="G935" t="s">
        <v>830</v>
      </c>
      <c r="H935" t="s">
        <v>831</v>
      </c>
      <c r="I935" t="s">
        <v>722</v>
      </c>
      <c r="J935" t="s">
        <v>721</v>
      </c>
      <c r="K935"/>
      <c r="L935"/>
      <c r="M935" t="s">
        <v>905</v>
      </c>
      <c r="N935" t="s">
        <v>906</v>
      </c>
      <c r="O935"/>
      <c r="P935" t="e">
        <f>VLOOKUP(N935,#REF!,2,FALSE)</f>
        <v>#REF!</v>
      </c>
      <c r="Q935" t="s">
        <v>875</v>
      </c>
      <c r="R935" s="345">
        <v>-1561.32</v>
      </c>
    </row>
    <row r="936" spans="1:18" x14ac:dyDescent="0.2">
      <c r="A936" s="344" t="s">
        <v>752</v>
      </c>
      <c r="B936" t="s">
        <v>827</v>
      </c>
      <c r="C936" t="s">
        <v>823</v>
      </c>
      <c r="D936" t="s">
        <v>746</v>
      </c>
      <c r="E936" t="s">
        <v>829</v>
      </c>
      <c r="F936" t="s">
        <v>803</v>
      </c>
      <c r="G936" t="s">
        <v>830</v>
      </c>
      <c r="H936" t="s">
        <v>831</v>
      </c>
      <c r="I936" t="s">
        <v>722</v>
      </c>
      <c r="J936" t="s">
        <v>721</v>
      </c>
      <c r="K936"/>
      <c r="L936"/>
      <c r="M936" t="s">
        <v>905</v>
      </c>
      <c r="N936" t="s">
        <v>906</v>
      </c>
      <c r="O936"/>
      <c r="P936" t="e">
        <f>VLOOKUP(N936,#REF!,2,FALSE)</f>
        <v>#REF!</v>
      </c>
      <c r="Q936" t="s">
        <v>875</v>
      </c>
      <c r="R936" s="345">
        <v>1561.32</v>
      </c>
    </row>
    <row r="937" spans="1:18" x14ac:dyDescent="0.2">
      <c r="A937" s="344" t="s">
        <v>759</v>
      </c>
      <c r="B937" t="s">
        <v>827</v>
      </c>
      <c r="C937" t="s">
        <v>823</v>
      </c>
      <c r="D937" t="s">
        <v>746</v>
      </c>
      <c r="E937" t="s">
        <v>829</v>
      </c>
      <c r="F937" t="s">
        <v>803</v>
      </c>
      <c r="G937" t="s">
        <v>830</v>
      </c>
      <c r="H937" t="s">
        <v>831</v>
      </c>
      <c r="I937" t="s">
        <v>722</v>
      </c>
      <c r="J937" t="s">
        <v>721</v>
      </c>
      <c r="K937"/>
      <c r="L937"/>
      <c r="M937" t="s">
        <v>905</v>
      </c>
      <c r="N937" t="s">
        <v>906</v>
      </c>
      <c r="O937"/>
      <c r="P937" t="e">
        <f>VLOOKUP(N937,#REF!,2,FALSE)</f>
        <v>#REF!</v>
      </c>
      <c r="Q937" t="s">
        <v>875</v>
      </c>
      <c r="R937" s="345">
        <v>-73362.080000000002</v>
      </c>
    </row>
    <row r="938" spans="1:18" x14ac:dyDescent="0.2">
      <c r="A938" s="344" t="s">
        <v>743</v>
      </c>
      <c r="B938" t="s">
        <v>827</v>
      </c>
      <c r="C938" t="s">
        <v>823</v>
      </c>
      <c r="D938" t="s">
        <v>746</v>
      </c>
      <c r="E938" t="s">
        <v>829</v>
      </c>
      <c r="F938" t="s">
        <v>803</v>
      </c>
      <c r="G938" t="s">
        <v>830</v>
      </c>
      <c r="H938" t="s">
        <v>831</v>
      </c>
      <c r="I938" t="s">
        <v>722</v>
      </c>
      <c r="J938" t="s">
        <v>721</v>
      </c>
      <c r="K938"/>
      <c r="L938"/>
      <c r="M938" t="s">
        <v>905</v>
      </c>
      <c r="N938" t="s">
        <v>906</v>
      </c>
      <c r="O938"/>
      <c r="P938" t="e">
        <f>VLOOKUP(N938,#REF!,2,FALSE)</f>
        <v>#REF!</v>
      </c>
      <c r="Q938" t="s">
        <v>875</v>
      </c>
      <c r="R938" s="345">
        <v>0.02</v>
      </c>
    </row>
    <row r="939" spans="1:18" x14ac:dyDescent="0.2">
      <c r="A939" s="344" t="s">
        <v>760</v>
      </c>
      <c r="B939" t="s">
        <v>827</v>
      </c>
      <c r="C939" t="s">
        <v>823</v>
      </c>
      <c r="D939" t="s">
        <v>746</v>
      </c>
      <c r="E939" t="s">
        <v>829</v>
      </c>
      <c r="F939" t="s">
        <v>803</v>
      </c>
      <c r="G939" t="s">
        <v>830</v>
      </c>
      <c r="H939" t="s">
        <v>831</v>
      </c>
      <c r="I939" t="s">
        <v>722</v>
      </c>
      <c r="J939" t="s">
        <v>721</v>
      </c>
      <c r="K939"/>
      <c r="L939"/>
      <c r="M939" t="s">
        <v>905</v>
      </c>
      <c r="N939" t="s">
        <v>906</v>
      </c>
      <c r="O939"/>
      <c r="P939" t="e">
        <f>VLOOKUP(N939,#REF!,2,FALSE)</f>
        <v>#REF!</v>
      </c>
      <c r="Q939" t="s">
        <v>875</v>
      </c>
      <c r="R939" s="345">
        <v>-13348.77</v>
      </c>
    </row>
    <row r="940" spans="1:18" x14ac:dyDescent="0.2">
      <c r="A940" s="344" t="s">
        <v>745</v>
      </c>
      <c r="B940" t="s">
        <v>827</v>
      </c>
      <c r="C940" t="s">
        <v>823</v>
      </c>
      <c r="D940" t="s">
        <v>746</v>
      </c>
      <c r="E940" t="s">
        <v>829</v>
      </c>
      <c r="F940" t="s">
        <v>803</v>
      </c>
      <c r="G940" t="s">
        <v>830</v>
      </c>
      <c r="H940" t="s">
        <v>831</v>
      </c>
      <c r="I940" t="s">
        <v>722</v>
      </c>
      <c r="J940" t="s">
        <v>721</v>
      </c>
      <c r="K940"/>
      <c r="L940"/>
      <c r="M940" t="s">
        <v>905</v>
      </c>
      <c r="N940" t="s">
        <v>906</v>
      </c>
      <c r="O940"/>
      <c r="P940" t="e">
        <f>VLOOKUP(N940,#REF!,2,FALSE)</f>
        <v>#REF!</v>
      </c>
      <c r="Q940" t="s">
        <v>875</v>
      </c>
      <c r="R940" s="345">
        <v>13348.77</v>
      </c>
    </row>
    <row r="941" spans="1:18" x14ac:dyDescent="0.2">
      <c r="A941" s="344" t="s">
        <v>745</v>
      </c>
      <c r="B941" t="s">
        <v>827</v>
      </c>
      <c r="C941" t="s">
        <v>823</v>
      </c>
      <c r="D941" t="s">
        <v>746</v>
      </c>
      <c r="E941" t="s">
        <v>829</v>
      </c>
      <c r="F941" t="s">
        <v>803</v>
      </c>
      <c r="G941" t="s">
        <v>830</v>
      </c>
      <c r="H941" t="s">
        <v>831</v>
      </c>
      <c r="I941" t="s">
        <v>722</v>
      </c>
      <c r="J941" t="s">
        <v>721</v>
      </c>
      <c r="K941"/>
      <c r="L941"/>
      <c r="M941" t="s">
        <v>905</v>
      </c>
      <c r="N941" t="s">
        <v>906</v>
      </c>
      <c r="O941"/>
      <c r="P941" t="e">
        <f>VLOOKUP(N941,#REF!,2,FALSE)</f>
        <v>#REF!</v>
      </c>
      <c r="Q941" t="s">
        <v>877</v>
      </c>
      <c r="R941" s="345">
        <v>-2715.78</v>
      </c>
    </row>
    <row r="942" spans="1:18" x14ac:dyDescent="0.2">
      <c r="A942" s="344" t="s">
        <v>755</v>
      </c>
      <c r="B942" t="s">
        <v>827</v>
      </c>
      <c r="C942" t="s">
        <v>823</v>
      </c>
      <c r="D942" t="s">
        <v>746</v>
      </c>
      <c r="E942" t="s">
        <v>829</v>
      </c>
      <c r="F942" t="s">
        <v>803</v>
      </c>
      <c r="G942" t="s">
        <v>830</v>
      </c>
      <c r="H942" t="s">
        <v>831</v>
      </c>
      <c r="I942" t="s">
        <v>722</v>
      </c>
      <c r="J942" t="s">
        <v>721</v>
      </c>
      <c r="K942"/>
      <c r="L942"/>
      <c r="M942" t="s">
        <v>905</v>
      </c>
      <c r="N942" t="s">
        <v>906</v>
      </c>
      <c r="O942"/>
      <c r="P942" t="e">
        <f>VLOOKUP(N942,#REF!,2,FALSE)</f>
        <v>#REF!</v>
      </c>
      <c r="Q942" t="s">
        <v>878</v>
      </c>
      <c r="R942" s="345">
        <v>-1212.2</v>
      </c>
    </row>
    <row r="943" spans="1:18" x14ac:dyDescent="0.2">
      <c r="A943" s="344" t="s">
        <v>749</v>
      </c>
      <c r="B943" t="s">
        <v>827</v>
      </c>
      <c r="C943" t="s">
        <v>823</v>
      </c>
      <c r="D943" t="s">
        <v>746</v>
      </c>
      <c r="E943" t="s">
        <v>829</v>
      </c>
      <c r="F943" t="s">
        <v>803</v>
      </c>
      <c r="G943" t="s">
        <v>830</v>
      </c>
      <c r="H943" t="s">
        <v>831</v>
      </c>
      <c r="I943" t="s">
        <v>722</v>
      </c>
      <c r="J943" t="s">
        <v>721</v>
      </c>
      <c r="K943"/>
      <c r="L943"/>
      <c r="M943" t="s">
        <v>905</v>
      </c>
      <c r="N943" t="s">
        <v>906</v>
      </c>
      <c r="O943"/>
      <c r="P943" t="e">
        <f>VLOOKUP(N943,#REF!,2,FALSE)</f>
        <v>#REF!</v>
      </c>
      <c r="Q943" t="s">
        <v>881</v>
      </c>
      <c r="R943" s="345">
        <v>-9860.06</v>
      </c>
    </row>
    <row r="944" spans="1:18" x14ac:dyDescent="0.2">
      <c r="A944" s="344" t="s">
        <v>752</v>
      </c>
      <c r="B944" t="s">
        <v>827</v>
      </c>
      <c r="C944" t="s">
        <v>823</v>
      </c>
      <c r="D944" t="s">
        <v>746</v>
      </c>
      <c r="E944" t="s">
        <v>829</v>
      </c>
      <c r="F944" t="s">
        <v>803</v>
      </c>
      <c r="G944" t="s">
        <v>830</v>
      </c>
      <c r="H944" t="s">
        <v>831</v>
      </c>
      <c r="I944" t="s">
        <v>722</v>
      </c>
      <c r="J944" t="s">
        <v>721</v>
      </c>
      <c r="K944"/>
      <c r="L944"/>
      <c r="M944" t="s">
        <v>905</v>
      </c>
      <c r="N944" t="s">
        <v>906</v>
      </c>
      <c r="O944"/>
      <c r="P944" t="e">
        <f>VLOOKUP(N944,#REF!,2,FALSE)</f>
        <v>#REF!</v>
      </c>
      <c r="Q944" t="s">
        <v>881</v>
      </c>
      <c r="R944" s="345">
        <v>4408.9399999999996</v>
      </c>
    </row>
    <row r="945" spans="1:18" x14ac:dyDescent="0.2">
      <c r="A945" s="344" t="s">
        <v>753</v>
      </c>
      <c r="B945" t="s">
        <v>827</v>
      </c>
      <c r="C945" t="s">
        <v>823</v>
      </c>
      <c r="D945" t="s">
        <v>746</v>
      </c>
      <c r="E945" t="s">
        <v>829</v>
      </c>
      <c r="F945" t="s">
        <v>803</v>
      </c>
      <c r="G945" t="s">
        <v>830</v>
      </c>
      <c r="H945" t="s">
        <v>831</v>
      </c>
      <c r="I945" t="s">
        <v>722</v>
      </c>
      <c r="J945" t="s">
        <v>721</v>
      </c>
      <c r="K945"/>
      <c r="L945"/>
      <c r="M945" t="s">
        <v>905</v>
      </c>
      <c r="N945" t="s">
        <v>906</v>
      </c>
      <c r="O945"/>
      <c r="P945" t="e">
        <f>VLOOKUP(N945,#REF!,2,FALSE)</f>
        <v>#REF!</v>
      </c>
      <c r="Q945" t="s">
        <v>881</v>
      </c>
      <c r="R945" s="345">
        <v>-3094.73</v>
      </c>
    </row>
    <row r="946" spans="1:18" x14ac:dyDescent="0.2">
      <c r="A946" s="344" t="s">
        <v>754</v>
      </c>
      <c r="B946" t="s">
        <v>827</v>
      </c>
      <c r="C946" t="s">
        <v>823</v>
      </c>
      <c r="D946" t="s">
        <v>746</v>
      </c>
      <c r="E946" t="s">
        <v>829</v>
      </c>
      <c r="F946" t="s">
        <v>803</v>
      </c>
      <c r="G946" t="s">
        <v>830</v>
      </c>
      <c r="H946" t="s">
        <v>831</v>
      </c>
      <c r="I946" t="s">
        <v>722</v>
      </c>
      <c r="J946" t="s">
        <v>721</v>
      </c>
      <c r="K946"/>
      <c r="L946"/>
      <c r="M946" t="s">
        <v>905</v>
      </c>
      <c r="N946" t="s">
        <v>906</v>
      </c>
      <c r="O946"/>
      <c r="P946" t="e">
        <f>VLOOKUP(N946,#REF!,2,FALSE)</f>
        <v>#REF!</v>
      </c>
      <c r="Q946" t="s">
        <v>881</v>
      </c>
      <c r="R946" s="345">
        <v>-121.48</v>
      </c>
    </row>
    <row r="947" spans="1:18" x14ac:dyDescent="0.2">
      <c r="A947" s="344" t="s">
        <v>755</v>
      </c>
      <c r="B947" t="s">
        <v>827</v>
      </c>
      <c r="C947" t="s">
        <v>823</v>
      </c>
      <c r="D947" t="s">
        <v>746</v>
      </c>
      <c r="E947" t="s">
        <v>829</v>
      </c>
      <c r="F947" t="s">
        <v>803</v>
      </c>
      <c r="G947" t="s">
        <v>830</v>
      </c>
      <c r="H947" t="s">
        <v>831</v>
      </c>
      <c r="I947" t="s">
        <v>722</v>
      </c>
      <c r="J947" t="s">
        <v>721</v>
      </c>
      <c r="K947"/>
      <c r="L947"/>
      <c r="M947" t="s">
        <v>905</v>
      </c>
      <c r="N947" t="s">
        <v>906</v>
      </c>
      <c r="O947"/>
      <c r="P947" t="e">
        <f>VLOOKUP(N947,#REF!,2,FALSE)</f>
        <v>#REF!</v>
      </c>
      <c r="Q947" t="s">
        <v>881</v>
      </c>
      <c r="R947" s="345">
        <v>-532.70000000000005</v>
      </c>
    </row>
    <row r="948" spans="1:18" x14ac:dyDescent="0.2">
      <c r="A948" s="344" t="s">
        <v>756</v>
      </c>
      <c r="B948" t="s">
        <v>827</v>
      </c>
      <c r="C948" t="s">
        <v>823</v>
      </c>
      <c r="D948" t="s">
        <v>746</v>
      </c>
      <c r="E948" t="s">
        <v>829</v>
      </c>
      <c r="F948" t="s">
        <v>803</v>
      </c>
      <c r="G948" t="s">
        <v>830</v>
      </c>
      <c r="H948" t="s">
        <v>831</v>
      </c>
      <c r="I948" t="s">
        <v>722</v>
      </c>
      <c r="J948" t="s">
        <v>721</v>
      </c>
      <c r="K948"/>
      <c r="L948"/>
      <c r="M948" t="s">
        <v>905</v>
      </c>
      <c r="N948" t="s">
        <v>906</v>
      </c>
      <c r="O948"/>
      <c r="P948" t="e">
        <f>VLOOKUP(N948,#REF!,2,FALSE)</f>
        <v>#REF!</v>
      </c>
      <c r="Q948" t="s">
        <v>881</v>
      </c>
      <c r="R948" s="345">
        <v>601.94000000000005</v>
      </c>
    </row>
    <row r="949" spans="1:18" x14ac:dyDescent="0.2">
      <c r="A949" s="344" t="s">
        <v>757</v>
      </c>
      <c r="B949" t="s">
        <v>827</v>
      </c>
      <c r="C949" t="s">
        <v>823</v>
      </c>
      <c r="D949" t="s">
        <v>746</v>
      </c>
      <c r="E949" t="s">
        <v>829</v>
      </c>
      <c r="F949" t="s">
        <v>803</v>
      </c>
      <c r="G949" t="s">
        <v>830</v>
      </c>
      <c r="H949" t="s">
        <v>831</v>
      </c>
      <c r="I949" t="s">
        <v>722</v>
      </c>
      <c r="J949" t="s">
        <v>721</v>
      </c>
      <c r="K949"/>
      <c r="L949"/>
      <c r="M949" t="s">
        <v>905</v>
      </c>
      <c r="N949" t="s">
        <v>906</v>
      </c>
      <c r="O949"/>
      <c r="P949" t="e">
        <f>VLOOKUP(N949,#REF!,2,FALSE)</f>
        <v>#REF!</v>
      </c>
      <c r="Q949" t="s">
        <v>881</v>
      </c>
      <c r="R949" s="345">
        <v>-589.85</v>
      </c>
    </row>
    <row r="950" spans="1:18" x14ac:dyDescent="0.2">
      <c r="A950" s="344" t="s">
        <v>758</v>
      </c>
      <c r="B950" t="s">
        <v>827</v>
      </c>
      <c r="C950" t="s">
        <v>823</v>
      </c>
      <c r="D950" t="s">
        <v>746</v>
      </c>
      <c r="E950" t="s">
        <v>829</v>
      </c>
      <c r="F950" t="s">
        <v>803</v>
      </c>
      <c r="G950" t="s">
        <v>830</v>
      </c>
      <c r="H950" t="s">
        <v>831</v>
      </c>
      <c r="I950" t="s">
        <v>722</v>
      </c>
      <c r="J950" t="s">
        <v>721</v>
      </c>
      <c r="K950"/>
      <c r="L950"/>
      <c r="M950" t="s">
        <v>905</v>
      </c>
      <c r="N950" t="s">
        <v>906</v>
      </c>
      <c r="O950"/>
      <c r="P950" t="e">
        <f>VLOOKUP(N950,#REF!,2,FALSE)</f>
        <v>#REF!</v>
      </c>
      <c r="Q950" t="s">
        <v>881</v>
      </c>
      <c r="R950" s="345">
        <v>-549.05999999999995</v>
      </c>
    </row>
    <row r="951" spans="1:18" x14ac:dyDescent="0.2">
      <c r="A951" s="344" t="s">
        <v>759</v>
      </c>
      <c r="B951" t="s">
        <v>827</v>
      </c>
      <c r="C951" t="s">
        <v>823</v>
      </c>
      <c r="D951" t="s">
        <v>746</v>
      </c>
      <c r="E951" t="s">
        <v>829</v>
      </c>
      <c r="F951" t="s">
        <v>803</v>
      </c>
      <c r="G951" t="s">
        <v>830</v>
      </c>
      <c r="H951" t="s">
        <v>831</v>
      </c>
      <c r="I951" t="s">
        <v>722</v>
      </c>
      <c r="J951" t="s">
        <v>721</v>
      </c>
      <c r="K951"/>
      <c r="L951"/>
      <c r="M951" t="s">
        <v>905</v>
      </c>
      <c r="N951" t="s">
        <v>906</v>
      </c>
      <c r="O951"/>
      <c r="P951" t="e">
        <f>VLOOKUP(N951,#REF!,2,FALSE)</f>
        <v>#REF!</v>
      </c>
      <c r="Q951" t="s">
        <v>881</v>
      </c>
      <c r="R951" s="345">
        <v>0</v>
      </c>
    </row>
    <row r="952" spans="1:18" x14ac:dyDescent="0.2">
      <c r="A952" s="344" t="s">
        <v>743</v>
      </c>
      <c r="B952" t="s">
        <v>827</v>
      </c>
      <c r="C952" t="s">
        <v>823</v>
      </c>
      <c r="D952" t="s">
        <v>746</v>
      </c>
      <c r="E952" t="s">
        <v>829</v>
      </c>
      <c r="F952" t="s">
        <v>803</v>
      </c>
      <c r="G952" t="s">
        <v>830</v>
      </c>
      <c r="H952" t="s">
        <v>831</v>
      </c>
      <c r="I952" t="s">
        <v>722</v>
      </c>
      <c r="J952" t="s">
        <v>721</v>
      </c>
      <c r="K952"/>
      <c r="L952"/>
      <c r="M952" t="s">
        <v>905</v>
      </c>
      <c r="N952" t="s">
        <v>906</v>
      </c>
      <c r="O952"/>
      <c r="P952" t="e">
        <f>VLOOKUP(N952,#REF!,2,FALSE)</f>
        <v>#REF!</v>
      </c>
      <c r="Q952" t="s">
        <v>881</v>
      </c>
      <c r="R952" s="345">
        <v>-858.93</v>
      </c>
    </row>
    <row r="953" spans="1:18" x14ac:dyDescent="0.2">
      <c r="A953" s="344" t="s">
        <v>760</v>
      </c>
      <c r="B953" t="s">
        <v>827</v>
      </c>
      <c r="C953" t="s">
        <v>823</v>
      </c>
      <c r="D953" t="s">
        <v>746</v>
      </c>
      <c r="E953" t="s">
        <v>829</v>
      </c>
      <c r="F953" t="s">
        <v>803</v>
      </c>
      <c r="G953" t="s">
        <v>830</v>
      </c>
      <c r="H953" t="s">
        <v>831</v>
      </c>
      <c r="I953" t="s">
        <v>722</v>
      </c>
      <c r="J953" t="s">
        <v>721</v>
      </c>
      <c r="K953"/>
      <c r="L953"/>
      <c r="M953" t="s">
        <v>905</v>
      </c>
      <c r="N953" t="s">
        <v>906</v>
      </c>
      <c r="O953"/>
      <c r="P953" t="e">
        <f>VLOOKUP(N953,#REF!,2,FALSE)</f>
        <v>#REF!</v>
      </c>
      <c r="Q953" t="s">
        <v>881</v>
      </c>
      <c r="R953" s="345">
        <v>-1433.38</v>
      </c>
    </row>
    <row r="954" spans="1:18" x14ac:dyDescent="0.2">
      <c r="A954" s="344" t="s">
        <v>745</v>
      </c>
      <c r="B954" t="s">
        <v>827</v>
      </c>
      <c r="C954" t="s">
        <v>823</v>
      </c>
      <c r="D954" t="s">
        <v>746</v>
      </c>
      <c r="E954" t="s">
        <v>829</v>
      </c>
      <c r="F954" t="s">
        <v>803</v>
      </c>
      <c r="G954" t="s">
        <v>830</v>
      </c>
      <c r="H954" t="s">
        <v>831</v>
      </c>
      <c r="I954" t="s">
        <v>722</v>
      </c>
      <c r="J954" t="s">
        <v>721</v>
      </c>
      <c r="K954"/>
      <c r="L954"/>
      <c r="M954" t="s">
        <v>905</v>
      </c>
      <c r="N954" t="s">
        <v>906</v>
      </c>
      <c r="O954"/>
      <c r="P954" t="e">
        <f>VLOOKUP(N954,#REF!,2,FALSE)</f>
        <v>#REF!</v>
      </c>
      <c r="Q954" t="s">
        <v>881</v>
      </c>
      <c r="R954" s="345">
        <v>-1977.13</v>
      </c>
    </row>
    <row r="955" spans="1:18" x14ac:dyDescent="0.2">
      <c r="A955" s="344" t="s">
        <v>749</v>
      </c>
      <c r="B955" t="s">
        <v>827</v>
      </c>
      <c r="C955" t="s">
        <v>823</v>
      </c>
      <c r="D955" t="s">
        <v>746</v>
      </c>
      <c r="E955" t="s">
        <v>829</v>
      </c>
      <c r="F955" t="s">
        <v>803</v>
      </c>
      <c r="G955" t="s">
        <v>830</v>
      </c>
      <c r="H955" t="s">
        <v>831</v>
      </c>
      <c r="I955" t="s">
        <v>722</v>
      </c>
      <c r="J955" t="s">
        <v>721</v>
      </c>
      <c r="K955"/>
      <c r="L955"/>
      <c r="M955" t="s">
        <v>905</v>
      </c>
      <c r="N955" t="s">
        <v>906</v>
      </c>
      <c r="O955"/>
      <c r="P955" t="e">
        <f>VLOOKUP(N955,#REF!,2,FALSE)</f>
        <v>#REF!</v>
      </c>
      <c r="Q955" t="s">
        <v>865</v>
      </c>
      <c r="R955" s="345">
        <v>-155.83000000000001</v>
      </c>
    </row>
    <row r="956" spans="1:18" x14ac:dyDescent="0.2">
      <c r="A956" s="344" t="s">
        <v>752</v>
      </c>
      <c r="B956" t="s">
        <v>827</v>
      </c>
      <c r="C956" t="s">
        <v>823</v>
      </c>
      <c r="D956" t="s">
        <v>746</v>
      </c>
      <c r="E956" t="s">
        <v>829</v>
      </c>
      <c r="F956" t="s">
        <v>803</v>
      </c>
      <c r="G956" t="s">
        <v>830</v>
      </c>
      <c r="H956" t="s">
        <v>831</v>
      </c>
      <c r="I956" t="s">
        <v>722</v>
      </c>
      <c r="J956" t="s">
        <v>721</v>
      </c>
      <c r="K956"/>
      <c r="L956"/>
      <c r="M956" t="s">
        <v>905</v>
      </c>
      <c r="N956" t="s">
        <v>906</v>
      </c>
      <c r="O956"/>
      <c r="P956" t="e">
        <f>VLOOKUP(N956,#REF!,2,FALSE)</f>
        <v>#REF!</v>
      </c>
      <c r="Q956" t="s">
        <v>865</v>
      </c>
      <c r="R956" s="345">
        <v>0</v>
      </c>
    </row>
    <row r="957" spans="1:18" x14ac:dyDescent="0.2">
      <c r="A957" s="344" t="s">
        <v>749</v>
      </c>
      <c r="B957" t="s">
        <v>827</v>
      </c>
      <c r="C957" t="s">
        <v>823</v>
      </c>
      <c r="D957" t="s">
        <v>746</v>
      </c>
      <c r="E957" t="s">
        <v>829</v>
      </c>
      <c r="F957" t="s">
        <v>803</v>
      </c>
      <c r="G957" t="s">
        <v>830</v>
      </c>
      <c r="H957" t="s">
        <v>831</v>
      </c>
      <c r="I957" t="s">
        <v>722</v>
      </c>
      <c r="J957" t="s">
        <v>721</v>
      </c>
      <c r="K957"/>
      <c r="L957"/>
      <c r="M957" t="s">
        <v>769</v>
      </c>
      <c r="N957" t="s">
        <v>770</v>
      </c>
      <c r="O957"/>
      <c r="P957" t="e">
        <f>VLOOKUP(N957,#REF!,2,FALSE)</f>
        <v>#REF!</v>
      </c>
      <c r="Q957" t="s">
        <v>877</v>
      </c>
      <c r="R957" s="345">
        <v>0</v>
      </c>
    </row>
    <row r="958" spans="1:18" x14ac:dyDescent="0.2">
      <c r="A958" s="344" t="s">
        <v>752</v>
      </c>
      <c r="B958" t="s">
        <v>827</v>
      </c>
      <c r="C958" t="s">
        <v>823</v>
      </c>
      <c r="D958" t="s">
        <v>746</v>
      </c>
      <c r="E958" t="s">
        <v>829</v>
      </c>
      <c r="F958" t="s">
        <v>803</v>
      </c>
      <c r="G958" t="s">
        <v>830</v>
      </c>
      <c r="H958" t="s">
        <v>831</v>
      </c>
      <c r="I958" t="s">
        <v>722</v>
      </c>
      <c r="J958" t="s">
        <v>721</v>
      </c>
      <c r="K958"/>
      <c r="L958"/>
      <c r="M958" t="s">
        <v>769</v>
      </c>
      <c r="N958" t="s">
        <v>770</v>
      </c>
      <c r="O958"/>
      <c r="P958" t="e">
        <f>VLOOKUP(N958,#REF!,2,FALSE)</f>
        <v>#REF!</v>
      </c>
      <c r="Q958" t="s">
        <v>877</v>
      </c>
      <c r="R958" s="345">
        <v>-549.89</v>
      </c>
    </row>
    <row r="959" spans="1:18" x14ac:dyDescent="0.2">
      <c r="A959" s="344" t="s">
        <v>759</v>
      </c>
      <c r="B959" t="s">
        <v>827</v>
      </c>
      <c r="C959" t="s">
        <v>823</v>
      </c>
      <c r="D959" t="s">
        <v>746</v>
      </c>
      <c r="E959" t="s">
        <v>829</v>
      </c>
      <c r="F959" t="s">
        <v>803</v>
      </c>
      <c r="G959" t="s">
        <v>830</v>
      </c>
      <c r="H959" t="s">
        <v>831</v>
      </c>
      <c r="I959" t="s">
        <v>722</v>
      </c>
      <c r="J959" t="s">
        <v>721</v>
      </c>
      <c r="K959"/>
      <c r="L959"/>
      <c r="M959" t="s">
        <v>769</v>
      </c>
      <c r="N959" t="s">
        <v>770</v>
      </c>
      <c r="O959"/>
      <c r="P959" t="e">
        <f>VLOOKUP(N959,#REF!,2,FALSE)</f>
        <v>#REF!</v>
      </c>
      <c r="Q959" t="s">
        <v>877</v>
      </c>
      <c r="R959" s="345">
        <v>-2413.89</v>
      </c>
    </row>
    <row r="960" spans="1:18" x14ac:dyDescent="0.2">
      <c r="A960" s="344" t="s">
        <v>758</v>
      </c>
      <c r="B960" t="s">
        <v>827</v>
      </c>
      <c r="C960" t="s">
        <v>823</v>
      </c>
      <c r="D960" t="s">
        <v>746</v>
      </c>
      <c r="E960" t="s">
        <v>829</v>
      </c>
      <c r="F960" t="s">
        <v>803</v>
      </c>
      <c r="G960" t="s">
        <v>830</v>
      </c>
      <c r="H960" t="s">
        <v>831</v>
      </c>
      <c r="I960" t="s">
        <v>722</v>
      </c>
      <c r="J960" t="s">
        <v>721</v>
      </c>
      <c r="K960"/>
      <c r="L960"/>
      <c r="M960" t="s">
        <v>769</v>
      </c>
      <c r="N960" t="s">
        <v>770</v>
      </c>
      <c r="O960"/>
      <c r="P960" t="e">
        <f>VLOOKUP(N960,#REF!,2,FALSE)</f>
        <v>#REF!</v>
      </c>
      <c r="Q960" t="s">
        <v>863</v>
      </c>
      <c r="R960" s="345">
        <v>23.65</v>
      </c>
    </row>
    <row r="961" spans="1:18" x14ac:dyDescent="0.2">
      <c r="A961" s="344" t="s">
        <v>759</v>
      </c>
      <c r="B961" t="s">
        <v>827</v>
      </c>
      <c r="C961" t="s">
        <v>823</v>
      </c>
      <c r="D961" t="s">
        <v>746</v>
      </c>
      <c r="E961" t="s">
        <v>829</v>
      </c>
      <c r="F961" t="s">
        <v>803</v>
      </c>
      <c r="G961" t="s">
        <v>830</v>
      </c>
      <c r="H961" t="s">
        <v>831</v>
      </c>
      <c r="I961" t="s">
        <v>722</v>
      </c>
      <c r="J961" t="s">
        <v>721</v>
      </c>
      <c r="K961"/>
      <c r="L961"/>
      <c r="M961" t="s">
        <v>769</v>
      </c>
      <c r="N961" t="s">
        <v>770</v>
      </c>
      <c r="O961"/>
      <c r="P961" t="e">
        <f>VLOOKUP(N961,#REF!,2,FALSE)</f>
        <v>#REF!</v>
      </c>
      <c r="Q961" t="s">
        <v>863</v>
      </c>
      <c r="R961" s="345">
        <v>0</v>
      </c>
    </row>
    <row r="962" spans="1:18" x14ac:dyDescent="0.2">
      <c r="A962" s="344" t="s">
        <v>749</v>
      </c>
      <c r="B962" t="s">
        <v>827</v>
      </c>
      <c r="C962" t="s">
        <v>823</v>
      </c>
      <c r="D962" t="s">
        <v>746</v>
      </c>
      <c r="E962" t="s">
        <v>829</v>
      </c>
      <c r="F962" t="s">
        <v>803</v>
      </c>
      <c r="G962" t="s">
        <v>830</v>
      </c>
      <c r="H962" t="s">
        <v>831</v>
      </c>
      <c r="I962" t="s">
        <v>722</v>
      </c>
      <c r="J962" t="s">
        <v>721</v>
      </c>
      <c r="K962"/>
      <c r="L962"/>
      <c r="M962" t="s">
        <v>843</v>
      </c>
      <c r="N962" t="s">
        <v>844</v>
      </c>
      <c r="O962"/>
      <c r="P962" t="e">
        <f>VLOOKUP(N962,#REF!,2,FALSE)</f>
        <v>#REF!</v>
      </c>
      <c r="Q962" t="s">
        <v>856</v>
      </c>
      <c r="R962" s="345">
        <v>19793.689999999999</v>
      </c>
    </row>
    <row r="963" spans="1:18" x14ac:dyDescent="0.2">
      <c r="A963" s="344" t="s">
        <v>752</v>
      </c>
      <c r="B963" t="s">
        <v>827</v>
      </c>
      <c r="C963" t="s">
        <v>823</v>
      </c>
      <c r="D963" t="s">
        <v>746</v>
      </c>
      <c r="E963" t="s">
        <v>829</v>
      </c>
      <c r="F963" t="s">
        <v>803</v>
      </c>
      <c r="G963" t="s">
        <v>830</v>
      </c>
      <c r="H963" t="s">
        <v>831</v>
      </c>
      <c r="I963" t="s">
        <v>722</v>
      </c>
      <c r="J963" t="s">
        <v>721</v>
      </c>
      <c r="K963"/>
      <c r="L963"/>
      <c r="M963" t="s">
        <v>843</v>
      </c>
      <c r="N963" t="s">
        <v>844</v>
      </c>
      <c r="O963"/>
      <c r="P963" t="e">
        <f>VLOOKUP(N963,#REF!,2,FALSE)</f>
        <v>#REF!</v>
      </c>
      <c r="Q963" t="s">
        <v>856</v>
      </c>
      <c r="R963" s="345">
        <v>0</v>
      </c>
    </row>
    <row r="964" spans="1:18" x14ac:dyDescent="0.2">
      <c r="A964" s="344" t="s">
        <v>753</v>
      </c>
      <c r="B964" t="s">
        <v>827</v>
      </c>
      <c r="C964" t="s">
        <v>823</v>
      </c>
      <c r="D964" t="s">
        <v>746</v>
      </c>
      <c r="E964" t="s">
        <v>829</v>
      </c>
      <c r="F964" t="s">
        <v>803</v>
      </c>
      <c r="G964" t="s">
        <v>830</v>
      </c>
      <c r="H964" t="s">
        <v>831</v>
      </c>
      <c r="I964" t="s">
        <v>722</v>
      </c>
      <c r="J964" t="s">
        <v>721</v>
      </c>
      <c r="K964"/>
      <c r="L964"/>
      <c r="M964" t="s">
        <v>843</v>
      </c>
      <c r="N964" t="s">
        <v>844</v>
      </c>
      <c r="O964"/>
      <c r="P964" t="e">
        <f>VLOOKUP(N964,#REF!,2,FALSE)</f>
        <v>#REF!</v>
      </c>
      <c r="Q964" t="s">
        <v>856</v>
      </c>
      <c r="R964" s="345">
        <v>-9128.48</v>
      </c>
    </row>
    <row r="965" spans="1:18" x14ac:dyDescent="0.2">
      <c r="A965" s="344" t="s">
        <v>754</v>
      </c>
      <c r="B965" t="s">
        <v>827</v>
      </c>
      <c r="C965" t="s">
        <v>823</v>
      </c>
      <c r="D965" t="s">
        <v>746</v>
      </c>
      <c r="E965" t="s">
        <v>829</v>
      </c>
      <c r="F965" t="s">
        <v>803</v>
      </c>
      <c r="G965" t="s">
        <v>830</v>
      </c>
      <c r="H965" t="s">
        <v>831</v>
      </c>
      <c r="I965" t="s">
        <v>722</v>
      </c>
      <c r="J965" t="s">
        <v>721</v>
      </c>
      <c r="K965"/>
      <c r="L965"/>
      <c r="M965" t="s">
        <v>843</v>
      </c>
      <c r="N965" t="s">
        <v>844</v>
      </c>
      <c r="O965"/>
      <c r="P965" t="e">
        <f>VLOOKUP(N965,#REF!,2,FALSE)</f>
        <v>#REF!</v>
      </c>
      <c r="Q965" t="s">
        <v>856</v>
      </c>
      <c r="R965" s="345">
        <v>1.1200000000000001</v>
      </c>
    </row>
    <row r="966" spans="1:18" x14ac:dyDescent="0.2">
      <c r="A966" s="344" t="s">
        <v>755</v>
      </c>
      <c r="B966" t="s">
        <v>827</v>
      </c>
      <c r="C966" t="s">
        <v>823</v>
      </c>
      <c r="D966" t="s">
        <v>746</v>
      </c>
      <c r="E966" t="s">
        <v>829</v>
      </c>
      <c r="F966" t="s">
        <v>803</v>
      </c>
      <c r="G966" t="s">
        <v>830</v>
      </c>
      <c r="H966" t="s">
        <v>831</v>
      </c>
      <c r="I966" t="s">
        <v>722</v>
      </c>
      <c r="J966" t="s">
        <v>721</v>
      </c>
      <c r="K966"/>
      <c r="L966"/>
      <c r="M966" t="s">
        <v>843</v>
      </c>
      <c r="N966" t="s">
        <v>844</v>
      </c>
      <c r="O966"/>
      <c r="P966" t="e">
        <f>VLOOKUP(N966,#REF!,2,FALSE)</f>
        <v>#REF!</v>
      </c>
      <c r="Q966" t="s">
        <v>856</v>
      </c>
      <c r="R966" s="345">
        <v>14.67</v>
      </c>
    </row>
    <row r="967" spans="1:18" x14ac:dyDescent="0.2">
      <c r="A967" s="344" t="s">
        <v>756</v>
      </c>
      <c r="B967" t="s">
        <v>827</v>
      </c>
      <c r="C967" t="s">
        <v>823</v>
      </c>
      <c r="D967" t="s">
        <v>746</v>
      </c>
      <c r="E967" t="s">
        <v>829</v>
      </c>
      <c r="F967" t="s">
        <v>803</v>
      </c>
      <c r="G967" t="s">
        <v>830</v>
      </c>
      <c r="H967" t="s">
        <v>831</v>
      </c>
      <c r="I967" t="s">
        <v>722</v>
      </c>
      <c r="J967" t="s">
        <v>721</v>
      </c>
      <c r="K967"/>
      <c r="L967"/>
      <c r="M967" t="s">
        <v>843</v>
      </c>
      <c r="N967" t="s">
        <v>844</v>
      </c>
      <c r="O967"/>
      <c r="P967" t="e">
        <f>VLOOKUP(N967,#REF!,2,FALSE)</f>
        <v>#REF!</v>
      </c>
      <c r="Q967" t="s">
        <v>856</v>
      </c>
      <c r="R967" s="345">
        <v>-7199.97</v>
      </c>
    </row>
    <row r="968" spans="1:18" x14ac:dyDescent="0.2">
      <c r="A968" s="344" t="s">
        <v>757</v>
      </c>
      <c r="B968" t="s">
        <v>827</v>
      </c>
      <c r="C968" t="s">
        <v>823</v>
      </c>
      <c r="D968" t="s">
        <v>746</v>
      </c>
      <c r="E968" t="s">
        <v>829</v>
      </c>
      <c r="F968" t="s">
        <v>803</v>
      </c>
      <c r="G968" t="s">
        <v>830</v>
      </c>
      <c r="H968" t="s">
        <v>831</v>
      </c>
      <c r="I968" t="s">
        <v>722</v>
      </c>
      <c r="J968" t="s">
        <v>721</v>
      </c>
      <c r="K968"/>
      <c r="L968"/>
      <c r="M968" t="s">
        <v>843</v>
      </c>
      <c r="N968" t="s">
        <v>844</v>
      </c>
      <c r="O968"/>
      <c r="P968" t="e">
        <f>VLOOKUP(N968,#REF!,2,FALSE)</f>
        <v>#REF!</v>
      </c>
      <c r="Q968" t="s">
        <v>856</v>
      </c>
      <c r="R968" s="345">
        <v>-1148.81</v>
      </c>
    </row>
    <row r="969" spans="1:18" x14ac:dyDescent="0.2">
      <c r="A969" s="344" t="s">
        <v>758</v>
      </c>
      <c r="B969" t="s">
        <v>827</v>
      </c>
      <c r="C969" t="s">
        <v>823</v>
      </c>
      <c r="D969" t="s">
        <v>746</v>
      </c>
      <c r="E969" t="s">
        <v>829</v>
      </c>
      <c r="F969" t="s">
        <v>803</v>
      </c>
      <c r="G969" t="s">
        <v>830</v>
      </c>
      <c r="H969" t="s">
        <v>831</v>
      </c>
      <c r="I969" t="s">
        <v>722</v>
      </c>
      <c r="J969" t="s">
        <v>721</v>
      </c>
      <c r="K969"/>
      <c r="L969"/>
      <c r="M969" t="s">
        <v>843</v>
      </c>
      <c r="N969" t="s">
        <v>844</v>
      </c>
      <c r="O969"/>
      <c r="P969" t="e">
        <f>VLOOKUP(N969,#REF!,2,FALSE)</f>
        <v>#REF!</v>
      </c>
      <c r="Q969" t="s">
        <v>856</v>
      </c>
      <c r="R969" s="345">
        <v>2123.21</v>
      </c>
    </row>
    <row r="970" spans="1:18" x14ac:dyDescent="0.2">
      <c r="A970" s="344" t="s">
        <v>759</v>
      </c>
      <c r="B970" t="s">
        <v>827</v>
      </c>
      <c r="C970" t="s">
        <v>823</v>
      </c>
      <c r="D970" t="s">
        <v>746</v>
      </c>
      <c r="E970" t="s">
        <v>829</v>
      </c>
      <c r="F970" t="s">
        <v>803</v>
      </c>
      <c r="G970" t="s">
        <v>830</v>
      </c>
      <c r="H970" t="s">
        <v>831</v>
      </c>
      <c r="I970" t="s">
        <v>722</v>
      </c>
      <c r="J970" t="s">
        <v>721</v>
      </c>
      <c r="K970"/>
      <c r="L970"/>
      <c r="M970" t="s">
        <v>843</v>
      </c>
      <c r="N970" t="s">
        <v>844</v>
      </c>
      <c r="O970"/>
      <c r="P970" t="e">
        <f>VLOOKUP(N970,#REF!,2,FALSE)</f>
        <v>#REF!</v>
      </c>
      <c r="Q970" t="s">
        <v>856</v>
      </c>
      <c r="R970" s="345">
        <v>2077.4</v>
      </c>
    </row>
    <row r="971" spans="1:18" x14ac:dyDescent="0.2">
      <c r="A971" s="344" t="s">
        <v>743</v>
      </c>
      <c r="B971" t="s">
        <v>827</v>
      </c>
      <c r="C971" t="s">
        <v>823</v>
      </c>
      <c r="D971" t="s">
        <v>746</v>
      </c>
      <c r="E971" t="s">
        <v>829</v>
      </c>
      <c r="F971" t="s">
        <v>803</v>
      </c>
      <c r="G971" t="s">
        <v>830</v>
      </c>
      <c r="H971" t="s">
        <v>831</v>
      </c>
      <c r="I971" t="s">
        <v>722</v>
      </c>
      <c r="J971" t="s">
        <v>721</v>
      </c>
      <c r="K971"/>
      <c r="L971"/>
      <c r="M971" t="s">
        <v>843</v>
      </c>
      <c r="N971" t="s">
        <v>844</v>
      </c>
      <c r="O971"/>
      <c r="P971" t="e">
        <f>VLOOKUP(N971,#REF!,2,FALSE)</f>
        <v>#REF!</v>
      </c>
      <c r="Q971" t="s">
        <v>856</v>
      </c>
      <c r="R971" s="345">
        <v>-290.07</v>
      </c>
    </row>
    <row r="972" spans="1:18" x14ac:dyDescent="0.2">
      <c r="A972" s="344" t="s">
        <v>760</v>
      </c>
      <c r="B972" t="s">
        <v>827</v>
      </c>
      <c r="C972" t="s">
        <v>823</v>
      </c>
      <c r="D972" t="s">
        <v>746</v>
      </c>
      <c r="E972" t="s">
        <v>829</v>
      </c>
      <c r="F972" t="s">
        <v>803</v>
      </c>
      <c r="G972" t="s">
        <v>830</v>
      </c>
      <c r="H972" t="s">
        <v>831</v>
      </c>
      <c r="I972" t="s">
        <v>722</v>
      </c>
      <c r="J972" t="s">
        <v>721</v>
      </c>
      <c r="K972"/>
      <c r="L972"/>
      <c r="M972" t="s">
        <v>843</v>
      </c>
      <c r="N972" t="s">
        <v>844</v>
      </c>
      <c r="O972"/>
      <c r="P972" t="e">
        <f>VLOOKUP(N972,#REF!,2,FALSE)</f>
        <v>#REF!</v>
      </c>
      <c r="Q972" t="s">
        <v>856</v>
      </c>
      <c r="R972" s="345">
        <v>290.07</v>
      </c>
    </row>
    <row r="973" spans="1:18" x14ac:dyDescent="0.2">
      <c r="A973" s="344" t="s">
        <v>745</v>
      </c>
      <c r="B973" t="s">
        <v>827</v>
      </c>
      <c r="C973" t="s">
        <v>823</v>
      </c>
      <c r="D973" t="s">
        <v>746</v>
      </c>
      <c r="E973" t="s">
        <v>829</v>
      </c>
      <c r="F973" t="s">
        <v>803</v>
      </c>
      <c r="G973" t="s">
        <v>830</v>
      </c>
      <c r="H973" t="s">
        <v>831</v>
      </c>
      <c r="I973" t="s">
        <v>722</v>
      </c>
      <c r="J973" t="s">
        <v>721</v>
      </c>
      <c r="K973"/>
      <c r="L973"/>
      <c r="M973" t="s">
        <v>843</v>
      </c>
      <c r="N973" t="s">
        <v>844</v>
      </c>
      <c r="O973"/>
      <c r="P973" t="e">
        <f>VLOOKUP(N973,#REF!,2,FALSE)</f>
        <v>#REF!</v>
      </c>
      <c r="Q973" t="s">
        <v>856</v>
      </c>
      <c r="R973" s="345">
        <v>-116.48</v>
      </c>
    </row>
    <row r="974" spans="1:18" x14ac:dyDescent="0.2">
      <c r="A974" s="344" t="s">
        <v>749</v>
      </c>
      <c r="B974" t="s">
        <v>827</v>
      </c>
      <c r="C974" t="s">
        <v>823</v>
      </c>
      <c r="D974" t="s">
        <v>746</v>
      </c>
      <c r="E974" t="s">
        <v>829</v>
      </c>
      <c r="F974" t="s">
        <v>803</v>
      </c>
      <c r="G974" t="s">
        <v>830</v>
      </c>
      <c r="H974" t="s">
        <v>831</v>
      </c>
      <c r="I974" t="s">
        <v>722</v>
      </c>
      <c r="J974" t="s">
        <v>721</v>
      </c>
      <c r="K974"/>
      <c r="L974"/>
      <c r="M974" t="s">
        <v>843</v>
      </c>
      <c r="N974" t="s">
        <v>844</v>
      </c>
      <c r="O974"/>
      <c r="P974" t="e">
        <f>VLOOKUP(N974,#REF!,2,FALSE)</f>
        <v>#REF!</v>
      </c>
      <c r="Q974" t="s">
        <v>872</v>
      </c>
      <c r="R974" s="345">
        <v>-3633.98</v>
      </c>
    </row>
    <row r="975" spans="1:18" x14ac:dyDescent="0.2">
      <c r="A975" s="344" t="s">
        <v>752</v>
      </c>
      <c r="B975" t="s">
        <v>827</v>
      </c>
      <c r="C975" t="s">
        <v>823</v>
      </c>
      <c r="D975" t="s">
        <v>746</v>
      </c>
      <c r="E975" t="s">
        <v>829</v>
      </c>
      <c r="F975" t="s">
        <v>803</v>
      </c>
      <c r="G975" t="s">
        <v>830</v>
      </c>
      <c r="H975" t="s">
        <v>831</v>
      </c>
      <c r="I975" t="s">
        <v>722</v>
      </c>
      <c r="J975" t="s">
        <v>721</v>
      </c>
      <c r="K975"/>
      <c r="L975"/>
      <c r="M975" t="s">
        <v>843</v>
      </c>
      <c r="N975" t="s">
        <v>844</v>
      </c>
      <c r="O975"/>
      <c r="P975" t="e">
        <f>VLOOKUP(N975,#REF!,2,FALSE)</f>
        <v>#REF!</v>
      </c>
      <c r="Q975" t="s">
        <v>872</v>
      </c>
      <c r="R975" s="345">
        <v>-439.12</v>
      </c>
    </row>
    <row r="976" spans="1:18" x14ac:dyDescent="0.2">
      <c r="A976" s="344" t="s">
        <v>753</v>
      </c>
      <c r="B976" t="s">
        <v>827</v>
      </c>
      <c r="C976" t="s">
        <v>823</v>
      </c>
      <c r="D976" t="s">
        <v>746</v>
      </c>
      <c r="E976" t="s">
        <v>829</v>
      </c>
      <c r="F976" t="s">
        <v>803</v>
      </c>
      <c r="G976" t="s">
        <v>830</v>
      </c>
      <c r="H976" t="s">
        <v>831</v>
      </c>
      <c r="I976" t="s">
        <v>722</v>
      </c>
      <c r="J976" t="s">
        <v>721</v>
      </c>
      <c r="K976"/>
      <c r="L976"/>
      <c r="M976" t="s">
        <v>843</v>
      </c>
      <c r="N976" t="s">
        <v>844</v>
      </c>
      <c r="O976"/>
      <c r="P976" t="e">
        <f>VLOOKUP(N976,#REF!,2,FALSE)</f>
        <v>#REF!</v>
      </c>
      <c r="Q976" t="s">
        <v>872</v>
      </c>
      <c r="R976" s="345">
        <v>-7282.59</v>
      </c>
    </row>
    <row r="977" spans="1:18" x14ac:dyDescent="0.2">
      <c r="A977" s="344" t="s">
        <v>754</v>
      </c>
      <c r="B977" t="s">
        <v>827</v>
      </c>
      <c r="C977" t="s">
        <v>823</v>
      </c>
      <c r="D977" t="s">
        <v>746</v>
      </c>
      <c r="E977" t="s">
        <v>829</v>
      </c>
      <c r="F977" t="s">
        <v>803</v>
      </c>
      <c r="G977" t="s">
        <v>830</v>
      </c>
      <c r="H977" t="s">
        <v>831</v>
      </c>
      <c r="I977" t="s">
        <v>722</v>
      </c>
      <c r="J977" t="s">
        <v>721</v>
      </c>
      <c r="K977"/>
      <c r="L977"/>
      <c r="M977" t="s">
        <v>843</v>
      </c>
      <c r="N977" t="s">
        <v>844</v>
      </c>
      <c r="O977"/>
      <c r="P977" t="e">
        <f>VLOOKUP(N977,#REF!,2,FALSE)</f>
        <v>#REF!</v>
      </c>
      <c r="Q977" t="s">
        <v>872</v>
      </c>
      <c r="R977" s="345">
        <v>1577.19</v>
      </c>
    </row>
    <row r="978" spans="1:18" x14ac:dyDescent="0.2">
      <c r="A978" s="344" t="s">
        <v>755</v>
      </c>
      <c r="B978" t="s">
        <v>827</v>
      </c>
      <c r="C978" t="s">
        <v>823</v>
      </c>
      <c r="D978" t="s">
        <v>746</v>
      </c>
      <c r="E978" t="s">
        <v>829</v>
      </c>
      <c r="F978" t="s">
        <v>803</v>
      </c>
      <c r="G978" t="s">
        <v>830</v>
      </c>
      <c r="H978" t="s">
        <v>831</v>
      </c>
      <c r="I978" t="s">
        <v>722</v>
      </c>
      <c r="J978" t="s">
        <v>721</v>
      </c>
      <c r="K978"/>
      <c r="L978"/>
      <c r="M978" t="s">
        <v>843</v>
      </c>
      <c r="N978" t="s">
        <v>844</v>
      </c>
      <c r="O978"/>
      <c r="P978" t="e">
        <f>VLOOKUP(N978,#REF!,2,FALSE)</f>
        <v>#REF!</v>
      </c>
      <c r="Q978" t="s">
        <v>872</v>
      </c>
      <c r="R978" s="345">
        <v>-1210.75</v>
      </c>
    </row>
    <row r="979" spans="1:18" x14ac:dyDescent="0.2">
      <c r="A979" s="344" t="s">
        <v>756</v>
      </c>
      <c r="B979" t="s">
        <v>827</v>
      </c>
      <c r="C979" t="s">
        <v>823</v>
      </c>
      <c r="D979" t="s">
        <v>746</v>
      </c>
      <c r="E979" t="s">
        <v>829</v>
      </c>
      <c r="F979" t="s">
        <v>803</v>
      </c>
      <c r="G979" t="s">
        <v>830</v>
      </c>
      <c r="H979" t="s">
        <v>831</v>
      </c>
      <c r="I979" t="s">
        <v>722</v>
      </c>
      <c r="J979" t="s">
        <v>721</v>
      </c>
      <c r="K979"/>
      <c r="L979"/>
      <c r="M979" t="s">
        <v>843</v>
      </c>
      <c r="N979" t="s">
        <v>844</v>
      </c>
      <c r="O979"/>
      <c r="P979" t="e">
        <f>VLOOKUP(N979,#REF!,2,FALSE)</f>
        <v>#REF!</v>
      </c>
      <c r="Q979" t="s">
        <v>872</v>
      </c>
      <c r="R979" s="345">
        <v>-723.85</v>
      </c>
    </row>
    <row r="980" spans="1:18" x14ac:dyDescent="0.2">
      <c r="A980" s="344" t="s">
        <v>757</v>
      </c>
      <c r="B980" t="s">
        <v>827</v>
      </c>
      <c r="C980" t="s">
        <v>823</v>
      </c>
      <c r="D980" t="s">
        <v>746</v>
      </c>
      <c r="E980" t="s">
        <v>829</v>
      </c>
      <c r="F980" t="s">
        <v>803</v>
      </c>
      <c r="G980" t="s">
        <v>830</v>
      </c>
      <c r="H980" t="s">
        <v>831</v>
      </c>
      <c r="I980" t="s">
        <v>722</v>
      </c>
      <c r="J980" t="s">
        <v>721</v>
      </c>
      <c r="K980"/>
      <c r="L980"/>
      <c r="M980" t="s">
        <v>843</v>
      </c>
      <c r="N980" t="s">
        <v>844</v>
      </c>
      <c r="O980"/>
      <c r="P980" t="e">
        <f>VLOOKUP(N980,#REF!,2,FALSE)</f>
        <v>#REF!</v>
      </c>
      <c r="Q980" t="s">
        <v>872</v>
      </c>
      <c r="R980" s="345">
        <v>780.67</v>
      </c>
    </row>
    <row r="981" spans="1:18" x14ac:dyDescent="0.2">
      <c r="A981" s="344" t="s">
        <v>758</v>
      </c>
      <c r="B981" t="s">
        <v>827</v>
      </c>
      <c r="C981" t="s">
        <v>823</v>
      </c>
      <c r="D981" t="s">
        <v>746</v>
      </c>
      <c r="E981" t="s">
        <v>829</v>
      </c>
      <c r="F981" t="s">
        <v>803</v>
      </c>
      <c r="G981" t="s">
        <v>830</v>
      </c>
      <c r="H981" t="s">
        <v>831</v>
      </c>
      <c r="I981" t="s">
        <v>722</v>
      </c>
      <c r="J981" t="s">
        <v>721</v>
      </c>
      <c r="K981"/>
      <c r="L981"/>
      <c r="M981" t="s">
        <v>843</v>
      </c>
      <c r="N981" t="s">
        <v>844</v>
      </c>
      <c r="O981"/>
      <c r="P981" t="e">
        <f>VLOOKUP(N981,#REF!,2,FALSE)</f>
        <v>#REF!</v>
      </c>
      <c r="Q981" t="s">
        <v>872</v>
      </c>
      <c r="R981" s="345">
        <v>-81.98</v>
      </c>
    </row>
    <row r="982" spans="1:18" x14ac:dyDescent="0.2">
      <c r="A982" s="344" t="s">
        <v>759</v>
      </c>
      <c r="B982" t="s">
        <v>827</v>
      </c>
      <c r="C982" t="s">
        <v>823</v>
      </c>
      <c r="D982" t="s">
        <v>746</v>
      </c>
      <c r="E982" t="s">
        <v>829</v>
      </c>
      <c r="F982" t="s">
        <v>803</v>
      </c>
      <c r="G982" t="s">
        <v>830</v>
      </c>
      <c r="H982" t="s">
        <v>831</v>
      </c>
      <c r="I982" t="s">
        <v>722</v>
      </c>
      <c r="J982" t="s">
        <v>721</v>
      </c>
      <c r="K982"/>
      <c r="L982"/>
      <c r="M982" t="s">
        <v>843</v>
      </c>
      <c r="N982" t="s">
        <v>844</v>
      </c>
      <c r="O982"/>
      <c r="P982" t="e">
        <f>VLOOKUP(N982,#REF!,2,FALSE)</f>
        <v>#REF!</v>
      </c>
      <c r="Q982" t="s">
        <v>872</v>
      </c>
      <c r="R982" s="345">
        <v>-883.16</v>
      </c>
    </row>
    <row r="983" spans="1:18" x14ac:dyDescent="0.2">
      <c r="A983" s="344" t="s">
        <v>743</v>
      </c>
      <c r="B983" t="s">
        <v>827</v>
      </c>
      <c r="C983" t="s">
        <v>823</v>
      </c>
      <c r="D983" t="s">
        <v>746</v>
      </c>
      <c r="E983" t="s">
        <v>829</v>
      </c>
      <c r="F983" t="s">
        <v>803</v>
      </c>
      <c r="G983" t="s">
        <v>830</v>
      </c>
      <c r="H983" t="s">
        <v>831</v>
      </c>
      <c r="I983" t="s">
        <v>722</v>
      </c>
      <c r="J983" t="s">
        <v>721</v>
      </c>
      <c r="K983"/>
      <c r="L983"/>
      <c r="M983" t="s">
        <v>843</v>
      </c>
      <c r="N983" t="s">
        <v>844</v>
      </c>
      <c r="O983"/>
      <c r="P983" t="e">
        <f>VLOOKUP(N983,#REF!,2,FALSE)</f>
        <v>#REF!</v>
      </c>
      <c r="Q983" t="s">
        <v>872</v>
      </c>
      <c r="R983" s="345">
        <v>-459.74</v>
      </c>
    </row>
    <row r="984" spans="1:18" x14ac:dyDescent="0.2">
      <c r="A984" s="344" t="s">
        <v>760</v>
      </c>
      <c r="B984" t="s">
        <v>827</v>
      </c>
      <c r="C984" t="s">
        <v>823</v>
      </c>
      <c r="D984" t="s">
        <v>746</v>
      </c>
      <c r="E984" t="s">
        <v>829</v>
      </c>
      <c r="F984" t="s">
        <v>803</v>
      </c>
      <c r="G984" t="s">
        <v>830</v>
      </c>
      <c r="H984" t="s">
        <v>831</v>
      </c>
      <c r="I984" t="s">
        <v>722</v>
      </c>
      <c r="J984" t="s">
        <v>721</v>
      </c>
      <c r="K984"/>
      <c r="L984"/>
      <c r="M984" t="s">
        <v>843</v>
      </c>
      <c r="N984" t="s">
        <v>844</v>
      </c>
      <c r="O984"/>
      <c r="P984" t="e">
        <f>VLOOKUP(N984,#REF!,2,FALSE)</f>
        <v>#REF!</v>
      </c>
      <c r="Q984" t="s">
        <v>872</v>
      </c>
      <c r="R984" s="345">
        <v>-1262.3399999999999</v>
      </c>
    </row>
    <row r="985" spans="1:18" x14ac:dyDescent="0.2">
      <c r="A985" s="344" t="s">
        <v>745</v>
      </c>
      <c r="B985" t="s">
        <v>827</v>
      </c>
      <c r="C985" t="s">
        <v>823</v>
      </c>
      <c r="D985" t="s">
        <v>746</v>
      </c>
      <c r="E985" t="s">
        <v>829</v>
      </c>
      <c r="F985" t="s">
        <v>803</v>
      </c>
      <c r="G985" t="s">
        <v>830</v>
      </c>
      <c r="H985" t="s">
        <v>831</v>
      </c>
      <c r="I985" t="s">
        <v>722</v>
      </c>
      <c r="J985" t="s">
        <v>721</v>
      </c>
      <c r="K985"/>
      <c r="L985"/>
      <c r="M985" t="s">
        <v>843</v>
      </c>
      <c r="N985" t="s">
        <v>844</v>
      </c>
      <c r="O985"/>
      <c r="P985" t="e">
        <f>VLOOKUP(N985,#REF!,2,FALSE)</f>
        <v>#REF!</v>
      </c>
      <c r="Q985" t="s">
        <v>872</v>
      </c>
      <c r="R985" s="345">
        <v>-1524.28</v>
      </c>
    </row>
    <row r="986" spans="1:18" x14ac:dyDescent="0.2">
      <c r="A986" s="344" t="s">
        <v>749</v>
      </c>
      <c r="B986" t="s">
        <v>827</v>
      </c>
      <c r="C986" t="s">
        <v>823</v>
      </c>
      <c r="D986" t="s">
        <v>746</v>
      </c>
      <c r="E986" t="s">
        <v>829</v>
      </c>
      <c r="F986" t="s">
        <v>803</v>
      </c>
      <c r="G986" t="s">
        <v>830</v>
      </c>
      <c r="H986" t="s">
        <v>831</v>
      </c>
      <c r="I986" t="s">
        <v>722</v>
      </c>
      <c r="J986" t="s">
        <v>721</v>
      </c>
      <c r="K986"/>
      <c r="L986"/>
      <c r="M986" t="s">
        <v>843</v>
      </c>
      <c r="N986" t="s">
        <v>844</v>
      </c>
      <c r="O986"/>
      <c r="P986" t="e">
        <f>VLOOKUP(N986,#REF!,2,FALSE)</f>
        <v>#REF!</v>
      </c>
      <c r="Q986" t="s">
        <v>890</v>
      </c>
      <c r="R986" s="345">
        <v>-452.47</v>
      </c>
    </row>
    <row r="987" spans="1:18" x14ac:dyDescent="0.2">
      <c r="A987" s="344" t="s">
        <v>752</v>
      </c>
      <c r="B987" t="s">
        <v>827</v>
      </c>
      <c r="C987" t="s">
        <v>823</v>
      </c>
      <c r="D987" t="s">
        <v>746</v>
      </c>
      <c r="E987" t="s">
        <v>829</v>
      </c>
      <c r="F987" t="s">
        <v>803</v>
      </c>
      <c r="G987" t="s">
        <v>830</v>
      </c>
      <c r="H987" t="s">
        <v>831</v>
      </c>
      <c r="I987" t="s">
        <v>722</v>
      </c>
      <c r="J987" t="s">
        <v>721</v>
      </c>
      <c r="K987"/>
      <c r="L987"/>
      <c r="M987" t="s">
        <v>843</v>
      </c>
      <c r="N987" t="s">
        <v>844</v>
      </c>
      <c r="O987"/>
      <c r="P987" t="e">
        <f>VLOOKUP(N987,#REF!,2,FALSE)</f>
        <v>#REF!</v>
      </c>
      <c r="Q987" t="s">
        <v>890</v>
      </c>
      <c r="R987" s="345">
        <v>452.47</v>
      </c>
    </row>
    <row r="988" spans="1:18" x14ac:dyDescent="0.2">
      <c r="A988" s="344" t="s">
        <v>749</v>
      </c>
      <c r="B988" t="s">
        <v>827</v>
      </c>
      <c r="C988" t="s">
        <v>823</v>
      </c>
      <c r="D988" t="s">
        <v>746</v>
      </c>
      <c r="E988" t="s">
        <v>829</v>
      </c>
      <c r="F988" t="s">
        <v>803</v>
      </c>
      <c r="G988" t="s">
        <v>830</v>
      </c>
      <c r="H988" t="s">
        <v>831</v>
      </c>
      <c r="I988" t="s">
        <v>722</v>
      </c>
      <c r="J988" t="s">
        <v>721</v>
      </c>
      <c r="K988"/>
      <c r="L988"/>
      <c r="M988" t="s">
        <v>843</v>
      </c>
      <c r="N988" t="s">
        <v>844</v>
      </c>
      <c r="O988"/>
      <c r="P988" t="e">
        <f>VLOOKUP(N988,#REF!,2,FALSE)</f>
        <v>#REF!</v>
      </c>
      <c r="Q988" t="s">
        <v>873</v>
      </c>
      <c r="R988" s="345">
        <v>1521.99</v>
      </c>
    </row>
    <row r="989" spans="1:18" x14ac:dyDescent="0.2">
      <c r="A989" s="344" t="s">
        <v>752</v>
      </c>
      <c r="B989" t="s">
        <v>827</v>
      </c>
      <c r="C989" t="s">
        <v>823</v>
      </c>
      <c r="D989" t="s">
        <v>746</v>
      </c>
      <c r="E989" t="s">
        <v>829</v>
      </c>
      <c r="F989" t="s">
        <v>803</v>
      </c>
      <c r="G989" t="s">
        <v>830</v>
      </c>
      <c r="H989" t="s">
        <v>831</v>
      </c>
      <c r="I989" t="s">
        <v>722</v>
      </c>
      <c r="J989" t="s">
        <v>721</v>
      </c>
      <c r="K989"/>
      <c r="L989"/>
      <c r="M989" t="s">
        <v>843</v>
      </c>
      <c r="N989" t="s">
        <v>844</v>
      </c>
      <c r="O989"/>
      <c r="P989" t="e">
        <f>VLOOKUP(N989,#REF!,2,FALSE)</f>
        <v>#REF!</v>
      </c>
      <c r="Q989" t="s">
        <v>873</v>
      </c>
      <c r="R989" s="345">
        <v>-5805.89</v>
      </c>
    </row>
    <row r="990" spans="1:18" x14ac:dyDescent="0.2">
      <c r="A990" s="344" t="s">
        <v>753</v>
      </c>
      <c r="B990" t="s">
        <v>827</v>
      </c>
      <c r="C990" t="s">
        <v>823</v>
      </c>
      <c r="D990" t="s">
        <v>746</v>
      </c>
      <c r="E990" t="s">
        <v>829</v>
      </c>
      <c r="F990" t="s">
        <v>803</v>
      </c>
      <c r="G990" t="s">
        <v>830</v>
      </c>
      <c r="H990" t="s">
        <v>831</v>
      </c>
      <c r="I990" t="s">
        <v>722</v>
      </c>
      <c r="J990" t="s">
        <v>721</v>
      </c>
      <c r="K990"/>
      <c r="L990"/>
      <c r="M990" t="s">
        <v>843</v>
      </c>
      <c r="N990" t="s">
        <v>844</v>
      </c>
      <c r="O990"/>
      <c r="P990" t="e">
        <f>VLOOKUP(N990,#REF!,2,FALSE)</f>
        <v>#REF!</v>
      </c>
      <c r="Q990" t="s">
        <v>873</v>
      </c>
      <c r="R990" s="345">
        <v>3667.81</v>
      </c>
    </row>
    <row r="991" spans="1:18" x14ac:dyDescent="0.2">
      <c r="A991" s="344" t="s">
        <v>754</v>
      </c>
      <c r="B991" t="s">
        <v>827</v>
      </c>
      <c r="C991" t="s">
        <v>823</v>
      </c>
      <c r="D991" t="s">
        <v>746</v>
      </c>
      <c r="E991" t="s">
        <v>829</v>
      </c>
      <c r="F991" t="s">
        <v>803</v>
      </c>
      <c r="G991" t="s">
        <v>830</v>
      </c>
      <c r="H991" t="s">
        <v>831</v>
      </c>
      <c r="I991" t="s">
        <v>722</v>
      </c>
      <c r="J991" t="s">
        <v>721</v>
      </c>
      <c r="K991"/>
      <c r="L991"/>
      <c r="M991" t="s">
        <v>843</v>
      </c>
      <c r="N991" t="s">
        <v>844</v>
      </c>
      <c r="O991"/>
      <c r="P991" t="e">
        <f>VLOOKUP(N991,#REF!,2,FALSE)</f>
        <v>#REF!</v>
      </c>
      <c r="Q991" t="s">
        <v>873</v>
      </c>
      <c r="R991" s="345">
        <v>-751.34</v>
      </c>
    </row>
    <row r="992" spans="1:18" x14ac:dyDescent="0.2">
      <c r="A992" s="344" t="s">
        <v>755</v>
      </c>
      <c r="B992" t="s">
        <v>827</v>
      </c>
      <c r="C992" t="s">
        <v>823</v>
      </c>
      <c r="D992" t="s">
        <v>746</v>
      </c>
      <c r="E992" t="s">
        <v>829</v>
      </c>
      <c r="F992" t="s">
        <v>803</v>
      </c>
      <c r="G992" t="s">
        <v>830</v>
      </c>
      <c r="H992" t="s">
        <v>831</v>
      </c>
      <c r="I992" t="s">
        <v>722</v>
      </c>
      <c r="J992" t="s">
        <v>721</v>
      </c>
      <c r="K992"/>
      <c r="L992"/>
      <c r="M992" t="s">
        <v>843</v>
      </c>
      <c r="N992" t="s">
        <v>844</v>
      </c>
      <c r="O992"/>
      <c r="P992" t="e">
        <f>VLOOKUP(N992,#REF!,2,FALSE)</f>
        <v>#REF!</v>
      </c>
      <c r="Q992" t="s">
        <v>873</v>
      </c>
      <c r="R992" s="345">
        <v>-400.79</v>
      </c>
    </row>
    <row r="993" spans="1:18" x14ac:dyDescent="0.2">
      <c r="A993" s="344" t="s">
        <v>756</v>
      </c>
      <c r="B993" t="s">
        <v>827</v>
      </c>
      <c r="C993" t="s">
        <v>823</v>
      </c>
      <c r="D993" t="s">
        <v>746</v>
      </c>
      <c r="E993" t="s">
        <v>829</v>
      </c>
      <c r="F993" t="s">
        <v>803</v>
      </c>
      <c r="G993" t="s">
        <v>830</v>
      </c>
      <c r="H993" t="s">
        <v>831</v>
      </c>
      <c r="I993" t="s">
        <v>722</v>
      </c>
      <c r="J993" t="s">
        <v>721</v>
      </c>
      <c r="K993"/>
      <c r="L993"/>
      <c r="M993" t="s">
        <v>843</v>
      </c>
      <c r="N993" t="s">
        <v>844</v>
      </c>
      <c r="O993"/>
      <c r="P993" t="e">
        <f>VLOOKUP(N993,#REF!,2,FALSE)</f>
        <v>#REF!</v>
      </c>
      <c r="Q993" t="s">
        <v>873</v>
      </c>
      <c r="R993" s="345">
        <v>-324.60000000000002</v>
      </c>
    </row>
    <row r="994" spans="1:18" x14ac:dyDescent="0.2">
      <c r="A994" s="344" t="s">
        <v>757</v>
      </c>
      <c r="B994" t="s">
        <v>827</v>
      </c>
      <c r="C994" t="s">
        <v>823</v>
      </c>
      <c r="D994" t="s">
        <v>746</v>
      </c>
      <c r="E994" t="s">
        <v>829</v>
      </c>
      <c r="F994" t="s">
        <v>803</v>
      </c>
      <c r="G994" t="s">
        <v>830</v>
      </c>
      <c r="H994" t="s">
        <v>831</v>
      </c>
      <c r="I994" t="s">
        <v>722</v>
      </c>
      <c r="J994" t="s">
        <v>721</v>
      </c>
      <c r="K994"/>
      <c r="L994"/>
      <c r="M994" t="s">
        <v>843</v>
      </c>
      <c r="N994" t="s">
        <v>844</v>
      </c>
      <c r="O994"/>
      <c r="P994" t="e">
        <f>VLOOKUP(N994,#REF!,2,FALSE)</f>
        <v>#REF!</v>
      </c>
      <c r="Q994" t="s">
        <v>873</v>
      </c>
      <c r="R994" s="345">
        <v>-5023.66</v>
      </c>
    </row>
    <row r="995" spans="1:18" x14ac:dyDescent="0.2">
      <c r="A995" s="344" t="s">
        <v>758</v>
      </c>
      <c r="B995" t="s">
        <v>827</v>
      </c>
      <c r="C995" t="s">
        <v>823</v>
      </c>
      <c r="D995" t="s">
        <v>746</v>
      </c>
      <c r="E995" t="s">
        <v>829</v>
      </c>
      <c r="F995" t="s">
        <v>803</v>
      </c>
      <c r="G995" t="s">
        <v>830</v>
      </c>
      <c r="H995" t="s">
        <v>831</v>
      </c>
      <c r="I995" t="s">
        <v>722</v>
      </c>
      <c r="J995" t="s">
        <v>721</v>
      </c>
      <c r="K995"/>
      <c r="L995"/>
      <c r="M995" t="s">
        <v>843</v>
      </c>
      <c r="N995" t="s">
        <v>844</v>
      </c>
      <c r="O995"/>
      <c r="P995" t="e">
        <f>VLOOKUP(N995,#REF!,2,FALSE)</f>
        <v>#REF!</v>
      </c>
      <c r="Q995" t="s">
        <v>873</v>
      </c>
      <c r="R995" s="345">
        <v>637.25</v>
      </c>
    </row>
    <row r="996" spans="1:18" x14ac:dyDescent="0.2">
      <c r="A996" s="344" t="s">
        <v>759</v>
      </c>
      <c r="B996" t="s">
        <v>827</v>
      </c>
      <c r="C996" t="s">
        <v>823</v>
      </c>
      <c r="D996" t="s">
        <v>746</v>
      </c>
      <c r="E996" t="s">
        <v>829</v>
      </c>
      <c r="F996" t="s">
        <v>803</v>
      </c>
      <c r="G996" t="s">
        <v>830</v>
      </c>
      <c r="H996" t="s">
        <v>831</v>
      </c>
      <c r="I996" t="s">
        <v>722</v>
      </c>
      <c r="J996" t="s">
        <v>721</v>
      </c>
      <c r="K996"/>
      <c r="L996"/>
      <c r="M996" t="s">
        <v>843</v>
      </c>
      <c r="N996" t="s">
        <v>844</v>
      </c>
      <c r="O996"/>
      <c r="P996" t="e">
        <f>VLOOKUP(N996,#REF!,2,FALSE)</f>
        <v>#REF!</v>
      </c>
      <c r="Q996" t="s">
        <v>873</v>
      </c>
      <c r="R996" s="345">
        <v>-119.88</v>
      </c>
    </row>
    <row r="997" spans="1:18" x14ac:dyDescent="0.2">
      <c r="A997" s="344" t="s">
        <v>743</v>
      </c>
      <c r="B997" t="s">
        <v>827</v>
      </c>
      <c r="C997" t="s">
        <v>823</v>
      </c>
      <c r="D997" t="s">
        <v>746</v>
      </c>
      <c r="E997" t="s">
        <v>829</v>
      </c>
      <c r="F997" t="s">
        <v>803</v>
      </c>
      <c r="G997" t="s">
        <v>830</v>
      </c>
      <c r="H997" t="s">
        <v>831</v>
      </c>
      <c r="I997" t="s">
        <v>722</v>
      </c>
      <c r="J997" t="s">
        <v>721</v>
      </c>
      <c r="K997"/>
      <c r="L997"/>
      <c r="M997" t="s">
        <v>843</v>
      </c>
      <c r="N997" t="s">
        <v>844</v>
      </c>
      <c r="O997"/>
      <c r="P997" t="e">
        <f>VLOOKUP(N997,#REF!,2,FALSE)</f>
        <v>#REF!</v>
      </c>
      <c r="Q997" t="s">
        <v>873</v>
      </c>
      <c r="R997" s="345">
        <v>-5027.2700000000004</v>
      </c>
    </row>
    <row r="998" spans="1:18" x14ac:dyDescent="0.2">
      <c r="A998" s="344" t="s">
        <v>760</v>
      </c>
      <c r="B998" t="s">
        <v>827</v>
      </c>
      <c r="C998" t="s">
        <v>823</v>
      </c>
      <c r="D998" t="s">
        <v>746</v>
      </c>
      <c r="E998" t="s">
        <v>829</v>
      </c>
      <c r="F998" t="s">
        <v>803</v>
      </c>
      <c r="G998" t="s">
        <v>830</v>
      </c>
      <c r="H998" t="s">
        <v>831</v>
      </c>
      <c r="I998" t="s">
        <v>722</v>
      </c>
      <c r="J998" t="s">
        <v>721</v>
      </c>
      <c r="K998"/>
      <c r="L998"/>
      <c r="M998" t="s">
        <v>843</v>
      </c>
      <c r="N998" t="s">
        <v>844</v>
      </c>
      <c r="O998"/>
      <c r="P998" t="e">
        <f>VLOOKUP(N998,#REF!,2,FALSE)</f>
        <v>#REF!</v>
      </c>
      <c r="Q998" t="s">
        <v>873</v>
      </c>
      <c r="R998" s="345">
        <v>1044.93</v>
      </c>
    </row>
    <row r="999" spans="1:18" x14ac:dyDescent="0.2">
      <c r="A999" s="344" t="s">
        <v>745</v>
      </c>
      <c r="B999" t="s">
        <v>827</v>
      </c>
      <c r="C999" t="s">
        <v>823</v>
      </c>
      <c r="D999" t="s">
        <v>746</v>
      </c>
      <c r="E999" t="s">
        <v>829</v>
      </c>
      <c r="F999" t="s">
        <v>803</v>
      </c>
      <c r="G999" t="s">
        <v>830</v>
      </c>
      <c r="H999" t="s">
        <v>831</v>
      </c>
      <c r="I999" t="s">
        <v>722</v>
      </c>
      <c r="J999" t="s">
        <v>721</v>
      </c>
      <c r="K999"/>
      <c r="L999"/>
      <c r="M999" t="s">
        <v>843</v>
      </c>
      <c r="N999" t="s">
        <v>844</v>
      </c>
      <c r="O999"/>
      <c r="P999" t="e">
        <f>VLOOKUP(N999,#REF!,2,FALSE)</f>
        <v>#REF!</v>
      </c>
      <c r="Q999" t="s">
        <v>873</v>
      </c>
      <c r="R999" s="345">
        <v>-1211.1600000000001</v>
      </c>
    </row>
    <row r="1000" spans="1:18" x14ac:dyDescent="0.2">
      <c r="A1000" s="344" t="s">
        <v>749</v>
      </c>
      <c r="B1000" t="s">
        <v>827</v>
      </c>
      <c r="C1000" t="s">
        <v>823</v>
      </c>
      <c r="D1000" t="s">
        <v>746</v>
      </c>
      <c r="E1000" t="s">
        <v>829</v>
      </c>
      <c r="F1000" t="s">
        <v>803</v>
      </c>
      <c r="G1000" t="s">
        <v>830</v>
      </c>
      <c r="H1000" t="s">
        <v>831</v>
      </c>
      <c r="I1000" t="s">
        <v>722</v>
      </c>
      <c r="J1000" t="s">
        <v>721</v>
      </c>
      <c r="K1000"/>
      <c r="L1000"/>
      <c r="M1000" t="s">
        <v>843</v>
      </c>
      <c r="N1000" t="s">
        <v>844</v>
      </c>
      <c r="O1000"/>
      <c r="P1000" t="e">
        <f>VLOOKUP(N1000,#REF!,2,FALSE)</f>
        <v>#REF!</v>
      </c>
      <c r="Q1000" t="s">
        <v>874</v>
      </c>
      <c r="R1000" s="345">
        <v>-1812.49</v>
      </c>
    </row>
    <row r="1001" spans="1:18" x14ac:dyDescent="0.2">
      <c r="A1001" s="344" t="s">
        <v>752</v>
      </c>
      <c r="B1001" t="s">
        <v>827</v>
      </c>
      <c r="C1001" t="s">
        <v>823</v>
      </c>
      <c r="D1001" t="s">
        <v>746</v>
      </c>
      <c r="E1001" t="s">
        <v>829</v>
      </c>
      <c r="F1001" t="s">
        <v>803</v>
      </c>
      <c r="G1001" t="s">
        <v>830</v>
      </c>
      <c r="H1001" t="s">
        <v>831</v>
      </c>
      <c r="I1001" t="s">
        <v>722</v>
      </c>
      <c r="J1001" t="s">
        <v>721</v>
      </c>
      <c r="K1001"/>
      <c r="L1001"/>
      <c r="M1001" t="s">
        <v>843</v>
      </c>
      <c r="N1001" t="s">
        <v>844</v>
      </c>
      <c r="O1001"/>
      <c r="P1001" t="e">
        <f>VLOOKUP(N1001,#REF!,2,FALSE)</f>
        <v>#REF!</v>
      </c>
      <c r="Q1001" t="s">
        <v>874</v>
      </c>
      <c r="R1001" s="345">
        <v>1126.68</v>
      </c>
    </row>
    <row r="1002" spans="1:18" x14ac:dyDescent="0.2">
      <c r="A1002" s="344" t="s">
        <v>753</v>
      </c>
      <c r="B1002" t="s">
        <v>827</v>
      </c>
      <c r="C1002" t="s">
        <v>823</v>
      </c>
      <c r="D1002" t="s">
        <v>746</v>
      </c>
      <c r="E1002" t="s">
        <v>829</v>
      </c>
      <c r="F1002" t="s">
        <v>803</v>
      </c>
      <c r="G1002" t="s">
        <v>830</v>
      </c>
      <c r="H1002" t="s">
        <v>831</v>
      </c>
      <c r="I1002" t="s">
        <v>722</v>
      </c>
      <c r="J1002" t="s">
        <v>721</v>
      </c>
      <c r="K1002"/>
      <c r="L1002"/>
      <c r="M1002" t="s">
        <v>843</v>
      </c>
      <c r="N1002" t="s">
        <v>844</v>
      </c>
      <c r="O1002"/>
      <c r="P1002" t="e">
        <f>VLOOKUP(N1002,#REF!,2,FALSE)</f>
        <v>#REF!</v>
      </c>
      <c r="Q1002" t="s">
        <v>874</v>
      </c>
      <c r="R1002" s="345">
        <v>685.24</v>
      </c>
    </row>
    <row r="1003" spans="1:18" x14ac:dyDescent="0.2">
      <c r="A1003" s="344" t="s">
        <v>754</v>
      </c>
      <c r="B1003" t="s">
        <v>827</v>
      </c>
      <c r="C1003" t="s">
        <v>823</v>
      </c>
      <c r="D1003" t="s">
        <v>746</v>
      </c>
      <c r="E1003" t="s">
        <v>829</v>
      </c>
      <c r="F1003" t="s">
        <v>803</v>
      </c>
      <c r="G1003" t="s">
        <v>830</v>
      </c>
      <c r="H1003" t="s">
        <v>831</v>
      </c>
      <c r="I1003" t="s">
        <v>722</v>
      </c>
      <c r="J1003" t="s">
        <v>721</v>
      </c>
      <c r="K1003"/>
      <c r="L1003"/>
      <c r="M1003" t="s">
        <v>843</v>
      </c>
      <c r="N1003" t="s">
        <v>844</v>
      </c>
      <c r="O1003"/>
      <c r="P1003" t="e">
        <f>VLOOKUP(N1003,#REF!,2,FALSE)</f>
        <v>#REF!</v>
      </c>
      <c r="Q1003" t="s">
        <v>874</v>
      </c>
      <c r="R1003" s="345">
        <v>-8747.42</v>
      </c>
    </row>
    <row r="1004" spans="1:18" x14ac:dyDescent="0.2">
      <c r="A1004" s="344" t="s">
        <v>755</v>
      </c>
      <c r="B1004" t="s">
        <v>827</v>
      </c>
      <c r="C1004" t="s">
        <v>823</v>
      </c>
      <c r="D1004" t="s">
        <v>746</v>
      </c>
      <c r="E1004" t="s">
        <v>829</v>
      </c>
      <c r="F1004" t="s">
        <v>803</v>
      </c>
      <c r="G1004" t="s">
        <v>830</v>
      </c>
      <c r="H1004" t="s">
        <v>831</v>
      </c>
      <c r="I1004" t="s">
        <v>722</v>
      </c>
      <c r="J1004" t="s">
        <v>721</v>
      </c>
      <c r="K1004"/>
      <c r="L1004"/>
      <c r="M1004" t="s">
        <v>843</v>
      </c>
      <c r="N1004" t="s">
        <v>844</v>
      </c>
      <c r="O1004"/>
      <c r="P1004" t="e">
        <f>VLOOKUP(N1004,#REF!,2,FALSE)</f>
        <v>#REF!</v>
      </c>
      <c r="Q1004" t="s">
        <v>874</v>
      </c>
      <c r="R1004" s="345">
        <v>0</v>
      </c>
    </row>
    <row r="1005" spans="1:18" x14ac:dyDescent="0.2">
      <c r="A1005" s="344" t="s">
        <v>756</v>
      </c>
      <c r="B1005" t="s">
        <v>827</v>
      </c>
      <c r="C1005" t="s">
        <v>823</v>
      </c>
      <c r="D1005" t="s">
        <v>746</v>
      </c>
      <c r="E1005" t="s">
        <v>829</v>
      </c>
      <c r="F1005" t="s">
        <v>803</v>
      </c>
      <c r="G1005" t="s">
        <v>830</v>
      </c>
      <c r="H1005" t="s">
        <v>831</v>
      </c>
      <c r="I1005" t="s">
        <v>722</v>
      </c>
      <c r="J1005" t="s">
        <v>721</v>
      </c>
      <c r="K1005"/>
      <c r="L1005"/>
      <c r="M1005" t="s">
        <v>843</v>
      </c>
      <c r="N1005" t="s">
        <v>844</v>
      </c>
      <c r="O1005"/>
      <c r="P1005" t="e">
        <f>VLOOKUP(N1005,#REF!,2,FALSE)</f>
        <v>#REF!</v>
      </c>
      <c r="Q1005" t="s">
        <v>874</v>
      </c>
      <c r="R1005" s="345">
        <v>-1124.5999999999999</v>
      </c>
    </row>
    <row r="1006" spans="1:18" x14ac:dyDescent="0.2">
      <c r="A1006" s="344" t="s">
        <v>757</v>
      </c>
      <c r="B1006" t="s">
        <v>827</v>
      </c>
      <c r="C1006" t="s">
        <v>823</v>
      </c>
      <c r="D1006" t="s">
        <v>746</v>
      </c>
      <c r="E1006" t="s">
        <v>829</v>
      </c>
      <c r="F1006" t="s">
        <v>803</v>
      </c>
      <c r="G1006" t="s">
        <v>830</v>
      </c>
      <c r="H1006" t="s">
        <v>831</v>
      </c>
      <c r="I1006" t="s">
        <v>722</v>
      </c>
      <c r="J1006" t="s">
        <v>721</v>
      </c>
      <c r="K1006"/>
      <c r="L1006"/>
      <c r="M1006" t="s">
        <v>843</v>
      </c>
      <c r="N1006" t="s">
        <v>844</v>
      </c>
      <c r="O1006"/>
      <c r="P1006" t="e">
        <f>VLOOKUP(N1006,#REF!,2,FALSE)</f>
        <v>#REF!</v>
      </c>
      <c r="Q1006" t="s">
        <v>874</v>
      </c>
      <c r="R1006" s="345">
        <v>1124.5999999999999</v>
      </c>
    </row>
    <row r="1007" spans="1:18" x14ac:dyDescent="0.2">
      <c r="A1007" s="344" t="s">
        <v>745</v>
      </c>
      <c r="B1007" t="s">
        <v>827</v>
      </c>
      <c r="C1007" t="s">
        <v>823</v>
      </c>
      <c r="D1007" t="s">
        <v>746</v>
      </c>
      <c r="E1007" t="s">
        <v>829</v>
      </c>
      <c r="F1007" t="s">
        <v>803</v>
      </c>
      <c r="G1007" t="s">
        <v>830</v>
      </c>
      <c r="H1007" t="s">
        <v>831</v>
      </c>
      <c r="I1007" t="s">
        <v>722</v>
      </c>
      <c r="J1007" t="s">
        <v>721</v>
      </c>
      <c r="K1007"/>
      <c r="L1007"/>
      <c r="M1007" t="s">
        <v>843</v>
      </c>
      <c r="N1007" t="s">
        <v>844</v>
      </c>
      <c r="O1007"/>
      <c r="P1007" t="e">
        <f>VLOOKUP(N1007,#REF!,2,FALSE)</f>
        <v>#REF!</v>
      </c>
      <c r="Q1007" t="s">
        <v>874</v>
      </c>
      <c r="R1007" s="345">
        <v>-4304.7299999999996</v>
      </c>
    </row>
    <row r="1008" spans="1:18" x14ac:dyDescent="0.2">
      <c r="A1008" s="344" t="s">
        <v>758</v>
      </c>
      <c r="B1008" t="s">
        <v>827</v>
      </c>
      <c r="C1008" t="s">
        <v>823</v>
      </c>
      <c r="D1008" t="s">
        <v>746</v>
      </c>
      <c r="E1008" t="s">
        <v>829</v>
      </c>
      <c r="F1008" t="s">
        <v>803</v>
      </c>
      <c r="G1008" t="s">
        <v>830</v>
      </c>
      <c r="H1008" t="s">
        <v>831</v>
      </c>
      <c r="I1008" t="s">
        <v>722</v>
      </c>
      <c r="J1008" t="s">
        <v>721</v>
      </c>
      <c r="K1008"/>
      <c r="L1008"/>
      <c r="M1008" t="s">
        <v>843</v>
      </c>
      <c r="N1008" t="s">
        <v>844</v>
      </c>
      <c r="O1008"/>
      <c r="P1008" t="e">
        <f>VLOOKUP(N1008,#REF!,2,FALSE)</f>
        <v>#REF!</v>
      </c>
      <c r="Q1008" t="s">
        <v>835</v>
      </c>
      <c r="R1008" s="345">
        <v>-59.37</v>
      </c>
    </row>
    <row r="1009" spans="1:18" x14ac:dyDescent="0.2">
      <c r="A1009" s="344" t="s">
        <v>759</v>
      </c>
      <c r="B1009" t="s">
        <v>827</v>
      </c>
      <c r="C1009" t="s">
        <v>823</v>
      </c>
      <c r="D1009" t="s">
        <v>746</v>
      </c>
      <c r="E1009" t="s">
        <v>829</v>
      </c>
      <c r="F1009" t="s">
        <v>803</v>
      </c>
      <c r="G1009" t="s">
        <v>830</v>
      </c>
      <c r="H1009" t="s">
        <v>831</v>
      </c>
      <c r="I1009" t="s">
        <v>722</v>
      </c>
      <c r="J1009" t="s">
        <v>721</v>
      </c>
      <c r="K1009"/>
      <c r="L1009"/>
      <c r="M1009" t="s">
        <v>843</v>
      </c>
      <c r="N1009" t="s">
        <v>844</v>
      </c>
      <c r="O1009"/>
      <c r="P1009" t="e">
        <f>VLOOKUP(N1009,#REF!,2,FALSE)</f>
        <v>#REF!</v>
      </c>
      <c r="Q1009" t="s">
        <v>835</v>
      </c>
      <c r="R1009" s="345">
        <v>59.37</v>
      </c>
    </row>
    <row r="1010" spans="1:18" x14ac:dyDescent="0.2">
      <c r="A1010" s="344" t="s">
        <v>753</v>
      </c>
      <c r="B1010" t="s">
        <v>827</v>
      </c>
      <c r="C1010" t="s">
        <v>823</v>
      </c>
      <c r="D1010" t="s">
        <v>746</v>
      </c>
      <c r="E1010" t="s">
        <v>829</v>
      </c>
      <c r="F1010" t="s">
        <v>803</v>
      </c>
      <c r="G1010" t="s">
        <v>830</v>
      </c>
      <c r="H1010" t="s">
        <v>831</v>
      </c>
      <c r="I1010" t="s">
        <v>722</v>
      </c>
      <c r="J1010" t="s">
        <v>721</v>
      </c>
      <c r="K1010"/>
      <c r="L1010"/>
      <c r="M1010" t="s">
        <v>843</v>
      </c>
      <c r="N1010" t="s">
        <v>844</v>
      </c>
      <c r="O1010"/>
      <c r="P1010" t="e">
        <f>VLOOKUP(N1010,#REF!,2,FALSE)</f>
        <v>#REF!</v>
      </c>
      <c r="Q1010" t="s">
        <v>859</v>
      </c>
      <c r="R1010" s="345">
        <v>-5115.42</v>
      </c>
    </row>
    <row r="1011" spans="1:18" x14ac:dyDescent="0.2">
      <c r="A1011" s="344" t="s">
        <v>754</v>
      </c>
      <c r="B1011" t="s">
        <v>827</v>
      </c>
      <c r="C1011" t="s">
        <v>823</v>
      </c>
      <c r="D1011" t="s">
        <v>746</v>
      </c>
      <c r="E1011" t="s">
        <v>829</v>
      </c>
      <c r="F1011" t="s">
        <v>803</v>
      </c>
      <c r="G1011" t="s">
        <v>830</v>
      </c>
      <c r="H1011" t="s">
        <v>831</v>
      </c>
      <c r="I1011" t="s">
        <v>722</v>
      </c>
      <c r="J1011" t="s">
        <v>721</v>
      </c>
      <c r="K1011"/>
      <c r="L1011"/>
      <c r="M1011" t="s">
        <v>843</v>
      </c>
      <c r="N1011" t="s">
        <v>844</v>
      </c>
      <c r="O1011"/>
      <c r="P1011" t="e">
        <f>VLOOKUP(N1011,#REF!,2,FALSE)</f>
        <v>#REF!</v>
      </c>
      <c r="Q1011" t="s">
        <v>859</v>
      </c>
      <c r="R1011" s="345">
        <v>-19141.060000000001</v>
      </c>
    </row>
    <row r="1012" spans="1:18" x14ac:dyDescent="0.2">
      <c r="A1012" s="344" t="s">
        <v>755</v>
      </c>
      <c r="B1012" t="s">
        <v>827</v>
      </c>
      <c r="C1012" t="s">
        <v>823</v>
      </c>
      <c r="D1012" t="s">
        <v>746</v>
      </c>
      <c r="E1012" t="s">
        <v>829</v>
      </c>
      <c r="F1012" t="s">
        <v>803</v>
      </c>
      <c r="G1012" t="s">
        <v>830</v>
      </c>
      <c r="H1012" t="s">
        <v>831</v>
      </c>
      <c r="I1012" t="s">
        <v>722</v>
      </c>
      <c r="J1012" t="s">
        <v>721</v>
      </c>
      <c r="K1012"/>
      <c r="L1012"/>
      <c r="M1012" t="s">
        <v>843</v>
      </c>
      <c r="N1012" t="s">
        <v>844</v>
      </c>
      <c r="O1012"/>
      <c r="P1012" t="e">
        <f>VLOOKUP(N1012,#REF!,2,FALSE)</f>
        <v>#REF!</v>
      </c>
      <c r="Q1012" t="s">
        <v>859</v>
      </c>
      <c r="R1012" s="345">
        <v>-23906.44</v>
      </c>
    </row>
    <row r="1013" spans="1:18" x14ac:dyDescent="0.2">
      <c r="A1013" s="344" t="s">
        <v>756</v>
      </c>
      <c r="B1013" t="s">
        <v>827</v>
      </c>
      <c r="C1013" t="s">
        <v>823</v>
      </c>
      <c r="D1013" t="s">
        <v>746</v>
      </c>
      <c r="E1013" t="s">
        <v>829</v>
      </c>
      <c r="F1013" t="s">
        <v>803</v>
      </c>
      <c r="G1013" t="s">
        <v>830</v>
      </c>
      <c r="H1013" t="s">
        <v>831</v>
      </c>
      <c r="I1013" t="s">
        <v>722</v>
      </c>
      <c r="J1013" t="s">
        <v>721</v>
      </c>
      <c r="K1013"/>
      <c r="L1013"/>
      <c r="M1013" t="s">
        <v>843</v>
      </c>
      <c r="N1013" t="s">
        <v>844</v>
      </c>
      <c r="O1013"/>
      <c r="P1013" t="e">
        <f>VLOOKUP(N1013,#REF!,2,FALSE)</f>
        <v>#REF!</v>
      </c>
      <c r="Q1013" t="s">
        <v>859</v>
      </c>
      <c r="R1013" s="345">
        <v>-15280.69</v>
      </c>
    </row>
    <row r="1014" spans="1:18" x14ac:dyDescent="0.2">
      <c r="A1014" s="344" t="s">
        <v>757</v>
      </c>
      <c r="B1014" t="s">
        <v>827</v>
      </c>
      <c r="C1014" t="s">
        <v>823</v>
      </c>
      <c r="D1014" t="s">
        <v>746</v>
      </c>
      <c r="E1014" t="s">
        <v>829</v>
      </c>
      <c r="F1014" t="s">
        <v>803</v>
      </c>
      <c r="G1014" t="s">
        <v>830</v>
      </c>
      <c r="H1014" t="s">
        <v>831</v>
      </c>
      <c r="I1014" t="s">
        <v>722</v>
      </c>
      <c r="J1014" t="s">
        <v>721</v>
      </c>
      <c r="K1014"/>
      <c r="L1014"/>
      <c r="M1014" t="s">
        <v>843</v>
      </c>
      <c r="N1014" t="s">
        <v>844</v>
      </c>
      <c r="O1014"/>
      <c r="P1014" t="e">
        <f>VLOOKUP(N1014,#REF!,2,FALSE)</f>
        <v>#REF!</v>
      </c>
      <c r="Q1014" t="s">
        <v>859</v>
      </c>
      <c r="R1014" s="345">
        <v>-10227</v>
      </c>
    </row>
    <row r="1015" spans="1:18" x14ac:dyDescent="0.2">
      <c r="A1015" s="344" t="s">
        <v>758</v>
      </c>
      <c r="B1015" t="s">
        <v>827</v>
      </c>
      <c r="C1015" t="s">
        <v>823</v>
      </c>
      <c r="D1015" t="s">
        <v>746</v>
      </c>
      <c r="E1015" t="s">
        <v>829</v>
      </c>
      <c r="F1015" t="s">
        <v>803</v>
      </c>
      <c r="G1015" t="s">
        <v>830</v>
      </c>
      <c r="H1015" t="s">
        <v>831</v>
      </c>
      <c r="I1015" t="s">
        <v>722</v>
      </c>
      <c r="J1015" t="s">
        <v>721</v>
      </c>
      <c r="K1015"/>
      <c r="L1015"/>
      <c r="M1015" t="s">
        <v>843</v>
      </c>
      <c r="N1015" t="s">
        <v>844</v>
      </c>
      <c r="O1015"/>
      <c r="P1015" t="e">
        <f>VLOOKUP(N1015,#REF!,2,FALSE)</f>
        <v>#REF!</v>
      </c>
      <c r="Q1015" t="s">
        <v>859</v>
      </c>
      <c r="R1015" s="345">
        <v>-4269.59</v>
      </c>
    </row>
    <row r="1016" spans="1:18" x14ac:dyDescent="0.2">
      <c r="A1016" s="344" t="s">
        <v>759</v>
      </c>
      <c r="B1016" t="s">
        <v>827</v>
      </c>
      <c r="C1016" t="s">
        <v>823</v>
      </c>
      <c r="D1016" t="s">
        <v>746</v>
      </c>
      <c r="E1016" t="s">
        <v>829</v>
      </c>
      <c r="F1016" t="s">
        <v>803</v>
      </c>
      <c r="G1016" t="s">
        <v>830</v>
      </c>
      <c r="H1016" t="s">
        <v>831</v>
      </c>
      <c r="I1016" t="s">
        <v>722</v>
      </c>
      <c r="J1016" t="s">
        <v>721</v>
      </c>
      <c r="K1016"/>
      <c r="L1016"/>
      <c r="M1016" t="s">
        <v>843</v>
      </c>
      <c r="N1016" t="s">
        <v>844</v>
      </c>
      <c r="O1016"/>
      <c r="P1016" t="e">
        <f>VLOOKUP(N1016,#REF!,2,FALSE)</f>
        <v>#REF!</v>
      </c>
      <c r="Q1016" t="s">
        <v>859</v>
      </c>
      <c r="R1016" s="345">
        <v>-2174.66</v>
      </c>
    </row>
    <row r="1017" spans="1:18" x14ac:dyDescent="0.2">
      <c r="A1017" s="344" t="s">
        <v>743</v>
      </c>
      <c r="B1017" t="s">
        <v>827</v>
      </c>
      <c r="C1017" t="s">
        <v>823</v>
      </c>
      <c r="D1017" t="s">
        <v>746</v>
      </c>
      <c r="E1017" t="s">
        <v>829</v>
      </c>
      <c r="F1017" t="s">
        <v>803</v>
      </c>
      <c r="G1017" t="s">
        <v>830</v>
      </c>
      <c r="H1017" t="s">
        <v>831</v>
      </c>
      <c r="I1017" t="s">
        <v>722</v>
      </c>
      <c r="J1017" t="s">
        <v>721</v>
      </c>
      <c r="K1017"/>
      <c r="L1017"/>
      <c r="M1017" t="s">
        <v>843</v>
      </c>
      <c r="N1017" t="s">
        <v>844</v>
      </c>
      <c r="O1017"/>
      <c r="P1017" t="e">
        <f>VLOOKUP(N1017,#REF!,2,FALSE)</f>
        <v>#REF!</v>
      </c>
      <c r="Q1017" t="s">
        <v>859</v>
      </c>
      <c r="R1017" s="345">
        <v>-1.7</v>
      </c>
    </row>
    <row r="1018" spans="1:18" x14ac:dyDescent="0.2">
      <c r="A1018" s="344" t="s">
        <v>749</v>
      </c>
      <c r="B1018" t="s">
        <v>827</v>
      </c>
      <c r="C1018" t="s">
        <v>823</v>
      </c>
      <c r="D1018" t="s">
        <v>746</v>
      </c>
      <c r="E1018" t="s">
        <v>829</v>
      </c>
      <c r="F1018" t="s">
        <v>803</v>
      </c>
      <c r="G1018" t="s">
        <v>830</v>
      </c>
      <c r="H1018" t="s">
        <v>831</v>
      </c>
      <c r="I1018" t="s">
        <v>722</v>
      </c>
      <c r="J1018" t="s">
        <v>721</v>
      </c>
      <c r="K1018"/>
      <c r="L1018"/>
      <c r="M1018" t="s">
        <v>843</v>
      </c>
      <c r="N1018" t="s">
        <v>844</v>
      </c>
      <c r="O1018"/>
      <c r="P1018" t="e">
        <f>VLOOKUP(N1018,#REF!,2,FALSE)</f>
        <v>#REF!</v>
      </c>
      <c r="Q1018" t="s">
        <v>886</v>
      </c>
      <c r="R1018" s="345">
        <v>-5344.39</v>
      </c>
    </row>
    <row r="1019" spans="1:18" x14ac:dyDescent="0.2">
      <c r="A1019" s="344" t="s">
        <v>752</v>
      </c>
      <c r="B1019" t="s">
        <v>827</v>
      </c>
      <c r="C1019" t="s">
        <v>823</v>
      </c>
      <c r="D1019" t="s">
        <v>746</v>
      </c>
      <c r="E1019" t="s">
        <v>829</v>
      </c>
      <c r="F1019" t="s">
        <v>803</v>
      </c>
      <c r="G1019" t="s">
        <v>830</v>
      </c>
      <c r="H1019" t="s">
        <v>831</v>
      </c>
      <c r="I1019" t="s">
        <v>722</v>
      </c>
      <c r="J1019" t="s">
        <v>721</v>
      </c>
      <c r="K1019"/>
      <c r="L1019"/>
      <c r="M1019" t="s">
        <v>843</v>
      </c>
      <c r="N1019" t="s">
        <v>844</v>
      </c>
      <c r="O1019"/>
      <c r="P1019" t="e">
        <f>VLOOKUP(N1019,#REF!,2,FALSE)</f>
        <v>#REF!</v>
      </c>
      <c r="Q1019" t="s">
        <v>886</v>
      </c>
      <c r="R1019" s="345">
        <v>5344.39</v>
      </c>
    </row>
    <row r="1020" spans="1:18" x14ac:dyDescent="0.2">
      <c r="A1020" s="344" t="s">
        <v>749</v>
      </c>
      <c r="B1020" t="s">
        <v>827</v>
      </c>
      <c r="C1020" t="s">
        <v>823</v>
      </c>
      <c r="D1020" t="s">
        <v>746</v>
      </c>
      <c r="E1020" t="s">
        <v>829</v>
      </c>
      <c r="F1020" t="s">
        <v>803</v>
      </c>
      <c r="G1020" t="s">
        <v>830</v>
      </c>
      <c r="H1020" t="s">
        <v>831</v>
      </c>
      <c r="I1020" t="s">
        <v>722</v>
      </c>
      <c r="J1020" t="s">
        <v>721</v>
      </c>
      <c r="K1020"/>
      <c r="L1020"/>
      <c r="M1020" t="s">
        <v>843</v>
      </c>
      <c r="N1020" t="s">
        <v>844</v>
      </c>
      <c r="O1020"/>
      <c r="P1020" t="e">
        <f>VLOOKUP(N1020,#REF!,2,FALSE)</f>
        <v>#REF!</v>
      </c>
      <c r="Q1020" t="s">
        <v>877</v>
      </c>
      <c r="R1020" s="345">
        <v>-3233.13</v>
      </c>
    </row>
    <row r="1021" spans="1:18" x14ac:dyDescent="0.2">
      <c r="A1021" s="344" t="s">
        <v>752</v>
      </c>
      <c r="B1021" t="s">
        <v>827</v>
      </c>
      <c r="C1021" t="s">
        <v>823</v>
      </c>
      <c r="D1021" t="s">
        <v>746</v>
      </c>
      <c r="E1021" t="s">
        <v>829</v>
      </c>
      <c r="F1021" t="s">
        <v>803</v>
      </c>
      <c r="G1021" t="s">
        <v>830</v>
      </c>
      <c r="H1021" t="s">
        <v>831</v>
      </c>
      <c r="I1021" t="s">
        <v>722</v>
      </c>
      <c r="J1021" t="s">
        <v>721</v>
      </c>
      <c r="K1021"/>
      <c r="L1021"/>
      <c r="M1021" t="s">
        <v>843</v>
      </c>
      <c r="N1021" t="s">
        <v>844</v>
      </c>
      <c r="O1021"/>
      <c r="P1021" t="e">
        <f>VLOOKUP(N1021,#REF!,2,FALSE)</f>
        <v>#REF!</v>
      </c>
      <c r="Q1021" t="s">
        <v>877</v>
      </c>
      <c r="R1021" s="345">
        <v>2881.83</v>
      </c>
    </row>
    <row r="1022" spans="1:18" x14ac:dyDescent="0.2">
      <c r="A1022" s="344" t="s">
        <v>749</v>
      </c>
      <c r="B1022" t="s">
        <v>827</v>
      </c>
      <c r="C1022" t="s">
        <v>823</v>
      </c>
      <c r="D1022" t="s">
        <v>746</v>
      </c>
      <c r="E1022" t="s">
        <v>829</v>
      </c>
      <c r="F1022" t="s">
        <v>803</v>
      </c>
      <c r="G1022" t="s">
        <v>830</v>
      </c>
      <c r="H1022" t="s">
        <v>831</v>
      </c>
      <c r="I1022" t="s">
        <v>722</v>
      </c>
      <c r="J1022" t="s">
        <v>721</v>
      </c>
      <c r="K1022"/>
      <c r="L1022"/>
      <c r="M1022" t="s">
        <v>843</v>
      </c>
      <c r="N1022" t="s">
        <v>844</v>
      </c>
      <c r="O1022"/>
      <c r="P1022" t="e">
        <f>VLOOKUP(N1022,#REF!,2,FALSE)</f>
        <v>#REF!</v>
      </c>
      <c r="Q1022" t="s">
        <v>879</v>
      </c>
      <c r="R1022" s="345">
        <v>-15173.48</v>
      </c>
    </row>
    <row r="1023" spans="1:18" x14ac:dyDescent="0.2">
      <c r="A1023" s="344" t="s">
        <v>752</v>
      </c>
      <c r="B1023" t="s">
        <v>827</v>
      </c>
      <c r="C1023" t="s">
        <v>823</v>
      </c>
      <c r="D1023" t="s">
        <v>746</v>
      </c>
      <c r="E1023" t="s">
        <v>829</v>
      </c>
      <c r="F1023" t="s">
        <v>803</v>
      </c>
      <c r="G1023" t="s">
        <v>830</v>
      </c>
      <c r="H1023" t="s">
        <v>831</v>
      </c>
      <c r="I1023" t="s">
        <v>722</v>
      </c>
      <c r="J1023" t="s">
        <v>721</v>
      </c>
      <c r="K1023"/>
      <c r="L1023"/>
      <c r="M1023" t="s">
        <v>843</v>
      </c>
      <c r="N1023" t="s">
        <v>844</v>
      </c>
      <c r="O1023"/>
      <c r="P1023" t="e">
        <f>VLOOKUP(N1023,#REF!,2,FALSE)</f>
        <v>#REF!</v>
      </c>
      <c r="Q1023" t="s">
        <v>879</v>
      </c>
      <c r="R1023" s="345">
        <v>-16334.28</v>
      </c>
    </row>
    <row r="1024" spans="1:18" x14ac:dyDescent="0.2">
      <c r="A1024" s="344" t="s">
        <v>753</v>
      </c>
      <c r="B1024" t="s">
        <v>827</v>
      </c>
      <c r="C1024" t="s">
        <v>823</v>
      </c>
      <c r="D1024" t="s">
        <v>746</v>
      </c>
      <c r="E1024" t="s">
        <v>829</v>
      </c>
      <c r="F1024" t="s">
        <v>803</v>
      </c>
      <c r="G1024" t="s">
        <v>830</v>
      </c>
      <c r="H1024" t="s">
        <v>831</v>
      </c>
      <c r="I1024" t="s">
        <v>722</v>
      </c>
      <c r="J1024" t="s">
        <v>721</v>
      </c>
      <c r="K1024"/>
      <c r="L1024"/>
      <c r="M1024" t="s">
        <v>843</v>
      </c>
      <c r="N1024" t="s">
        <v>844</v>
      </c>
      <c r="O1024"/>
      <c r="P1024" t="e">
        <f>VLOOKUP(N1024,#REF!,2,FALSE)</f>
        <v>#REF!</v>
      </c>
      <c r="Q1024" t="s">
        <v>879</v>
      </c>
      <c r="R1024" s="345">
        <v>-13022.05</v>
      </c>
    </row>
    <row r="1025" spans="1:18" x14ac:dyDescent="0.2">
      <c r="A1025" s="344" t="s">
        <v>754</v>
      </c>
      <c r="B1025" t="s">
        <v>827</v>
      </c>
      <c r="C1025" t="s">
        <v>823</v>
      </c>
      <c r="D1025" t="s">
        <v>746</v>
      </c>
      <c r="E1025" t="s">
        <v>829</v>
      </c>
      <c r="F1025" t="s">
        <v>803</v>
      </c>
      <c r="G1025" t="s">
        <v>830</v>
      </c>
      <c r="H1025" t="s">
        <v>831</v>
      </c>
      <c r="I1025" t="s">
        <v>722</v>
      </c>
      <c r="J1025" t="s">
        <v>721</v>
      </c>
      <c r="K1025"/>
      <c r="L1025"/>
      <c r="M1025" t="s">
        <v>843</v>
      </c>
      <c r="N1025" t="s">
        <v>844</v>
      </c>
      <c r="O1025"/>
      <c r="P1025" t="e">
        <f>VLOOKUP(N1025,#REF!,2,FALSE)</f>
        <v>#REF!</v>
      </c>
      <c r="Q1025" t="s">
        <v>879</v>
      </c>
      <c r="R1025" s="345">
        <v>-17701.53</v>
      </c>
    </row>
    <row r="1026" spans="1:18" x14ac:dyDescent="0.2">
      <c r="A1026" s="344" t="s">
        <v>755</v>
      </c>
      <c r="B1026" t="s">
        <v>827</v>
      </c>
      <c r="C1026" t="s">
        <v>823</v>
      </c>
      <c r="D1026" t="s">
        <v>746</v>
      </c>
      <c r="E1026" t="s">
        <v>829</v>
      </c>
      <c r="F1026" t="s">
        <v>803</v>
      </c>
      <c r="G1026" t="s">
        <v>830</v>
      </c>
      <c r="H1026" t="s">
        <v>831</v>
      </c>
      <c r="I1026" t="s">
        <v>722</v>
      </c>
      <c r="J1026" t="s">
        <v>721</v>
      </c>
      <c r="K1026"/>
      <c r="L1026"/>
      <c r="M1026" t="s">
        <v>843</v>
      </c>
      <c r="N1026" t="s">
        <v>844</v>
      </c>
      <c r="O1026"/>
      <c r="P1026" t="e">
        <f>VLOOKUP(N1026,#REF!,2,FALSE)</f>
        <v>#REF!</v>
      </c>
      <c r="Q1026" t="s">
        <v>879</v>
      </c>
      <c r="R1026" s="345">
        <v>-27342.26</v>
      </c>
    </row>
    <row r="1027" spans="1:18" x14ac:dyDescent="0.2">
      <c r="A1027" s="344" t="s">
        <v>756</v>
      </c>
      <c r="B1027" t="s">
        <v>827</v>
      </c>
      <c r="C1027" t="s">
        <v>823</v>
      </c>
      <c r="D1027" t="s">
        <v>746</v>
      </c>
      <c r="E1027" t="s">
        <v>829</v>
      </c>
      <c r="F1027" t="s">
        <v>803</v>
      </c>
      <c r="G1027" t="s">
        <v>830</v>
      </c>
      <c r="H1027" t="s">
        <v>831</v>
      </c>
      <c r="I1027" t="s">
        <v>722</v>
      </c>
      <c r="J1027" t="s">
        <v>721</v>
      </c>
      <c r="K1027"/>
      <c r="L1027"/>
      <c r="M1027" t="s">
        <v>843</v>
      </c>
      <c r="N1027" t="s">
        <v>844</v>
      </c>
      <c r="O1027"/>
      <c r="P1027" t="e">
        <f>VLOOKUP(N1027,#REF!,2,FALSE)</f>
        <v>#REF!</v>
      </c>
      <c r="Q1027" t="s">
        <v>879</v>
      </c>
      <c r="R1027" s="345">
        <v>-45552.95</v>
      </c>
    </row>
    <row r="1028" spans="1:18" x14ac:dyDescent="0.2">
      <c r="A1028" s="344" t="s">
        <v>757</v>
      </c>
      <c r="B1028" t="s">
        <v>827</v>
      </c>
      <c r="C1028" t="s">
        <v>823</v>
      </c>
      <c r="D1028" t="s">
        <v>746</v>
      </c>
      <c r="E1028" t="s">
        <v>829</v>
      </c>
      <c r="F1028" t="s">
        <v>803</v>
      </c>
      <c r="G1028" t="s">
        <v>830</v>
      </c>
      <c r="H1028" t="s">
        <v>831</v>
      </c>
      <c r="I1028" t="s">
        <v>722</v>
      </c>
      <c r="J1028" t="s">
        <v>721</v>
      </c>
      <c r="K1028"/>
      <c r="L1028"/>
      <c r="M1028" t="s">
        <v>843</v>
      </c>
      <c r="N1028" t="s">
        <v>844</v>
      </c>
      <c r="O1028"/>
      <c r="P1028" t="e">
        <f>VLOOKUP(N1028,#REF!,2,FALSE)</f>
        <v>#REF!</v>
      </c>
      <c r="Q1028" t="s">
        <v>879</v>
      </c>
      <c r="R1028" s="345">
        <v>29303.43</v>
      </c>
    </row>
    <row r="1029" spans="1:18" x14ac:dyDescent="0.2">
      <c r="A1029" s="344" t="s">
        <v>758</v>
      </c>
      <c r="B1029" t="s">
        <v>827</v>
      </c>
      <c r="C1029" t="s">
        <v>823</v>
      </c>
      <c r="D1029" t="s">
        <v>746</v>
      </c>
      <c r="E1029" t="s">
        <v>829</v>
      </c>
      <c r="F1029" t="s">
        <v>803</v>
      </c>
      <c r="G1029" t="s">
        <v>830</v>
      </c>
      <c r="H1029" t="s">
        <v>831</v>
      </c>
      <c r="I1029" t="s">
        <v>722</v>
      </c>
      <c r="J1029" t="s">
        <v>721</v>
      </c>
      <c r="K1029"/>
      <c r="L1029"/>
      <c r="M1029" t="s">
        <v>843</v>
      </c>
      <c r="N1029" t="s">
        <v>844</v>
      </c>
      <c r="O1029"/>
      <c r="P1029" t="e">
        <f>VLOOKUP(N1029,#REF!,2,FALSE)</f>
        <v>#REF!</v>
      </c>
      <c r="Q1029" t="s">
        <v>879</v>
      </c>
      <c r="R1029" s="345">
        <v>-288.94</v>
      </c>
    </row>
    <row r="1030" spans="1:18" x14ac:dyDescent="0.2">
      <c r="A1030" s="344" t="s">
        <v>759</v>
      </c>
      <c r="B1030" t="s">
        <v>827</v>
      </c>
      <c r="C1030" t="s">
        <v>823</v>
      </c>
      <c r="D1030" t="s">
        <v>746</v>
      </c>
      <c r="E1030" t="s">
        <v>829</v>
      </c>
      <c r="F1030" t="s">
        <v>803</v>
      </c>
      <c r="G1030" t="s">
        <v>830</v>
      </c>
      <c r="H1030" t="s">
        <v>831</v>
      </c>
      <c r="I1030" t="s">
        <v>722</v>
      </c>
      <c r="J1030" t="s">
        <v>721</v>
      </c>
      <c r="K1030"/>
      <c r="L1030"/>
      <c r="M1030" t="s">
        <v>843</v>
      </c>
      <c r="N1030" t="s">
        <v>844</v>
      </c>
      <c r="O1030"/>
      <c r="P1030" t="e">
        <f>VLOOKUP(N1030,#REF!,2,FALSE)</f>
        <v>#REF!</v>
      </c>
      <c r="Q1030" t="s">
        <v>879</v>
      </c>
      <c r="R1030" s="345">
        <v>-3599.11</v>
      </c>
    </row>
    <row r="1031" spans="1:18" x14ac:dyDescent="0.2">
      <c r="A1031" s="344" t="s">
        <v>743</v>
      </c>
      <c r="B1031" t="s">
        <v>827</v>
      </c>
      <c r="C1031" t="s">
        <v>823</v>
      </c>
      <c r="D1031" t="s">
        <v>746</v>
      </c>
      <c r="E1031" t="s">
        <v>829</v>
      </c>
      <c r="F1031" t="s">
        <v>803</v>
      </c>
      <c r="G1031" t="s">
        <v>830</v>
      </c>
      <c r="H1031" t="s">
        <v>831</v>
      </c>
      <c r="I1031" t="s">
        <v>722</v>
      </c>
      <c r="J1031" t="s">
        <v>721</v>
      </c>
      <c r="K1031"/>
      <c r="L1031"/>
      <c r="M1031" t="s">
        <v>843</v>
      </c>
      <c r="N1031" t="s">
        <v>844</v>
      </c>
      <c r="O1031"/>
      <c r="P1031" t="e">
        <f>VLOOKUP(N1031,#REF!,2,FALSE)</f>
        <v>#REF!</v>
      </c>
      <c r="Q1031" t="s">
        <v>879</v>
      </c>
      <c r="R1031" s="345">
        <v>-23422.01</v>
      </c>
    </row>
    <row r="1032" spans="1:18" x14ac:dyDescent="0.2">
      <c r="A1032" s="344" t="s">
        <v>760</v>
      </c>
      <c r="B1032" t="s">
        <v>827</v>
      </c>
      <c r="C1032" t="s">
        <v>823</v>
      </c>
      <c r="D1032" t="s">
        <v>746</v>
      </c>
      <c r="E1032" t="s">
        <v>829</v>
      </c>
      <c r="F1032" t="s">
        <v>803</v>
      </c>
      <c r="G1032" t="s">
        <v>830</v>
      </c>
      <c r="H1032" t="s">
        <v>831</v>
      </c>
      <c r="I1032" t="s">
        <v>722</v>
      </c>
      <c r="J1032" t="s">
        <v>721</v>
      </c>
      <c r="K1032"/>
      <c r="L1032"/>
      <c r="M1032" t="s">
        <v>843</v>
      </c>
      <c r="N1032" t="s">
        <v>844</v>
      </c>
      <c r="O1032"/>
      <c r="P1032" t="e">
        <f>VLOOKUP(N1032,#REF!,2,FALSE)</f>
        <v>#REF!</v>
      </c>
      <c r="Q1032" t="s">
        <v>879</v>
      </c>
      <c r="R1032" s="345">
        <v>-12435.56</v>
      </c>
    </row>
    <row r="1033" spans="1:18" x14ac:dyDescent="0.2">
      <c r="A1033" s="344" t="s">
        <v>745</v>
      </c>
      <c r="B1033" t="s">
        <v>827</v>
      </c>
      <c r="C1033" t="s">
        <v>823</v>
      </c>
      <c r="D1033" t="s">
        <v>746</v>
      </c>
      <c r="E1033" t="s">
        <v>829</v>
      </c>
      <c r="F1033" t="s">
        <v>803</v>
      </c>
      <c r="G1033" t="s">
        <v>830</v>
      </c>
      <c r="H1033" t="s">
        <v>831</v>
      </c>
      <c r="I1033" t="s">
        <v>722</v>
      </c>
      <c r="J1033" t="s">
        <v>721</v>
      </c>
      <c r="K1033"/>
      <c r="L1033"/>
      <c r="M1033" t="s">
        <v>843</v>
      </c>
      <c r="N1033" t="s">
        <v>844</v>
      </c>
      <c r="O1033"/>
      <c r="P1033" t="e">
        <f>VLOOKUP(N1033,#REF!,2,FALSE)</f>
        <v>#REF!</v>
      </c>
      <c r="Q1033" t="s">
        <v>879</v>
      </c>
      <c r="R1033" s="345">
        <v>-22934.59</v>
      </c>
    </row>
    <row r="1034" spans="1:18" x14ac:dyDescent="0.2">
      <c r="A1034" s="344" t="s">
        <v>749</v>
      </c>
      <c r="B1034" t="s">
        <v>827</v>
      </c>
      <c r="C1034" t="s">
        <v>823</v>
      </c>
      <c r="D1034" t="s">
        <v>746</v>
      </c>
      <c r="E1034" t="s">
        <v>829</v>
      </c>
      <c r="F1034" t="s">
        <v>803</v>
      </c>
      <c r="G1034" t="s">
        <v>830</v>
      </c>
      <c r="H1034" t="s">
        <v>831</v>
      </c>
      <c r="I1034" t="s">
        <v>722</v>
      </c>
      <c r="J1034" t="s">
        <v>721</v>
      </c>
      <c r="K1034"/>
      <c r="L1034"/>
      <c r="M1034" t="s">
        <v>843</v>
      </c>
      <c r="N1034" t="s">
        <v>844</v>
      </c>
      <c r="O1034"/>
      <c r="P1034" t="e">
        <f>VLOOKUP(N1034,#REF!,2,FALSE)</f>
        <v>#REF!</v>
      </c>
      <c r="Q1034" t="s">
        <v>880</v>
      </c>
      <c r="R1034" s="345">
        <v>-42716.28</v>
      </c>
    </row>
    <row r="1035" spans="1:18" x14ac:dyDescent="0.2">
      <c r="A1035" s="344" t="s">
        <v>752</v>
      </c>
      <c r="B1035" t="s">
        <v>827</v>
      </c>
      <c r="C1035" t="s">
        <v>823</v>
      </c>
      <c r="D1035" t="s">
        <v>746</v>
      </c>
      <c r="E1035" t="s">
        <v>829</v>
      </c>
      <c r="F1035" t="s">
        <v>803</v>
      </c>
      <c r="G1035" t="s">
        <v>830</v>
      </c>
      <c r="H1035" t="s">
        <v>831</v>
      </c>
      <c r="I1035" t="s">
        <v>722</v>
      </c>
      <c r="J1035" t="s">
        <v>721</v>
      </c>
      <c r="K1035"/>
      <c r="L1035"/>
      <c r="M1035" t="s">
        <v>843</v>
      </c>
      <c r="N1035" t="s">
        <v>844</v>
      </c>
      <c r="O1035"/>
      <c r="P1035" t="e">
        <f>VLOOKUP(N1035,#REF!,2,FALSE)</f>
        <v>#REF!</v>
      </c>
      <c r="Q1035" t="s">
        <v>880</v>
      </c>
      <c r="R1035" s="345">
        <v>17117.73</v>
      </c>
    </row>
    <row r="1036" spans="1:18" x14ac:dyDescent="0.2">
      <c r="A1036" s="344" t="s">
        <v>753</v>
      </c>
      <c r="B1036" t="s">
        <v>827</v>
      </c>
      <c r="C1036" t="s">
        <v>823</v>
      </c>
      <c r="D1036" t="s">
        <v>746</v>
      </c>
      <c r="E1036" t="s">
        <v>829</v>
      </c>
      <c r="F1036" t="s">
        <v>803</v>
      </c>
      <c r="G1036" t="s">
        <v>830</v>
      </c>
      <c r="H1036" t="s">
        <v>831</v>
      </c>
      <c r="I1036" t="s">
        <v>722</v>
      </c>
      <c r="J1036" t="s">
        <v>721</v>
      </c>
      <c r="K1036"/>
      <c r="L1036"/>
      <c r="M1036" t="s">
        <v>843</v>
      </c>
      <c r="N1036" t="s">
        <v>844</v>
      </c>
      <c r="O1036"/>
      <c r="P1036" t="e">
        <f>VLOOKUP(N1036,#REF!,2,FALSE)</f>
        <v>#REF!</v>
      </c>
      <c r="Q1036" t="s">
        <v>880</v>
      </c>
      <c r="R1036" s="345">
        <v>25598.55</v>
      </c>
    </row>
    <row r="1037" spans="1:18" x14ac:dyDescent="0.2">
      <c r="A1037" s="344" t="s">
        <v>756</v>
      </c>
      <c r="B1037" t="s">
        <v>827</v>
      </c>
      <c r="C1037" t="s">
        <v>823</v>
      </c>
      <c r="D1037" t="s">
        <v>746</v>
      </c>
      <c r="E1037" t="s">
        <v>829</v>
      </c>
      <c r="F1037" t="s">
        <v>803</v>
      </c>
      <c r="G1037" t="s">
        <v>830</v>
      </c>
      <c r="H1037" t="s">
        <v>831</v>
      </c>
      <c r="I1037" t="s">
        <v>722</v>
      </c>
      <c r="J1037" t="s">
        <v>721</v>
      </c>
      <c r="K1037"/>
      <c r="L1037"/>
      <c r="M1037" t="s">
        <v>843</v>
      </c>
      <c r="N1037" t="s">
        <v>844</v>
      </c>
      <c r="O1037"/>
      <c r="P1037" t="e">
        <f>VLOOKUP(N1037,#REF!,2,FALSE)</f>
        <v>#REF!</v>
      </c>
      <c r="Q1037" t="s">
        <v>880</v>
      </c>
      <c r="R1037" s="345">
        <v>-17267.189999999999</v>
      </c>
    </row>
    <row r="1038" spans="1:18" x14ac:dyDescent="0.2">
      <c r="A1038" s="344" t="s">
        <v>757</v>
      </c>
      <c r="B1038" t="s">
        <v>827</v>
      </c>
      <c r="C1038" t="s">
        <v>823</v>
      </c>
      <c r="D1038" t="s">
        <v>746</v>
      </c>
      <c r="E1038" t="s">
        <v>829</v>
      </c>
      <c r="F1038" t="s">
        <v>803</v>
      </c>
      <c r="G1038" t="s">
        <v>830</v>
      </c>
      <c r="H1038" t="s">
        <v>831</v>
      </c>
      <c r="I1038" t="s">
        <v>722</v>
      </c>
      <c r="J1038" t="s">
        <v>721</v>
      </c>
      <c r="K1038"/>
      <c r="L1038"/>
      <c r="M1038" t="s">
        <v>843</v>
      </c>
      <c r="N1038" t="s">
        <v>844</v>
      </c>
      <c r="O1038"/>
      <c r="P1038" t="e">
        <f>VLOOKUP(N1038,#REF!,2,FALSE)</f>
        <v>#REF!</v>
      </c>
      <c r="Q1038" t="s">
        <v>880</v>
      </c>
      <c r="R1038" s="345">
        <v>-30412.22</v>
      </c>
    </row>
    <row r="1039" spans="1:18" x14ac:dyDescent="0.2">
      <c r="A1039" s="344" t="s">
        <v>758</v>
      </c>
      <c r="B1039" t="s">
        <v>827</v>
      </c>
      <c r="C1039" t="s">
        <v>823</v>
      </c>
      <c r="D1039" t="s">
        <v>746</v>
      </c>
      <c r="E1039" t="s">
        <v>829</v>
      </c>
      <c r="F1039" t="s">
        <v>803</v>
      </c>
      <c r="G1039" t="s">
        <v>830</v>
      </c>
      <c r="H1039" t="s">
        <v>831</v>
      </c>
      <c r="I1039" t="s">
        <v>722</v>
      </c>
      <c r="J1039" t="s">
        <v>721</v>
      </c>
      <c r="K1039"/>
      <c r="L1039"/>
      <c r="M1039" t="s">
        <v>843</v>
      </c>
      <c r="N1039" t="s">
        <v>844</v>
      </c>
      <c r="O1039"/>
      <c r="P1039" t="e">
        <f>VLOOKUP(N1039,#REF!,2,FALSE)</f>
        <v>#REF!</v>
      </c>
      <c r="Q1039" t="s">
        <v>880</v>
      </c>
      <c r="R1039" s="345">
        <v>47679.41</v>
      </c>
    </row>
    <row r="1040" spans="1:18" x14ac:dyDescent="0.2">
      <c r="A1040" s="344" t="s">
        <v>760</v>
      </c>
      <c r="B1040" t="s">
        <v>827</v>
      </c>
      <c r="C1040" t="s">
        <v>823</v>
      </c>
      <c r="D1040" t="s">
        <v>746</v>
      </c>
      <c r="E1040" t="s">
        <v>829</v>
      </c>
      <c r="F1040" t="s">
        <v>803</v>
      </c>
      <c r="G1040" t="s">
        <v>830</v>
      </c>
      <c r="H1040" t="s">
        <v>831</v>
      </c>
      <c r="I1040" t="s">
        <v>722</v>
      </c>
      <c r="J1040" t="s">
        <v>721</v>
      </c>
      <c r="K1040"/>
      <c r="L1040"/>
      <c r="M1040" t="s">
        <v>843</v>
      </c>
      <c r="N1040" t="s">
        <v>844</v>
      </c>
      <c r="O1040"/>
      <c r="P1040" t="e">
        <f>VLOOKUP(N1040,#REF!,2,FALSE)</f>
        <v>#REF!</v>
      </c>
      <c r="Q1040" t="s">
        <v>880</v>
      </c>
      <c r="R1040" s="345">
        <v>-650.47</v>
      </c>
    </row>
    <row r="1041" spans="1:18" x14ac:dyDescent="0.2">
      <c r="A1041" s="344" t="s">
        <v>752</v>
      </c>
      <c r="B1041" t="s">
        <v>827</v>
      </c>
      <c r="C1041" t="s">
        <v>823</v>
      </c>
      <c r="D1041" t="s">
        <v>746</v>
      </c>
      <c r="E1041" t="s">
        <v>829</v>
      </c>
      <c r="F1041" t="s">
        <v>803</v>
      </c>
      <c r="G1041" t="s">
        <v>830</v>
      </c>
      <c r="H1041" t="s">
        <v>831</v>
      </c>
      <c r="I1041" t="s">
        <v>722</v>
      </c>
      <c r="J1041" t="s">
        <v>721</v>
      </c>
      <c r="K1041"/>
      <c r="L1041"/>
      <c r="M1041" t="s">
        <v>843</v>
      </c>
      <c r="N1041" t="s">
        <v>844</v>
      </c>
      <c r="O1041"/>
      <c r="P1041" t="e">
        <f>VLOOKUP(N1041,#REF!,2,FALSE)</f>
        <v>#REF!</v>
      </c>
      <c r="Q1041" t="s">
        <v>861</v>
      </c>
      <c r="R1041" s="345">
        <v>-1.69</v>
      </c>
    </row>
    <row r="1042" spans="1:18" x14ac:dyDescent="0.2">
      <c r="A1042" s="344" t="s">
        <v>753</v>
      </c>
      <c r="B1042" t="s">
        <v>827</v>
      </c>
      <c r="C1042" t="s">
        <v>823</v>
      </c>
      <c r="D1042" t="s">
        <v>746</v>
      </c>
      <c r="E1042" t="s">
        <v>829</v>
      </c>
      <c r="F1042" t="s">
        <v>803</v>
      </c>
      <c r="G1042" t="s">
        <v>830</v>
      </c>
      <c r="H1042" t="s">
        <v>831</v>
      </c>
      <c r="I1042" t="s">
        <v>722</v>
      </c>
      <c r="J1042" t="s">
        <v>721</v>
      </c>
      <c r="K1042"/>
      <c r="L1042"/>
      <c r="M1042" t="s">
        <v>843</v>
      </c>
      <c r="N1042" t="s">
        <v>844</v>
      </c>
      <c r="O1042"/>
      <c r="P1042" t="e">
        <f>VLOOKUP(N1042,#REF!,2,FALSE)</f>
        <v>#REF!</v>
      </c>
      <c r="Q1042" t="s">
        <v>861</v>
      </c>
      <c r="R1042" s="345">
        <v>0</v>
      </c>
    </row>
    <row r="1043" spans="1:18" x14ac:dyDescent="0.2">
      <c r="A1043" s="344" t="s">
        <v>757</v>
      </c>
      <c r="B1043" t="s">
        <v>827</v>
      </c>
      <c r="C1043" t="s">
        <v>823</v>
      </c>
      <c r="D1043" t="s">
        <v>746</v>
      </c>
      <c r="E1043" t="s">
        <v>829</v>
      </c>
      <c r="F1043" t="s">
        <v>803</v>
      </c>
      <c r="G1043" t="s">
        <v>830</v>
      </c>
      <c r="H1043" t="s">
        <v>831</v>
      </c>
      <c r="I1043" t="s">
        <v>722</v>
      </c>
      <c r="J1043" t="s">
        <v>721</v>
      </c>
      <c r="K1043"/>
      <c r="L1043"/>
      <c r="M1043" t="s">
        <v>843</v>
      </c>
      <c r="N1043" t="s">
        <v>844</v>
      </c>
      <c r="O1043"/>
      <c r="P1043" t="e">
        <f>VLOOKUP(N1043,#REF!,2,FALSE)</f>
        <v>#REF!</v>
      </c>
      <c r="Q1043" t="s">
        <v>861</v>
      </c>
      <c r="R1043" s="345">
        <v>-238.04</v>
      </c>
    </row>
    <row r="1044" spans="1:18" x14ac:dyDescent="0.2">
      <c r="A1044" s="344" t="s">
        <v>758</v>
      </c>
      <c r="B1044" t="s">
        <v>827</v>
      </c>
      <c r="C1044" t="s">
        <v>823</v>
      </c>
      <c r="D1044" t="s">
        <v>746</v>
      </c>
      <c r="E1044" t="s">
        <v>829</v>
      </c>
      <c r="F1044" t="s">
        <v>803</v>
      </c>
      <c r="G1044" t="s">
        <v>830</v>
      </c>
      <c r="H1044" t="s">
        <v>831</v>
      </c>
      <c r="I1044" t="s">
        <v>722</v>
      </c>
      <c r="J1044" t="s">
        <v>721</v>
      </c>
      <c r="K1044"/>
      <c r="L1044"/>
      <c r="M1044" t="s">
        <v>843</v>
      </c>
      <c r="N1044" t="s">
        <v>844</v>
      </c>
      <c r="O1044"/>
      <c r="P1044" t="e">
        <f>VLOOKUP(N1044,#REF!,2,FALSE)</f>
        <v>#REF!</v>
      </c>
      <c r="Q1044" t="s">
        <v>861</v>
      </c>
      <c r="R1044" s="345">
        <v>0</v>
      </c>
    </row>
    <row r="1045" spans="1:18" x14ac:dyDescent="0.2">
      <c r="A1045" s="344" t="s">
        <v>759</v>
      </c>
      <c r="B1045" t="s">
        <v>827</v>
      </c>
      <c r="C1045" t="s">
        <v>823</v>
      </c>
      <c r="D1045" t="s">
        <v>746</v>
      </c>
      <c r="E1045" t="s">
        <v>829</v>
      </c>
      <c r="F1045" t="s">
        <v>803</v>
      </c>
      <c r="G1045" t="s">
        <v>830</v>
      </c>
      <c r="H1045" t="s">
        <v>831</v>
      </c>
      <c r="I1045" t="s">
        <v>722</v>
      </c>
      <c r="J1045" t="s">
        <v>721</v>
      </c>
      <c r="K1045"/>
      <c r="L1045"/>
      <c r="M1045" t="s">
        <v>843</v>
      </c>
      <c r="N1045" t="s">
        <v>844</v>
      </c>
      <c r="O1045"/>
      <c r="P1045" t="e">
        <f>VLOOKUP(N1045,#REF!,2,FALSE)</f>
        <v>#REF!</v>
      </c>
      <c r="Q1045" t="s">
        <v>861</v>
      </c>
      <c r="R1045" s="345">
        <v>-55.27</v>
      </c>
    </row>
    <row r="1046" spans="1:18" x14ac:dyDescent="0.2">
      <c r="A1046" s="344" t="s">
        <v>760</v>
      </c>
      <c r="B1046" t="s">
        <v>827</v>
      </c>
      <c r="C1046" t="s">
        <v>823</v>
      </c>
      <c r="D1046" t="s">
        <v>746</v>
      </c>
      <c r="E1046" t="s">
        <v>829</v>
      </c>
      <c r="F1046" t="s">
        <v>803</v>
      </c>
      <c r="G1046" t="s">
        <v>830</v>
      </c>
      <c r="H1046" t="s">
        <v>831</v>
      </c>
      <c r="I1046" t="s">
        <v>722</v>
      </c>
      <c r="J1046" t="s">
        <v>721</v>
      </c>
      <c r="K1046"/>
      <c r="L1046"/>
      <c r="M1046" t="s">
        <v>843</v>
      </c>
      <c r="N1046" t="s">
        <v>844</v>
      </c>
      <c r="O1046"/>
      <c r="P1046" t="e">
        <f>VLOOKUP(N1046,#REF!,2,FALSE)</f>
        <v>#REF!</v>
      </c>
      <c r="Q1046" t="s">
        <v>862</v>
      </c>
      <c r="R1046" s="345">
        <v>-144.94999999999999</v>
      </c>
    </row>
    <row r="1047" spans="1:18" x14ac:dyDescent="0.2">
      <c r="A1047" s="344" t="s">
        <v>745</v>
      </c>
      <c r="B1047" t="s">
        <v>827</v>
      </c>
      <c r="C1047" t="s">
        <v>823</v>
      </c>
      <c r="D1047" t="s">
        <v>746</v>
      </c>
      <c r="E1047" t="s">
        <v>829</v>
      </c>
      <c r="F1047" t="s">
        <v>803</v>
      </c>
      <c r="G1047" t="s">
        <v>830</v>
      </c>
      <c r="H1047" t="s">
        <v>831</v>
      </c>
      <c r="I1047" t="s">
        <v>722</v>
      </c>
      <c r="J1047" t="s">
        <v>721</v>
      </c>
      <c r="K1047"/>
      <c r="L1047"/>
      <c r="M1047" t="s">
        <v>843</v>
      </c>
      <c r="N1047" t="s">
        <v>844</v>
      </c>
      <c r="O1047"/>
      <c r="P1047" t="e">
        <f>VLOOKUP(N1047,#REF!,2,FALSE)</f>
        <v>#REF!</v>
      </c>
      <c r="Q1047" t="s">
        <v>862</v>
      </c>
      <c r="R1047" s="345">
        <v>-71.33</v>
      </c>
    </row>
    <row r="1048" spans="1:18" x14ac:dyDescent="0.2">
      <c r="A1048" s="344" t="s">
        <v>749</v>
      </c>
      <c r="B1048" t="s">
        <v>827</v>
      </c>
      <c r="C1048" t="s">
        <v>823</v>
      </c>
      <c r="D1048" t="s">
        <v>746</v>
      </c>
      <c r="E1048" t="s">
        <v>829</v>
      </c>
      <c r="F1048" t="s">
        <v>803</v>
      </c>
      <c r="G1048" t="s">
        <v>830</v>
      </c>
      <c r="H1048" t="s">
        <v>831</v>
      </c>
      <c r="I1048" t="s">
        <v>722</v>
      </c>
      <c r="J1048" t="s">
        <v>721</v>
      </c>
      <c r="K1048"/>
      <c r="L1048"/>
      <c r="M1048" t="s">
        <v>843</v>
      </c>
      <c r="N1048" t="s">
        <v>844</v>
      </c>
      <c r="O1048"/>
      <c r="P1048" t="e">
        <f>VLOOKUP(N1048,#REF!,2,FALSE)</f>
        <v>#REF!</v>
      </c>
      <c r="Q1048" t="s">
        <v>863</v>
      </c>
      <c r="R1048" s="345">
        <v>-34.340000000000003</v>
      </c>
    </row>
    <row r="1049" spans="1:18" x14ac:dyDescent="0.2">
      <c r="A1049" s="344" t="s">
        <v>752</v>
      </c>
      <c r="B1049" t="s">
        <v>827</v>
      </c>
      <c r="C1049" t="s">
        <v>823</v>
      </c>
      <c r="D1049" t="s">
        <v>746</v>
      </c>
      <c r="E1049" t="s">
        <v>829</v>
      </c>
      <c r="F1049" t="s">
        <v>803</v>
      </c>
      <c r="G1049" t="s">
        <v>830</v>
      </c>
      <c r="H1049" t="s">
        <v>831</v>
      </c>
      <c r="I1049" t="s">
        <v>722</v>
      </c>
      <c r="J1049" t="s">
        <v>721</v>
      </c>
      <c r="K1049"/>
      <c r="L1049"/>
      <c r="M1049" t="s">
        <v>843</v>
      </c>
      <c r="N1049" t="s">
        <v>844</v>
      </c>
      <c r="O1049"/>
      <c r="P1049" t="e">
        <f>VLOOKUP(N1049,#REF!,2,FALSE)</f>
        <v>#REF!</v>
      </c>
      <c r="Q1049" t="s">
        <v>863</v>
      </c>
      <c r="R1049" s="345">
        <v>-34.340000000000003</v>
      </c>
    </row>
    <row r="1050" spans="1:18" x14ac:dyDescent="0.2">
      <c r="A1050" s="344" t="s">
        <v>753</v>
      </c>
      <c r="B1050" t="s">
        <v>827</v>
      </c>
      <c r="C1050" t="s">
        <v>823</v>
      </c>
      <c r="D1050" t="s">
        <v>746</v>
      </c>
      <c r="E1050" t="s">
        <v>829</v>
      </c>
      <c r="F1050" t="s">
        <v>803</v>
      </c>
      <c r="G1050" t="s">
        <v>830</v>
      </c>
      <c r="H1050" t="s">
        <v>831</v>
      </c>
      <c r="I1050" t="s">
        <v>722</v>
      </c>
      <c r="J1050" t="s">
        <v>721</v>
      </c>
      <c r="K1050"/>
      <c r="L1050"/>
      <c r="M1050" t="s">
        <v>843</v>
      </c>
      <c r="N1050" t="s">
        <v>844</v>
      </c>
      <c r="O1050"/>
      <c r="P1050" t="e">
        <f>VLOOKUP(N1050,#REF!,2,FALSE)</f>
        <v>#REF!</v>
      </c>
      <c r="Q1050" t="s">
        <v>863</v>
      </c>
      <c r="R1050" s="345">
        <v>-33.22</v>
      </c>
    </row>
    <row r="1051" spans="1:18" x14ac:dyDescent="0.2">
      <c r="A1051" s="344" t="s">
        <v>754</v>
      </c>
      <c r="B1051" t="s">
        <v>827</v>
      </c>
      <c r="C1051" t="s">
        <v>823</v>
      </c>
      <c r="D1051" t="s">
        <v>746</v>
      </c>
      <c r="E1051" t="s">
        <v>829</v>
      </c>
      <c r="F1051" t="s">
        <v>803</v>
      </c>
      <c r="G1051" t="s">
        <v>830</v>
      </c>
      <c r="H1051" t="s">
        <v>831</v>
      </c>
      <c r="I1051" t="s">
        <v>722</v>
      </c>
      <c r="J1051" t="s">
        <v>721</v>
      </c>
      <c r="K1051"/>
      <c r="L1051"/>
      <c r="M1051" t="s">
        <v>843</v>
      </c>
      <c r="N1051" t="s">
        <v>844</v>
      </c>
      <c r="O1051"/>
      <c r="P1051" t="e">
        <f>VLOOKUP(N1051,#REF!,2,FALSE)</f>
        <v>#REF!</v>
      </c>
      <c r="Q1051" t="s">
        <v>863</v>
      </c>
      <c r="R1051" s="345">
        <v>-75.040000000000006</v>
      </c>
    </row>
    <row r="1052" spans="1:18" x14ac:dyDescent="0.2">
      <c r="A1052" s="344" t="s">
        <v>755</v>
      </c>
      <c r="B1052" t="s">
        <v>827</v>
      </c>
      <c r="C1052" t="s">
        <v>823</v>
      </c>
      <c r="D1052" t="s">
        <v>746</v>
      </c>
      <c r="E1052" t="s">
        <v>829</v>
      </c>
      <c r="F1052" t="s">
        <v>803</v>
      </c>
      <c r="G1052" t="s">
        <v>830</v>
      </c>
      <c r="H1052" t="s">
        <v>831</v>
      </c>
      <c r="I1052" t="s">
        <v>722</v>
      </c>
      <c r="J1052" t="s">
        <v>721</v>
      </c>
      <c r="K1052"/>
      <c r="L1052"/>
      <c r="M1052" t="s">
        <v>843</v>
      </c>
      <c r="N1052" t="s">
        <v>844</v>
      </c>
      <c r="O1052"/>
      <c r="P1052" t="e">
        <f>VLOOKUP(N1052,#REF!,2,FALSE)</f>
        <v>#REF!</v>
      </c>
      <c r="Q1052" t="s">
        <v>863</v>
      </c>
      <c r="R1052" s="345">
        <v>-103.24</v>
      </c>
    </row>
    <row r="1053" spans="1:18" x14ac:dyDescent="0.2">
      <c r="A1053" s="344" t="s">
        <v>756</v>
      </c>
      <c r="B1053" t="s">
        <v>827</v>
      </c>
      <c r="C1053" t="s">
        <v>823</v>
      </c>
      <c r="D1053" t="s">
        <v>746</v>
      </c>
      <c r="E1053" t="s">
        <v>829</v>
      </c>
      <c r="F1053" t="s">
        <v>803</v>
      </c>
      <c r="G1053" t="s">
        <v>830</v>
      </c>
      <c r="H1053" t="s">
        <v>831</v>
      </c>
      <c r="I1053" t="s">
        <v>722</v>
      </c>
      <c r="J1053" t="s">
        <v>721</v>
      </c>
      <c r="K1053"/>
      <c r="L1053"/>
      <c r="M1053" t="s">
        <v>843</v>
      </c>
      <c r="N1053" t="s">
        <v>844</v>
      </c>
      <c r="O1053"/>
      <c r="P1053" t="e">
        <f>VLOOKUP(N1053,#REF!,2,FALSE)</f>
        <v>#REF!</v>
      </c>
      <c r="Q1053" t="s">
        <v>863</v>
      </c>
      <c r="R1053" s="345">
        <v>-81.81</v>
      </c>
    </row>
    <row r="1054" spans="1:18" x14ac:dyDescent="0.2">
      <c r="A1054" s="344" t="s">
        <v>757</v>
      </c>
      <c r="B1054" t="s">
        <v>827</v>
      </c>
      <c r="C1054" t="s">
        <v>823</v>
      </c>
      <c r="D1054" t="s">
        <v>746</v>
      </c>
      <c r="E1054" t="s">
        <v>829</v>
      </c>
      <c r="F1054" t="s">
        <v>803</v>
      </c>
      <c r="G1054" t="s">
        <v>830</v>
      </c>
      <c r="H1054" t="s">
        <v>831</v>
      </c>
      <c r="I1054" t="s">
        <v>722</v>
      </c>
      <c r="J1054" t="s">
        <v>721</v>
      </c>
      <c r="K1054"/>
      <c r="L1054"/>
      <c r="M1054" t="s">
        <v>843</v>
      </c>
      <c r="N1054" t="s">
        <v>844</v>
      </c>
      <c r="O1054"/>
      <c r="P1054" t="e">
        <f>VLOOKUP(N1054,#REF!,2,FALSE)</f>
        <v>#REF!</v>
      </c>
      <c r="Q1054" t="s">
        <v>863</v>
      </c>
      <c r="R1054" s="345">
        <v>-464.26</v>
      </c>
    </row>
    <row r="1055" spans="1:18" x14ac:dyDescent="0.2">
      <c r="A1055" s="344" t="s">
        <v>758</v>
      </c>
      <c r="B1055" t="s">
        <v>827</v>
      </c>
      <c r="C1055" t="s">
        <v>823</v>
      </c>
      <c r="D1055" t="s">
        <v>746</v>
      </c>
      <c r="E1055" t="s">
        <v>829</v>
      </c>
      <c r="F1055" t="s">
        <v>803</v>
      </c>
      <c r="G1055" t="s">
        <v>830</v>
      </c>
      <c r="H1055" t="s">
        <v>831</v>
      </c>
      <c r="I1055" t="s">
        <v>722</v>
      </c>
      <c r="J1055" t="s">
        <v>721</v>
      </c>
      <c r="K1055"/>
      <c r="L1055"/>
      <c r="M1055" t="s">
        <v>843</v>
      </c>
      <c r="N1055" t="s">
        <v>844</v>
      </c>
      <c r="O1055"/>
      <c r="P1055" t="e">
        <f>VLOOKUP(N1055,#REF!,2,FALSE)</f>
        <v>#REF!</v>
      </c>
      <c r="Q1055" t="s">
        <v>863</v>
      </c>
      <c r="R1055" s="345">
        <v>-7865.32</v>
      </c>
    </row>
    <row r="1056" spans="1:18" x14ac:dyDescent="0.2">
      <c r="A1056" s="344" t="s">
        <v>759</v>
      </c>
      <c r="B1056" t="s">
        <v>827</v>
      </c>
      <c r="C1056" t="s">
        <v>823</v>
      </c>
      <c r="D1056" t="s">
        <v>746</v>
      </c>
      <c r="E1056" t="s">
        <v>829</v>
      </c>
      <c r="F1056" t="s">
        <v>803</v>
      </c>
      <c r="G1056" t="s">
        <v>830</v>
      </c>
      <c r="H1056" t="s">
        <v>831</v>
      </c>
      <c r="I1056" t="s">
        <v>722</v>
      </c>
      <c r="J1056" t="s">
        <v>721</v>
      </c>
      <c r="K1056"/>
      <c r="L1056"/>
      <c r="M1056" t="s">
        <v>843</v>
      </c>
      <c r="N1056" t="s">
        <v>844</v>
      </c>
      <c r="O1056"/>
      <c r="P1056" t="e">
        <f>VLOOKUP(N1056,#REF!,2,FALSE)</f>
        <v>#REF!</v>
      </c>
      <c r="Q1056" t="s">
        <v>863</v>
      </c>
      <c r="R1056" s="345">
        <v>-8201.7800000000007</v>
      </c>
    </row>
    <row r="1057" spans="1:18" x14ac:dyDescent="0.2">
      <c r="A1057" s="344" t="s">
        <v>743</v>
      </c>
      <c r="B1057" t="s">
        <v>827</v>
      </c>
      <c r="C1057" t="s">
        <v>823</v>
      </c>
      <c r="D1057" t="s">
        <v>746</v>
      </c>
      <c r="E1057" t="s">
        <v>829</v>
      </c>
      <c r="F1057" t="s">
        <v>803</v>
      </c>
      <c r="G1057" t="s">
        <v>830</v>
      </c>
      <c r="H1057" t="s">
        <v>831</v>
      </c>
      <c r="I1057" t="s">
        <v>722</v>
      </c>
      <c r="J1057" t="s">
        <v>721</v>
      </c>
      <c r="K1057"/>
      <c r="L1057"/>
      <c r="M1057" t="s">
        <v>843</v>
      </c>
      <c r="N1057" t="s">
        <v>844</v>
      </c>
      <c r="O1057"/>
      <c r="P1057" t="e">
        <f>VLOOKUP(N1057,#REF!,2,FALSE)</f>
        <v>#REF!</v>
      </c>
      <c r="Q1057" t="s">
        <v>863</v>
      </c>
      <c r="R1057" s="345">
        <v>-1569.58</v>
      </c>
    </row>
    <row r="1058" spans="1:18" x14ac:dyDescent="0.2">
      <c r="A1058" s="344" t="s">
        <v>760</v>
      </c>
      <c r="B1058" t="s">
        <v>827</v>
      </c>
      <c r="C1058" t="s">
        <v>823</v>
      </c>
      <c r="D1058" t="s">
        <v>746</v>
      </c>
      <c r="E1058" t="s">
        <v>829</v>
      </c>
      <c r="F1058" t="s">
        <v>803</v>
      </c>
      <c r="G1058" t="s">
        <v>830</v>
      </c>
      <c r="H1058" t="s">
        <v>831</v>
      </c>
      <c r="I1058" t="s">
        <v>722</v>
      </c>
      <c r="J1058" t="s">
        <v>721</v>
      </c>
      <c r="K1058"/>
      <c r="L1058"/>
      <c r="M1058" t="s">
        <v>843</v>
      </c>
      <c r="N1058" t="s">
        <v>844</v>
      </c>
      <c r="O1058"/>
      <c r="P1058" t="e">
        <f>VLOOKUP(N1058,#REF!,2,FALSE)</f>
        <v>#REF!</v>
      </c>
      <c r="Q1058" t="s">
        <v>863</v>
      </c>
      <c r="R1058" s="345">
        <v>8533.41</v>
      </c>
    </row>
    <row r="1059" spans="1:18" x14ac:dyDescent="0.2">
      <c r="A1059" s="344" t="s">
        <v>745</v>
      </c>
      <c r="B1059" t="s">
        <v>827</v>
      </c>
      <c r="C1059" t="s">
        <v>823</v>
      </c>
      <c r="D1059" t="s">
        <v>746</v>
      </c>
      <c r="E1059" t="s">
        <v>829</v>
      </c>
      <c r="F1059" t="s">
        <v>803</v>
      </c>
      <c r="G1059" t="s">
        <v>830</v>
      </c>
      <c r="H1059" t="s">
        <v>831</v>
      </c>
      <c r="I1059" t="s">
        <v>722</v>
      </c>
      <c r="J1059" t="s">
        <v>721</v>
      </c>
      <c r="K1059"/>
      <c r="L1059"/>
      <c r="M1059" t="s">
        <v>843</v>
      </c>
      <c r="N1059" t="s">
        <v>844</v>
      </c>
      <c r="O1059"/>
      <c r="P1059" t="e">
        <f>VLOOKUP(N1059,#REF!,2,FALSE)</f>
        <v>#REF!</v>
      </c>
      <c r="Q1059" t="s">
        <v>863</v>
      </c>
      <c r="R1059" s="345">
        <v>-14216.44</v>
      </c>
    </row>
    <row r="1060" spans="1:18" x14ac:dyDescent="0.2">
      <c r="A1060" s="344" t="s">
        <v>749</v>
      </c>
      <c r="B1060" t="s">
        <v>827</v>
      </c>
      <c r="C1060" t="s">
        <v>823</v>
      </c>
      <c r="D1060" t="s">
        <v>746</v>
      </c>
      <c r="E1060" t="s">
        <v>829</v>
      </c>
      <c r="F1060" t="s">
        <v>803</v>
      </c>
      <c r="G1060" t="s">
        <v>830</v>
      </c>
      <c r="H1060" t="s">
        <v>831</v>
      </c>
      <c r="I1060" t="s">
        <v>722</v>
      </c>
      <c r="J1060" t="s">
        <v>721</v>
      </c>
      <c r="K1060"/>
      <c r="L1060"/>
      <c r="M1060" t="s">
        <v>843</v>
      </c>
      <c r="N1060" t="s">
        <v>844</v>
      </c>
      <c r="O1060"/>
      <c r="P1060" t="e">
        <f>VLOOKUP(N1060,#REF!,2,FALSE)</f>
        <v>#REF!</v>
      </c>
      <c r="Q1060" t="s">
        <v>881</v>
      </c>
      <c r="R1060" s="345">
        <v>-5795.34</v>
      </c>
    </row>
    <row r="1061" spans="1:18" x14ac:dyDescent="0.2">
      <c r="A1061" s="344" t="s">
        <v>752</v>
      </c>
      <c r="B1061" t="s">
        <v>827</v>
      </c>
      <c r="C1061" t="s">
        <v>823</v>
      </c>
      <c r="D1061" t="s">
        <v>746</v>
      </c>
      <c r="E1061" t="s">
        <v>829</v>
      </c>
      <c r="F1061" t="s">
        <v>803</v>
      </c>
      <c r="G1061" t="s">
        <v>830</v>
      </c>
      <c r="H1061" t="s">
        <v>831</v>
      </c>
      <c r="I1061" t="s">
        <v>722</v>
      </c>
      <c r="J1061" t="s">
        <v>721</v>
      </c>
      <c r="K1061"/>
      <c r="L1061"/>
      <c r="M1061" t="s">
        <v>843</v>
      </c>
      <c r="N1061" t="s">
        <v>844</v>
      </c>
      <c r="O1061"/>
      <c r="P1061" t="e">
        <f>VLOOKUP(N1061,#REF!,2,FALSE)</f>
        <v>#REF!</v>
      </c>
      <c r="Q1061" t="s">
        <v>881</v>
      </c>
      <c r="R1061" s="345">
        <v>-10018.26</v>
      </c>
    </row>
    <row r="1062" spans="1:18" x14ac:dyDescent="0.2">
      <c r="A1062" s="344" t="s">
        <v>753</v>
      </c>
      <c r="B1062" t="s">
        <v>827</v>
      </c>
      <c r="C1062" t="s">
        <v>823</v>
      </c>
      <c r="D1062" t="s">
        <v>746</v>
      </c>
      <c r="E1062" t="s">
        <v>829</v>
      </c>
      <c r="F1062" t="s">
        <v>803</v>
      </c>
      <c r="G1062" t="s">
        <v>830</v>
      </c>
      <c r="H1062" t="s">
        <v>831</v>
      </c>
      <c r="I1062" t="s">
        <v>722</v>
      </c>
      <c r="J1062" t="s">
        <v>721</v>
      </c>
      <c r="K1062"/>
      <c r="L1062"/>
      <c r="M1062" t="s">
        <v>843</v>
      </c>
      <c r="N1062" t="s">
        <v>844</v>
      </c>
      <c r="O1062"/>
      <c r="P1062" t="e">
        <f>VLOOKUP(N1062,#REF!,2,FALSE)</f>
        <v>#REF!</v>
      </c>
      <c r="Q1062" t="s">
        <v>881</v>
      </c>
      <c r="R1062" s="345">
        <v>-6948.89</v>
      </c>
    </row>
    <row r="1063" spans="1:18" x14ac:dyDescent="0.2">
      <c r="A1063" s="344" t="s">
        <v>754</v>
      </c>
      <c r="B1063" t="s">
        <v>827</v>
      </c>
      <c r="C1063" t="s">
        <v>823</v>
      </c>
      <c r="D1063" t="s">
        <v>746</v>
      </c>
      <c r="E1063" t="s">
        <v>829</v>
      </c>
      <c r="F1063" t="s">
        <v>803</v>
      </c>
      <c r="G1063" t="s">
        <v>830</v>
      </c>
      <c r="H1063" t="s">
        <v>831</v>
      </c>
      <c r="I1063" t="s">
        <v>722</v>
      </c>
      <c r="J1063" t="s">
        <v>721</v>
      </c>
      <c r="K1063"/>
      <c r="L1063"/>
      <c r="M1063" t="s">
        <v>843</v>
      </c>
      <c r="N1063" t="s">
        <v>844</v>
      </c>
      <c r="O1063"/>
      <c r="P1063" t="e">
        <f>VLOOKUP(N1063,#REF!,2,FALSE)</f>
        <v>#REF!</v>
      </c>
      <c r="Q1063" t="s">
        <v>881</v>
      </c>
      <c r="R1063" s="345">
        <v>-9525.3700000000008</v>
      </c>
    </row>
    <row r="1064" spans="1:18" x14ac:dyDescent="0.2">
      <c r="A1064" s="344" t="s">
        <v>755</v>
      </c>
      <c r="B1064" t="s">
        <v>827</v>
      </c>
      <c r="C1064" t="s">
        <v>823</v>
      </c>
      <c r="D1064" t="s">
        <v>746</v>
      </c>
      <c r="E1064" t="s">
        <v>829</v>
      </c>
      <c r="F1064" t="s">
        <v>803</v>
      </c>
      <c r="G1064" t="s">
        <v>830</v>
      </c>
      <c r="H1064" t="s">
        <v>831</v>
      </c>
      <c r="I1064" t="s">
        <v>722</v>
      </c>
      <c r="J1064" t="s">
        <v>721</v>
      </c>
      <c r="K1064"/>
      <c r="L1064"/>
      <c r="M1064" t="s">
        <v>843</v>
      </c>
      <c r="N1064" t="s">
        <v>844</v>
      </c>
      <c r="O1064"/>
      <c r="P1064" t="e">
        <f>VLOOKUP(N1064,#REF!,2,FALSE)</f>
        <v>#REF!</v>
      </c>
      <c r="Q1064" t="s">
        <v>881</v>
      </c>
      <c r="R1064" s="345">
        <v>-8672.31</v>
      </c>
    </row>
    <row r="1065" spans="1:18" x14ac:dyDescent="0.2">
      <c r="A1065" s="344" t="s">
        <v>756</v>
      </c>
      <c r="B1065" t="s">
        <v>827</v>
      </c>
      <c r="C1065" t="s">
        <v>823</v>
      </c>
      <c r="D1065" t="s">
        <v>746</v>
      </c>
      <c r="E1065" t="s">
        <v>829</v>
      </c>
      <c r="F1065" t="s">
        <v>803</v>
      </c>
      <c r="G1065" t="s">
        <v>830</v>
      </c>
      <c r="H1065" t="s">
        <v>831</v>
      </c>
      <c r="I1065" t="s">
        <v>722</v>
      </c>
      <c r="J1065" t="s">
        <v>721</v>
      </c>
      <c r="K1065"/>
      <c r="L1065"/>
      <c r="M1065" t="s">
        <v>843</v>
      </c>
      <c r="N1065" t="s">
        <v>844</v>
      </c>
      <c r="O1065"/>
      <c r="P1065" t="e">
        <f>VLOOKUP(N1065,#REF!,2,FALSE)</f>
        <v>#REF!</v>
      </c>
      <c r="Q1065" t="s">
        <v>881</v>
      </c>
      <c r="R1065" s="345">
        <v>-10268.99</v>
      </c>
    </row>
    <row r="1066" spans="1:18" x14ac:dyDescent="0.2">
      <c r="A1066" s="344" t="s">
        <v>757</v>
      </c>
      <c r="B1066" t="s">
        <v>827</v>
      </c>
      <c r="C1066" t="s">
        <v>823</v>
      </c>
      <c r="D1066" t="s">
        <v>746</v>
      </c>
      <c r="E1066" t="s">
        <v>829</v>
      </c>
      <c r="F1066" t="s">
        <v>803</v>
      </c>
      <c r="G1066" t="s">
        <v>830</v>
      </c>
      <c r="H1066" t="s">
        <v>831</v>
      </c>
      <c r="I1066" t="s">
        <v>722</v>
      </c>
      <c r="J1066" t="s">
        <v>721</v>
      </c>
      <c r="K1066"/>
      <c r="L1066"/>
      <c r="M1066" t="s">
        <v>843</v>
      </c>
      <c r="N1066" t="s">
        <v>844</v>
      </c>
      <c r="O1066"/>
      <c r="P1066" t="e">
        <f>VLOOKUP(N1066,#REF!,2,FALSE)</f>
        <v>#REF!</v>
      </c>
      <c r="Q1066" t="s">
        <v>881</v>
      </c>
      <c r="R1066" s="345">
        <v>-9794.7000000000007</v>
      </c>
    </row>
    <row r="1067" spans="1:18" x14ac:dyDescent="0.2">
      <c r="A1067" s="344" t="s">
        <v>758</v>
      </c>
      <c r="B1067" t="s">
        <v>827</v>
      </c>
      <c r="C1067" t="s">
        <v>823</v>
      </c>
      <c r="D1067" t="s">
        <v>746</v>
      </c>
      <c r="E1067" t="s">
        <v>829</v>
      </c>
      <c r="F1067" t="s">
        <v>803</v>
      </c>
      <c r="G1067" t="s">
        <v>830</v>
      </c>
      <c r="H1067" t="s">
        <v>831</v>
      </c>
      <c r="I1067" t="s">
        <v>722</v>
      </c>
      <c r="J1067" t="s">
        <v>721</v>
      </c>
      <c r="K1067"/>
      <c r="L1067"/>
      <c r="M1067" t="s">
        <v>843</v>
      </c>
      <c r="N1067" t="s">
        <v>844</v>
      </c>
      <c r="O1067"/>
      <c r="P1067" t="e">
        <f>VLOOKUP(N1067,#REF!,2,FALSE)</f>
        <v>#REF!</v>
      </c>
      <c r="Q1067" t="s">
        <v>881</v>
      </c>
      <c r="R1067" s="345">
        <v>-6878.29</v>
      </c>
    </row>
    <row r="1068" spans="1:18" x14ac:dyDescent="0.2">
      <c r="A1068" s="344" t="s">
        <v>759</v>
      </c>
      <c r="B1068" t="s">
        <v>827</v>
      </c>
      <c r="C1068" t="s">
        <v>823</v>
      </c>
      <c r="D1068" t="s">
        <v>746</v>
      </c>
      <c r="E1068" t="s">
        <v>829</v>
      </c>
      <c r="F1068" t="s">
        <v>803</v>
      </c>
      <c r="G1068" t="s">
        <v>830</v>
      </c>
      <c r="H1068" t="s">
        <v>831</v>
      </c>
      <c r="I1068" t="s">
        <v>722</v>
      </c>
      <c r="J1068" t="s">
        <v>721</v>
      </c>
      <c r="K1068"/>
      <c r="L1068"/>
      <c r="M1068" t="s">
        <v>843</v>
      </c>
      <c r="N1068" t="s">
        <v>844</v>
      </c>
      <c r="O1068"/>
      <c r="P1068" t="e">
        <f>VLOOKUP(N1068,#REF!,2,FALSE)</f>
        <v>#REF!</v>
      </c>
      <c r="Q1068" t="s">
        <v>881</v>
      </c>
      <c r="R1068" s="345">
        <v>-10800.58</v>
      </c>
    </row>
    <row r="1069" spans="1:18" x14ac:dyDescent="0.2">
      <c r="A1069" s="344" t="s">
        <v>743</v>
      </c>
      <c r="B1069" t="s">
        <v>827</v>
      </c>
      <c r="C1069" t="s">
        <v>823</v>
      </c>
      <c r="D1069" t="s">
        <v>746</v>
      </c>
      <c r="E1069" t="s">
        <v>829</v>
      </c>
      <c r="F1069" t="s">
        <v>803</v>
      </c>
      <c r="G1069" t="s">
        <v>830</v>
      </c>
      <c r="H1069" t="s">
        <v>831</v>
      </c>
      <c r="I1069" t="s">
        <v>722</v>
      </c>
      <c r="J1069" t="s">
        <v>721</v>
      </c>
      <c r="K1069"/>
      <c r="L1069"/>
      <c r="M1069" t="s">
        <v>843</v>
      </c>
      <c r="N1069" t="s">
        <v>844</v>
      </c>
      <c r="O1069"/>
      <c r="P1069" t="e">
        <f>VLOOKUP(N1069,#REF!,2,FALSE)</f>
        <v>#REF!</v>
      </c>
      <c r="Q1069" t="s">
        <v>881</v>
      </c>
      <c r="R1069" s="345">
        <v>-13567.83</v>
      </c>
    </row>
    <row r="1070" spans="1:18" x14ac:dyDescent="0.2">
      <c r="A1070" s="344" t="s">
        <v>760</v>
      </c>
      <c r="B1070" t="s">
        <v>827</v>
      </c>
      <c r="C1070" t="s">
        <v>823</v>
      </c>
      <c r="D1070" t="s">
        <v>746</v>
      </c>
      <c r="E1070" t="s">
        <v>829</v>
      </c>
      <c r="F1070" t="s">
        <v>803</v>
      </c>
      <c r="G1070" t="s">
        <v>830</v>
      </c>
      <c r="H1070" t="s">
        <v>831</v>
      </c>
      <c r="I1070" t="s">
        <v>722</v>
      </c>
      <c r="J1070" t="s">
        <v>721</v>
      </c>
      <c r="K1070"/>
      <c r="L1070"/>
      <c r="M1070" t="s">
        <v>843</v>
      </c>
      <c r="N1070" t="s">
        <v>844</v>
      </c>
      <c r="O1070"/>
      <c r="P1070" t="e">
        <f>VLOOKUP(N1070,#REF!,2,FALSE)</f>
        <v>#REF!</v>
      </c>
      <c r="Q1070" t="s">
        <v>881</v>
      </c>
      <c r="R1070" s="345">
        <v>-5025.49</v>
      </c>
    </row>
    <row r="1071" spans="1:18" x14ac:dyDescent="0.2">
      <c r="A1071" s="344" t="s">
        <v>745</v>
      </c>
      <c r="B1071" t="s">
        <v>827</v>
      </c>
      <c r="C1071" t="s">
        <v>823</v>
      </c>
      <c r="D1071" t="s">
        <v>746</v>
      </c>
      <c r="E1071" t="s">
        <v>829</v>
      </c>
      <c r="F1071" t="s">
        <v>803</v>
      </c>
      <c r="G1071" t="s">
        <v>830</v>
      </c>
      <c r="H1071" t="s">
        <v>831</v>
      </c>
      <c r="I1071" t="s">
        <v>722</v>
      </c>
      <c r="J1071" t="s">
        <v>721</v>
      </c>
      <c r="K1071"/>
      <c r="L1071"/>
      <c r="M1071" t="s">
        <v>843</v>
      </c>
      <c r="N1071" t="s">
        <v>844</v>
      </c>
      <c r="O1071"/>
      <c r="P1071" t="e">
        <f>VLOOKUP(N1071,#REF!,2,FALSE)</f>
        <v>#REF!</v>
      </c>
      <c r="Q1071" t="s">
        <v>881</v>
      </c>
      <c r="R1071" s="345">
        <v>-2917.36</v>
      </c>
    </row>
    <row r="1072" spans="1:18" x14ac:dyDescent="0.2">
      <c r="A1072" s="344" t="s">
        <v>749</v>
      </c>
      <c r="B1072" t="s">
        <v>827</v>
      </c>
      <c r="C1072" t="s">
        <v>823</v>
      </c>
      <c r="D1072" t="s">
        <v>746</v>
      </c>
      <c r="E1072" t="s">
        <v>829</v>
      </c>
      <c r="F1072" t="s">
        <v>803</v>
      </c>
      <c r="G1072" t="s">
        <v>830</v>
      </c>
      <c r="H1072" t="s">
        <v>831</v>
      </c>
      <c r="I1072" t="s">
        <v>722</v>
      </c>
      <c r="J1072" t="s">
        <v>721</v>
      </c>
      <c r="K1072"/>
      <c r="L1072"/>
      <c r="M1072" t="s">
        <v>843</v>
      </c>
      <c r="N1072" t="s">
        <v>844</v>
      </c>
      <c r="O1072"/>
      <c r="P1072" t="e">
        <f>VLOOKUP(N1072,#REF!,2,FALSE)</f>
        <v>#REF!</v>
      </c>
      <c r="Q1072" t="s">
        <v>866</v>
      </c>
      <c r="R1072" s="345">
        <v>-9.01</v>
      </c>
    </row>
    <row r="1073" spans="1:18" x14ac:dyDescent="0.2">
      <c r="A1073" s="344" t="s">
        <v>752</v>
      </c>
      <c r="B1073" t="s">
        <v>827</v>
      </c>
      <c r="C1073" t="s">
        <v>823</v>
      </c>
      <c r="D1073" t="s">
        <v>746</v>
      </c>
      <c r="E1073" t="s">
        <v>829</v>
      </c>
      <c r="F1073" t="s">
        <v>803</v>
      </c>
      <c r="G1073" t="s">
        <v>830</v>
      </c>
      <c r="H1073" t="s">
        <v>831</v>
      </c>
      <c r="I1073" t="s">
        <v>722</v>
      </c>
      <c r="J1073" t="s">
        <v>721</v>
      </c>
      <c r="K1073"/>
      <c r="L1073"/>
      <c r="M1073" t="s">
        <v>843</v>
      </c>
      <c r="N1073" t="s">
        <v>844</v>
      </c>
      <c r="O1073"/>
      <c r="P1073" t="e">
        <f>VLOOKUP(N1073,#REF!,2,FALSE)</f>
        <v>#REF!</v>
      </c>
      <c r="Q1073" t="s">
        <v>866</v>
      </c>
      <c r="R1073" s="345">
        <v>-9.01</v>
      </c>
    </row>
    <row r="1074" spans="1:18" x14ac:dyDescent="0.2">
      <c r="A1074" s="344" t="s">
        <v>753</v>
      </c>
      <c r="B1074" t="s">
        <v>827</v>
      </c>
      <c r="C1074" t="s">
        <v>823</v>
      </c>
      <c r="D1074" t="s">
        <v>746</v>
      </c>
      <c r="E1074" t="s">
        <v>829</v>
      </c>
      <c r="F1074" t="s">
        <v>803</v>
      </c>
      <c r="G1074" t="s">
        <v>830</v>
      </c>
      <c r="H1074" t="s">
        <v>831</v>
      </c>
      <c r="I1074" t="s">
        <v>722</v>
      </c>
      <c r="J1074" t="s">
        <v>721</v>
      </c>
      <c r="K1074"/>
      <c r="L1074"/>
      <c r="M1074" t="s">
        <v>843</v>
      </c>
      <c r="N1074" t="s">
        <v>844</v>
      </c>
      <c r="O1074"/>
      <c r="P1074" t="e">
        <f>VLOOKUP(N1074,#REF!,2,FALSE)</f>
        <v>#REF!</v>
      </c>
      <c r="Q1074" t="s">
        <v>866</v>
      </c>
      <c r="R1074" s="345">
        <v>-9.01</v>
      </c>
    </row>
    <row r="1075" spans="1:18" x14ac:dyDescent="0.2">
      <c r="A1075" s="344" t="s">
        <v>754</v>
      </c>
      <c r="B1075" t="s">
        <v>827</v>
      </c>
      <c r="C1075" t="s">
        <v>823</v>
      </c>
      <c r="D1075" t="s">
        <v>746</v>
      </c>
      <c r="E1075" t="s">
        <v>829</v>
      </c>
      <c r="F1075" t="s">
        <v>803</v>
      </c>
      <c r="G1075" t="s">
        <v>830</v>
      </c>
      <c r="H1075" t="s">
        <v>831</v>
      </c>
      <c r="I1075" t="s">
        <v>722</v>
      </c>
      <c r="J1075" t="s">
        <v>721</v>
      </c>
      <c r="K1075"/>
      <c r="L1075"/>
      <c r="M1075" t="s">
        <v>843</v>
      </c>
      <c r="N1075" t="s">
        <v>844</v>
      </c>
      <c r="O1075"/>
      <c r="P1075" t="e">
        <f>VLOOKUP(N1075,#REF!,2,FALSE)</f>
        <v>#REF!</v>
      </c>
      <c r="Q1075" t="s">
        <v>866</v>
      </c>
      <c r="R1075" s="345">
        <v>-49.65</v>
      </c>
    </row>
    <row r="1076" spans="1:18" x14ac:dyDescent="0.2">
      <c r="A1076" s="344" t="s">
        <v>755</v>
      </c>
      <c r="B1076" t="s">
        <v>827</v>
      </c>
      <c r="C1076" t="s">
        <v>823</v>
      </c>
      <c r="D1076" t="s">
        <v>746</v>
      </c>
      <c r="E1076" t="s">
        <v>829</v>
      </c>
      <c r="F1076" t="s">
        <v>803</v>
      </c>
      <c r="G1076" t="s">
        <v>830</v>
      </c>
      <c r="H1076" t="s">
        <v>831</v>
      </c>
      <c r="I1076" t="s">
        <v>722</v>
      </c>
      <c r="J1076" t="s">
        <v>721</v>
      </c>
      <c r="K1076"/>
      <c r="L1076"/>
      <c r="M1076" t="s">
        <v>843</v>
      </c>
      <c r="N1076" t="s">
        <v>844</v>
      </c>
      <c r="O1076"/>
      <c r="P1076" t="e">
        <f>VLOOKUP(N1076,#REF!,2,FALSE)</f>
        <v>#REF!</v>
      </c>
      <c r="Q1076" t="s">
        <v>866</v>
      </c>
      <c r="R1076" s="345">
        <v>-79</v>
      </c>
    </row>
    <row r="1077" spans="1:18" x14ac:dyDescent="0.2">
      <c r="A1077" s="344" t="s">
        <v>756</v>
      </c>
      <c r="B1077" t="s">
        <v>827</v>
      </c>
      <c r="C1077" t="s">
        <v>823</v>
      </c>
      <c r="D1077" t="s">
        <v>746</v>
      </c>
      <c r="E1077" t="s">
        <v>829</v>
      </c>
      <c r="F1077" t="s">
        <v>803</v>
      </c>
      <c r="G1077" t="s">
        <v>830</v>
      </c>
      <c r="H1077" t="s">
        <v>831</v>
      </c>
      <c r="I1077" t="s">
        <v>722</v>
      </c>
      <c r="J1077" t="s">
        <v>721</v>
      </c>
      <c r="K1077"/>
      <c r="L1077"/>
      <c r="M1077" t="s">
        <v>843</v>
      </c>
      <c r="N1077" t="s">
        <v>844</v>
      </c>
      <c r="O1077"/>
      <c r="P1077" t="e">
        <f>VLOOKUP(N1077,#REF!,2,FALSE)</f>
        <v>#REF!</v>
      </c>
      <c r="Q1077" t="s">
        <v>866</v>
      </c>
      <c r="R1077" s="345">
        <v>-79.56</v>
      </c>
    </row>
    <row r="1078" spans="1:18" x14ac:dyDescent="0.2">
      <c r="A1078" s="344" t="s">
        <v>757</v>
      </c>
      <c r="B1078" t="s">
        <v>827</v>
      </c>
      <c r="C1078" t="s">
        <v>823</v>
      </c>
      <c r="D1078" t="s">
        <v>746</v>
      </c>
      <c r="E1078" t="s">
        <v>829</v>
      </c>
      <c r="F1078" t="s">
        <v>803</v>
      </c>
      <c r="G1078" t="s">
        <v>830</v>
      </c>
      <c r="H1078" t="s">
        <v>831</v>
      </c>
      <c r="I1078" t="s">
        <v>722</v>
      </c>
      <c r="J1078" t="s">
        <v>721</v>
      </c>
      <c r="K1078"/>
      <c r="L1078"/>
      <c r="M1078" t="s">
        <v>843</v>
      </c>
      <c r="N1078" t="s">
        <v>844</v>
      </c>
      <c r="O1078"/>
      <c r="P1078" t="e">
        <f>VLOOKUP(N1078,#REF!,2,FALSE)</f>
        <v>#REF!</v>
      </c>
      <c r="Q1078" t="s">
        <v>866</v>
      </c>
      <c r="R1078" s="345">
        <v>0</v>
      </c>
    </row>
    <row r="1079" spans="1:18" x14ac:dyDescent="0.2">
      <c r="A1079" s="344" t="s">
        <v>749</v>
      </c>
      <c r="B1079" t="s">
        <v>827</v>
      </c>
      <c r="C1079" t="s">
        <v>823</v>
      </c>
      <c r="D1079" t="s">
        <v>746</v>
      </c>
      <c r="E1079" t="s">
        <v>829</v>
      </c>
      <c r="F1079" t="s">
        <v>803</v>
      </c>
      <c r="G1079" t="s">
        <v>830</v>
      </c>
      <c r="H1079" t="s">
        <v>831</v>
      </c>
      <c r="I1079" t="s">
        <v>722</v>
      </c>
      <c r="J1079" t="s">
        <v>721</v>
      </c>
      <c r="K1079"/>
      <c r="L1079"/>
      <c r="M1079" t="s">
        <v>843</v>
      </c>
      <c r="N1079" t="s">
        <v>844</v>
      </c>
      <c r="O1079"/>
      <c r="P1079" t="e">
        <f>VLOOKUP(N1079,#REF!,2,FALSE)</f>
        <v>#REF!</v>
      </c>
      <c r="Q1079" t="s">
        <v>882</v>
      </c>
      <c r="R1079" s="345">
        <v>-3170.33</v>
      </c>
    </row>
    <row r="1080" spans="1:18" x14ac:dyDescent="0.2">
      <c r="A1080" s="344" t="s">
        <v>752</v>
      </c>
      <c r="B1080" t="s">
        <v>827</v>
      </c>
      <c r="C1080" t="s">
        <v>823</v>
      </c>
      <c r="D1080" t="s">
        <v>746</v>
      </c>
      <c r="E1080" t="s">
        <v>829</v>
      </c>
      <c r="F1080" t="s">
        <v>803</v>
      </c>
      <c r="G1080" t="s">
        <v>830</v>
      </c>
      <c r="H1080" t="s">
        <v>831</v>
      </c>
      <c r="I1080" t="s">
        <v>722</v>
      </c>
      <c r="J1080" t="s">
        <v>721</v>
      </c>
      <c r="K1080"/>
      <c r="L1080"/>
      <c r="M1080" t="s">
        <v>843</v>
      </c>
      <c r="N1080" t="s">
        <v>844</v>
      </c>
      <c r="O1080"/>
      <c r="P1080" t="e">
        <f>VLOOKUP(N1080,#REF!,2,FALSE)</f>
        <v>#REF!</v>
      </c>
      <c r="Q1080" t="s">
        <v>882</v>
      </c>
      <c r="R1080" s="345">
        <v>-3170.33</v>
      </c>
    </row>
    <row r="1081" spans="1:18" x14ac:dyDescent="0.2">
      <c r="A1081" s="344" t="s">
        <v>753</v>
      </c>
      <c r="B1081" t="s">
        <v>827</v>
      </c>
      <c r="C1081" t="s">
        <v>823</v>
      </c>
      <c r="D1081" t="s">
        <v>746</v>
      </c>
      <c r="E1081" t="s">
        <v>829</v>
      </c>
      <c r="F1081" t="s">
        <v>803</v>
      </c>
      <c r="G1081" t="s">
        <v>830</v>
      </c>
      <c r="H1081" t="s">
        <v>831</v>
      </c>
      <c r="I1081" t="s">
        <v>722</v>
      </c>
      <c r="J1081" t="s">
        <v>721</v>
      </c>
      <c r="K1081"/>
      <c r="L1081"/>
      <c r="M1081" t="s">
        <v>843</v>
      </c>
      <c r="N1081" t="s">
        <v>844</v>
      </c>
      <c r="O1081"/>
      <c r="P1081" t="e">
        <f>VLOOKUP(N1081,#REF!,2,FALSE)</f>
        <v>#REF!</v>
      </c>
      <c r="Q1081" t="s">
        <v>882</v>
      </c>
      <c r="R1081" s="345">
        <v>-2500.91</v>
      </c>
    </row>
    <row r="1082" spans="1:18" x14ac:dyDescent="0.2">
      <c r="A1082" s="344" t="s">
        <v>754</v>
      </c>
      <c r="B1082" t="s">
        <v>827</v>
      </c>
      <c r="C1082" t="s">
        <v>823</v>
      </c>
      <c r="D1082" t="s">
        <v>746</v>
      </c>
      <c r="E1082" t="s">
        <v>829</v>
      </c>
      <c r="F1082" t="s">
        <v>803</v>
      </c>
      <c r="G1082" t="s">
        <v>830</v>
      </c>
      <c r="H1082" t="s">
        <v>831</v>
      </c>
      <c r="I1082" t="s">
        <v>722</v>
      </c>
      <c r="J1082" t="s">
        <v>721</v>
      </c>
      <c r="K1082"/>
      <c r="L1082"/>
      <c r="M1082" t="s">
        <v>843</v>
      </c>
      <c r="N1082" t="s">
        <v>844</v>
      </c>
      <c r="O1082"/>
      <c r="P1082" t="e">
        <f>VLOOKUP(N1082,#REF!,2,FALSE)</f>
        <v>#REF!</v>
      </c>
      <c r="Q1082" t="s">
        <v>882</v>
      </c>
      <c r="R1082" s="345">
        <v>0</v>
      </c>
    </row>
    <row r="1083" spans="1:18" x14ac:dyDescent="0.2">
      <c r="A1083" s="344" t="s">
        <v>756</v>
      </c>
      <c r="B1083" t="s">
        <v>827</v>
      </c>
      <c r="C1083" t="s">
        <v>823</v>
      </c>
      <c r="D1083" t="s">
        <v>746</v>
      </c>
      <c r="E1083" t="s">
        <v>829</v>
      </c>
      <c r="F1083" t="s">
        <v>803</v>
      </c>
      <c r="G1083" t="s">
        <v>830</v>
      </c>
      <c r="H1083" t="s">
        <v>831</v>
      </c>
      <c r="I1083" t="s">
        <v>722</v>
      </c>
      <c r="J1083" t="s">
        <v>721</v>
      </c>
      <c r="K1083"/>
      <c r="L1083"/>
      <c r="M1083" t="s">
        <v>843</v>
      </c>
      <c r="N1083" t="s">
        <v>844</v>
      </c>
      <c r="O1083"/>
      <c r="P1083" t="e">
        <f>VLOOKUP(N1083,#REF!,2,FALSE)</f>
        <v>#REF!</v>
      </c>
      <c r="Q1083" t="s">
        <v>882</v>
      </c>
      <c r="R1083" s="345">
        <v>-569.87</v>
      </c>
    </row>
    <row r="1084" spans="1:18" x14ac:dyDescent="0.2">
      <c r="A1084" s="344" t="s">
        <v>757</v>
      </c>
      <c r="B1084" t="s">
        <v>827</v>
      </c>
      <c r="C1084" t="s">
        <v>823</v>
      </c>
      <c r="D1084" t="s">
        <v>746</v>
      </c>
      <c r="E1084" t="s">
        <v>829</v>
      </c>
      <c r="F1084" t="s">
        <v>803</v>
      </c>
      <c r="G1084" t="s">
        <v>830</v>
      </c>
      <c r="H1084" t="s">
        <v>831</v>
      </c>
      <c r="I1084" t="s">
        <v>722</v>
      </c>
      <c r="J1084" t="s">
        <v>721</v>
      </c>
      <c r="K1084"/>
      <c r="L1084"/>
      <c r="M1084" t="s">
        <v>843</v>
      </c>
      <c r="N1084" t="s">
        <v>844</v>
      </c>
      <c r="O1084"/>
      <c r="P1084" t="e">
        <f>VLOOKUP(N1084,#REF!,2,FALSE)</f>
        <v>#REF!</v>
      </c>
      <c r="Q1084" t="s">
        <v>882</v>
      </c>
      <c r="R1084" s="345">
        <v>-207.52</v>
      </c>
    </row>
    <row r="1085" spans="1:18" x14ac:dyDescent="0.2">
      <c r="A1085" s="344" t="s">
        <v>758</v>
      </c>
      <c r="B1085" t="s">
        <v>827</v>
      </c>
      <c r="C1085" t="s">
        <v>823</v>
      </c>
      <c r="D1085" t="s">
        <v>746</v>
      </c>
      <c r="E1085" t="s">
        <v>829</v>
      </c>
      <c r="F1085" t="s">
        <v>803</v>
      </c>
      <c r="G1085" t="s">
        <v>830</v>
      </c>
      <c r="H1085" t="s">
        <v>831</v>
      </c>
      <c r="I1085" t="s">
        <v>722</v>
      </c>
      <c r="J1085" t="s">
        <v>721</v>
      </c>
      <c r="K1085"/>
      <c r="L1085"/>
      <c r="M1085" t="s">
        <v>843</v>
      </c>
      <c r="N1085" t="s">
        <v>844</v>
      </c>
      <c r="O1085"/>
      <c r="P1085" t="e">
        <f>VLOOKUP(N1085,#REF!,2,FALSE)</f>
        <v>#REF!</v>
      </c>
      <c r="Q1085" t="s">
        <v>882</v>
      </c>
      <c r="R1085" s="345">
        <v>0</v>
      </c>
    </row>
    <row r="1086" spans="1:18" x14ac:dyDescent="0.2">
      <c r="A1086" s="344" t="s">
        <v>749</v>
      </c>
      <c r="B1086" t="s">
        <v>827</v>
      </c>
      <c r="C1086" t="s">
        <v>823</v>
      </c>
      <c r="D1086" t="s">
        <v>746</v>
      </c>
      <c r="E1086" t="s">
        <v>829</v>
      </c>
      <c r="F1086" t="s">
        <v>803</v>
      </c>
      <c r="G1086" t="s">
        <v>830</v>
      </c>
      <c r="H1086" t="s">
        <v>831</v>
      </c>
      <c r="I1086" t="s">
        <v>722</v>
      </c>
      <c r="J1086" t="s">
        <v>721</v>
      </c>
      <c r="K1086"/>
      <c r="L1086"/>
      <c r="M1086" t="s">
        <v>843</v>
      </c>
      <c r="N1086" t="s">
        <v>844</v>
      </c>
      <c r="O1086"/>
      <c r="P1086" t="e">
        <f>VLOOKUP(N1086,#REF!,2,FALSE)</f>
        <v>#REF!</v>
      </c>
      <c r="Q1086" t="s">
        <v>869</v>
      </c>
      <c r="R1086" s="345">
        <v>-107.56</v>
      </c>
    </row>
    <row r="1087" spans="1:18" x14ac:dyDescent="0.2">
      <c r="A1087" s="344" t="s">
        <v>759</v>
      </c>
      <c r="B1087" t="s">
        <v>827</v>
      </c>
      <c r="C1087" t="s">
        <v>823</v>
      </c>
      <c r="D1087" t="s">
        <v>746</v>
      </c>
      <c r="E1087" t="s">
        <v>829</v>
      </c>
      <c r="F1087" t="s">
        <v>803</v>
      </c>
      <c r="G1087" t="s">
        <v>830</v>
      </c>
      <c r="H1087" t="s">
        <v>831</v>
      </c>
      <c r="I1087" t="s">
        <v>722</v>
      </c>
      <c r="J1087" t="s">
        <v>721</v>
      </c>
      <c r="K1087"/>
      <c r="L1087"/>
      <c r="M1087" t="s">
        <v>843</v>
      </c>
      <c r="N1087" t="s">
        <v>844</v>
      </c>
      <c r="O1087"/>
      <c r="P1087" t="e">
        <f>VLOOKUP(N1087,#REF!,2,FALSE)</f>
        <v>#REF!</v>
      </c>
      <c r="Q1087" t="s">
        <v>871</v>
      </c>
      <c r="R1087" s="345">
        <v>-137.38999999999999</v>
      </c>
    </row>
    <row r="1088" spans="1:18" x14ac:dyDescent="0.2">
      <c r="A1088" s="344" t="s">
        <v>743</v>
      </c>
      <c r="B1088" t="s">
        <v>827</v>
      </c>
      <c r="C1088" t="s">
        <v>823</v>
      </c>
      <c r="D1088" t="s">
        <v>746</v>
      </c>
      <c r="E1088" t="s">
        <v>829</v>
      </c>
      <c r="F1088" t="s">
        <v>803</v>
      </c>
      <c r="G1088" t="s">
        <v>830</v>
      </c>
      <c r="H1088" t="s">
        <v>831</v>
      </c>
      <c r="I1088" t="s">
        <v>722</v>
      </c>
      <c r="J1088" t="s">
        <v>721</v>
      </c>
      <c r="K1088"/>
      <c r="L1088"/>
      <c r="M1088" t="s">
        <v>843</v>
      </c>
      <c r="N1088" t="s">
        <v>844</v>
      </c>
      <c r="O1088"/>
      <c r="P1088" t="e">
        <f>VLOOKUP(N1088,#REF!,2,FALSE)</f>
        <v>#REF!</v>
      </c>
      <c r="Q1088" t="s">
        <v>871</v>
      </c>
      <c r="R1088" s="345">
        <v>69.48</v>
      </c>
    </row>
    <row r="1089" spans="1:18" x14ac:dyDescent="0.2">
      <c r="A1089" s="344" t="s">
        <v>760</v>
      </c>
      <c r="B1089" t="s">
        <v>827</v>
      </c>
      <c r="C1089" t="s">
        <v>823</v>
      </c>
      <c r="D1089" t="s">
        <v>746</v>
      </c>
      <c r="E1089" t="s">
        <v>829</v>
      </c>
      <c r="F1089" t="s">
        <v>803</v>
      </c>
      <c r="G1089" t="s">
        <v>830</v>
      </c>
      <c r="H1089" t="s">
        <v>831</v>
      </c>
      <c r="I1089" t="s">
        <v>722</v>
      </c>
      <c r="J1089" t="s">
        <v>721</v>
      </c>
      <c r="K1089"/>
      <c r="L1089"/>
      <c r="M1089" t="s">
        <v>843</v>
      </c>
      <c r="N1089" t="s">
        <v>844</v>
      </c>
      <c r="O1089"/>
      <c r="P1089" t="e">
        <f>VLOOKUP(N1089,#REF!,2,FALSE)</f>
        <v>#REF!</v>
      </c>
      <c r="Q1089" t="s">
        <v>871</v>
      </c>
      <c r="R1089" s="345">
        <v>-19.399999999999999</v>
      </c>
    </row>
    <row r="1090" spans="1:18" x14ac:dyDescent="0.2">
      <c r="A1090" s="344" t="s">
        <v>745</v>
      </c>
      <c r="B1090" t="s">
        <v>827</v>
      </c>
      <c r="C1090" t="s">
        <v>823</v>
      </c>
      <c r="D1090" t="s">
        <v>746</v>
      </c>
      <c r="E1090" t="s">
        <v>829</v>
      </c>
      <c r="F1090" t="s">
        <v>803</v>
      </c>
      <c r="G1090" t="s">
        <v>830</v>
      </c>
      <c r="H1090" t="s">
        <v>831</v>
      </c>
      <c r="I1090" t="s">
        <v>722</v>
      </c>
      <c r="J1090" t="s">
        <v>721</v>
      </c>
      <c r="K1090"/>
      <c r="L1090"/>
      <c r="M1090" t="s">
        <v>843</v>
      </c>
      <c r="N1090" t="s">
        <v>844</v>
      </c>
      <c r="O1090"/>
      <c r="P1090" t="e">
        <f>VLOOKUP(N1090,#REF!,2,FALSE)</f>
        <v>#REF!</v>
      </c>
      <c r="Q1090" t="s">
        <v>871</v>
      </c>
      <c r="R1090" s="345">
        <v>-57.64</v>
      </c>
    </row>
    <row r="1091" spans="1:18" x14ac:dyDescent="0.2">
      <c r="A1091" s="344" t="s">
        <v>749</v>
      </c>
      <c r="B1091" t="s">
        <v>827</v>
      </c>
      <c r="C1091" t="s">
        <v>823</v>
      </c>
      <c r="D1091" t="s">
        <v>746</v>
      </c>
      <c r="E1091" t="s">
        <v>829</v>
      </c>
      <c r="F1091" t="s">
        <v>803</v>
      </c>
      <c r="G1091" t="s">
        <v>830</v>
      </c>
      <c r="H1091" t="s">
        <v>831</v>
      </c>
      <c r="I1091" t="s">
        <v>722</v>
      </c>
      <c r="J1091" t="s">
        <v>721</v>
      </c>
      <c r="K1091"/>
      <c r="L1091"/>
      <c r="M1091" t="s">
        <v>845</v>
      </c>
      <c r="N1091" t="s">
        <v>846</v>
      </c>
      <c r="O1091"/>
      <c r="P1091" t="e">
        <f>VLOOKUP(N1091,#REF!,2,FALSE)</f>
        <v>#REF!</v>
      </c>
      <c r="Q1091" t="s">
        <v>856</v>
      </c>
      <c r="R1091" s="345">
        <v>-5615.93</v>
      </c>
    </row>
    <row r="1092" spans="1:18" x14ac:dyDescent="0.2">
      <c r="A1092" s="344" t="s">
        <v>752</v>
      </c>
      <c r="B1092" t="s">
        <v>827</v>
      </c>
      <c r="C1092" t="s">
        <v>823</v>
      </c>
      <c r="D1092" t="s">
        <v>746</v>
      </c>
      <c r="E1092" t="s">
        <v>829</v>
      </c>
      <c r="F1092" t="s">
        <v>803</v>
      </c>
      <c r="G1092" t="s">
        <v>830</v>
      </c>
      <c r="H1092" t="s">
        <v>831</v>
      </c>
      <c r="I1092" t="s">
        <v>722</v>
      </c>
      <c r="J1092" t="s">
        <v>721</v>
      </c>
      <c r="K1092"/>
      <c r="L1092"/>
      <c r="M1092" t="s">
        <v>845</v>
      </c>
      <c r="N1092" t="s">
        <v>846</v>
      </c>
      <c r="O1092"/>
      <c r="P1092" t="e">
        <f>VLOOKUP(N1092,#REF!,2,FALSE)</f>
        <v>#REF!</v>
      </c>
      <c r="Q1092" t="s">
        <v>856</v>
      </c>
      <c r="R1092" s="345">
        <v>-3034.01</v>
      </c>
    </row>
    <row r="1093" spans="1:18" x14ac:dyDescent="0.2">
      <c r="A1093" s="344" t="s">
        <v>753</v>
      </c>
      <c r="B1093" t="s">
        <v>827</v>
      </c>
      <c r="C1093" t="s">
        <v>823</v>
      </c>
      <c r="D1093" t="s">
        <v>746</v>
      </c>
      <c r="E1093" t="s">
        <v>829</v>
      </c>
      <c r="F1093" t="s">
        <v>803</v>
      </c>
      <c r="G1093" t="s">
        <v>830</v>
      </c>
      <c r="H1093" t="s">
        <v>831</v>
      </c>
      <c r="I1093" t="s">
        <v>722</v>
      </c>
      <c r="J1093" t="s">
        <v>721</v>
      </c>
      <c r="K1093"/>
      <c r="L1093"/>
      <c r="M1093" t="s">
        <v>845</v>
      </c>
      <c r="N1093" t="s">
        <v>846</v>
      </c>
      <c r="O1093"/>
      <c r="P1093" t="e">
        <f>VLOOKUP(N1093,#REF!,2,FALSE)</f>
        <v>#REF!</v>
      </c>
      <c r="Q1093" t="s">
        <v>856</v>
      </c>
      <c r="R1093" s="345">
        <v>1686.75</v>
      </c>
    </row>
    <row r="1094" spans="1:18" x14ac:dyDescent="0.2">
      <c r="A1094" s="344" t="s">
        <v>754</v>
      </c>
      <c r="B1094" t="s">
        <v>827</v>
      </c>
      <c r="C1094" t="s">
        <v>823</v>
      </c>
      <c r="D1094" t="s">
        <v>746</v>
      </c>
      <c r="E1094" t="s">
        <v>829</v>
      </c>
      <c r="F1094" t="s">
        <v>803</v>
      </c>
      <c r="G1094" t="s">
        <v>830</v>
      </c>
      <c r="H1094" t="s">
        <v>831</v>
      </c>
      <c r="I1094" t="s">
        <v>722</v>
      </c>
      <c r="J1094" t="s">
        <v>721</v>
      </c>
      <c r="K1094"/>
      <c r="L1094"/>
      <c r="M1094" t="s">
        <v>845</v>
      </c>
      <c r="N1094" t="s">
        <v>846</v>
      </c>
      <c r="O1094"/>
      <c r="P1094" t="e">
        <f>VLOOKUP(N1094,#REF!,2,FALSE)</f>
        <v>#REF!</v>
      </c>
      <c r="Q1094" t="s">
        <v>856</v>
      </c>
      <c r="R1094" s="345">
        <v>-1923.98</v>
      </c>
    </row>
    <row r="1095" spans="1:18" x14ac:dyDescent="0.2">
      <c r="A1095" s="344" t="s">
        <v>755</v>
      </c>
      <c r="B1095" t="s">
        <v>827</v>
      </c>
      <c r="C1095" t="s">
        <v>823</v>
      </c>
      <c r="D1095" t="s">
        <v>746</v>
      </c>
      <c r="E1095" t="s">
        <v>829</v>
      </c>
      <c r="F1095" t="s">
        <v>803</v>
      </c>
      <c r="G1095" t="s">
        <v>830</v>
      </c>
      <c r="H1095" t="s">
        <v>831</v>
      </c>
      <c r="I1095" t="s">
        <v>722</v>
      </c>
      <c r="J1095" t="s">
        <v>721</v>
      </c>
      <c r="K1095"/>
      <c r="L1095"/>
      <c r="M1095" t="s">
        <v>845</v>
      </c>
      <c r="N1095" t="s">
        <v>846</v>
      </c>
      <c r="O1095"/>
      <c r="P1095" t="e">
        <f>VLOOKUP(N1095,#REF!,2,FALSE)</f>
        <v>#REF!</v>
      </c>
      <c r="Q1095" t="s">
        <v>856</v>
      </c>
      <c r="R1095" s="345">
        <v>-383.1</v>
      </c>
    </row>
    <row r="1096" spans="1:18" x14ac:dyDescent="0.2">
      <c r="A1096" s="344" t="s">
        <v>756</v>
      </c>
      <c r="B1096" t="s">
        <v>827</v>
      </c>
      <c r="C1096" t="s">
        <v>823</v>
      </c>
      <c r="D1096" t="s">
        <v>746</v>
      </c>
      <c r="E1096" t="s">
        <v>829</v>
      </c>
      <c r="F1096" t="s">
        <v>803</v>
      </c>
      <c r="G1096" t="s">
        <v>830</v>
      </c>
      <c r="H1096" t="s">
        <v>831</v>
      </c>
      <c r="I1096" t="s">
        <v>722</v>
      </c>
      <c r="J1096" t="s">
        <v>721</v>
      </c>
      <c r="K1096"/>
      <c r="L1096"/>
      <c r="M1096" t="s">
        <v>845</v>
      </c>
      <c r="N1096" t="s">
        <v>846</v>
      </c>
      <c r="O1096"/>
      <c r="P1096" t="e">
        <f>VLOOKUP(N1096,#REF!,2,FALSE)</f>
        <v>#REF!</v>
      </c>
      <c r="Q1096" t="s">
        <v>856</v>
      </c>
      <c r="R1096" s="345">
        <v>-839.55</v>
      </c>
    </row>
    <row r="1097" spans="1:18" x14ac:dyDescent="0.2">
      <c r="A1097" s="344" t="s">
        <v>757</v>
      </c>
      <c r="B1097" t="s">
        <v>827</v>
      </c>
      <c r="C1097" t="s">
        <v>823</v>
      </c>
      <c r="D1097" t="s">
        <v>746</v>
      </c>
      <c r="E1097" t="s">
        <v>829</v>
      </c>
      <c r="F1097" t="s">
        <v>803</v>
      </c>
      <c r="G1097" t="s">
        <v>830</v>
      </c>
      <c r="H1097" t="s">
        <v>831</v>
      </c>
      <c r="I1097" t="s">
        <v>722</v>
      </c>
      <c r="J1097" t="s">
        <v>721</v>
      </c>
      <c r="K1097"/>
      <c r="L1097"/>
      <c r="M1097" t="s">
        <v>845</v>
      </c>
      <c r="N1097" t="s">
        <v>846</v>
      </c>
      <c r="O1097"/>
      <c r="P1097" t="e">
        <f>VLOOKUP(N1097,#REF!,2,FALSE)</f>
        <v>#REF!</v>
      </c>
      <c r="Q1097" t="s">
        <v>856</v>
      </c>
      <c r="R1097" s="345">
        <v>-890.56</v>
      </c>
    </row>
    <row r="1098" spans="1:18" x14ac:dyDescent="0.2">
      <c r="A1098" s="344" t="s">
        <v>758</v>
      </c>
      <c r="B1098" t="s">
        <v>827</v>
      </c>
      <c r="C1098" t="s">
        <v>823</v>
      </c>
      <c r="D1098" t="s">
        <v>746</v>
      </c>
      <c r="E1098" t="s">
        <v>829</v>
      </c>
      <c r="F1098" t="s">
        <v>803</v>
      </c>
      <c r="G1098" t="s">
        <v>830</v>
      </c>
      <c r="H1098" t="s">
        <v>831</v>
      </c>
      <c r="I1098" t="s">
        <v>722</v>
      </c>
      <c r="J1098" t="s">
        <v>721</v>
      </c>
      <c r="K1098"/>
      <c r="L1098"/>
      <c r="M1098" t="s">
        <v>845</v>
      </c>
      <c r="N1098" t="s">
        <v>846</v>
      </c>
      <c r="O1098"/>
      <c r="P1098" t="e">
        <f>VLOOKUP(N1098,#REF!,2,FALSE)</f>
        <v>#REF!</v>
      </c>
      <c r="Q1098" t="s">
        <v>856</v>
      </c>
      <c r="R1098" s="345">
        <v>-14069.13</v>
      </c>
    </row>
    <row r="1099" spans="1:18" x14ac:dyDescent="0.2">
      <c r="A1099" s="344" t="s">
        <v>759</v>
      </c>
      <c r="B1099" t="s">
        <v>827</v>
      </c>
      <c r="C1099" t="s">
        <v>823</v>
      </c>
      <c r="D1099" t="s">
        <v>746</v>
      </c>
      <c r="E1099" t="s">
        <v>829</v>
      </c>
      <c r="F1099" t="s">
        <v>803</v>
      </c>
      <c r="G1099" t="s">
        <v>830</v>
      </c>
      <c r="H1099" t="s">
        <v>831</v>
      </c>
      <c r="I1099" t="s">
        <v>722</v>
      </c>
      <c r="J1099" t="s">
        <v>721</v>
      </c>
      <c r="K1099"/>
      <c r="L1099"/>
      <c r="M1099" t="s">
        <v>845</v>
      </c>
      <c r="N1099" t="s">
        <v>846</v>
      </c>
      <c r="O1099"/>
      <c r="P1099" t="e">
        <f>VLOOKUP(N1099,#REF!,2,FALSE)</f>
        <v>#REF!</v>
      </c>
      <c r="Q1099" t="s">
        <v>856</v>
      </c>
      <c r="R1099" s="345">
        <v>14069.13</v>
      </c>
    </row>
    <row r="1100" spans="1:18" x14ac:dyDescent="0.2">
      <c r="A1100" s="344" t="s">
        <v>743</v>
      </c>
      <c r="B1100" t="s">
        <v>827</v>
      </c>
      <c r="C1100" t="s">
        <v>823</v>
      </c>
      <c r="D1100" t="s">
        <v>746</v>
      </c>
      <c r="E1100" t="s">
        <v>829</v>
      </c>
      <c r="F1100" t="s">
        <v>803</v>
      </c>
      <c r="G1100" t="s">
        <v>830</v>
      </c>
      <c r="H1100" t="s">
        <v>831</v>
      </c>
      <c r="I1100" t="s">
        <v>722</v>
      </c>
      <c r="J1100" t="s">
        <v>721</v>
      </c>
      <c r="K1100"/>
      <c r="L1100"/>
      <c r="M1100" t="s">
        <v>845</v>
      </c>
      <c r="N1100" t="s">
        <v>846</v>
      </c>
      <c r="O1100"/>
      <c r="P1100" t="e">
        <f>VLOOKUP(N1100,#REF!,2,FALSE)</f>
        <v>#REF!</v>
      </c>
      <c r="Q1100" t="s">
        <v>856</v>
      </c>
      <c r="R1100" s="345">
        <v>0</v>
      </c>
    </row>
    <row r="1101" spans="1:18" x14ac:dyDescent="0.2">
      <c r="A1101" s="344" t="s">
        <v>760</v>
      </c>
      <c r="B1101" t="s">
        <v>827</v>
      </c>
      <c r="C1101" t="s">
        <v>823</v>
      </c>
      <c r="D1101" t="s">
        <v>746</v>
      </c>
      <c r="E1101" t="s">
        <v>829</v>
      </c>
      <c r="F1101" t="s">
        <v>803</v>
      </c>
      <c r="G1101" t="s">
        <v>830</v>
      </c>
      <c r="H1101" t="s">
        <v>831</v>
      </c>
      <c r="I1101" t="s">
        <v>722</v>
      </c>
      <c r="J1101" t="s">
        <v>721</v>
      </c>
      <c r="K1101"/>
      <c r="L1101"/>
      <c r="M1101" t="s">
        <v>845</v>
      </c>
      <c r="N1101" t="s">
        <v>846</v>
      </c>
      <c r="O1101"/>
      <c r="P1101" t="e">
        <f>VLOOKUP(N1101,#REF!,2,FALSE)</f>
        <v>#REF!</v>
      </c>
      <c r="Q1101" t="s">
        <v>856</v>
      </c>
      <c r="R1101" s="345">
        <v>-340.86</v>
      </c>
    </row>
    <row r="1102" spans="1:18" x14ac:dyDescent="0.2">
      <c r="A1102" s="344" t="s">
        <v>745</v>
      </c>
      <c r="B1102" t="s">
        <v>827</v>
      </c>
      <c r="C1102" t="s">
        <v>823</v>
      </c>
      <c r="D1102" t="s">
        <v>746</v>
      </c>
      <c r="E1102" t="s">
        <v>829</v>
      </c>
      <c r="F1102" t="s">
        <v>803</v>
      </c>
      <c r="G1102" t="s">
        <v>830</v>
      </c>
      <c r="H1102" t="s">
        <v>831</v>
      </c>
      <c r="I1102" t="s">
        <v>722</v>
      </c>
      <c r="J1102" t="s">
        <v>721</v>
      </c>
      <c r="K1102"/>
      <c r="L1102"/>
      <c r="M1102" t="s">
        <v>845</v>
      </c>
      <c r="N1102" t="s">
        <v>846</v>
      </c>
      <c r="O1102"/>
      <c r="P1102" t="e">
        <f>VLOOKUP(N1102,#REF!,2,FALSE)</f>
        <v>#REF!</v>
      </c>
      <c r="Q1102" t="s">
        <v>856</v>
      </c>
      <c r="R1102" s="345">
        <v>-1227.6500000000001</v>
      </c>
    </row>
    <row r="1103" spans="1:18" x14ac:dyDescent="0.2">
      <c r="A1103" s="344" t="s">
        <v>749</v>
      </c>
      <c r="B1103" t="s">
        <v>827</v>
      </c>
      <c r="C1103" t="s">
        <v>823</v>
      </c>
      <c r="D1103" t="s">
        <v>746</v>
      </c>
      <c r="E1103" t="s">
        <v>829</v>
      </c>
      <c r="F1103" t="s">
        <v>803</v>
      </c>
      <c r="G1103" t="s">
        <v>830</v>
      </c>
      <c r="H1103" t="s">
        <v>831</v>
      </c>
      <c r="I1103" t="s">
        <v>722</v>
      </c>
      <c r="J1103" t="s">
        <v>721</v>
      </c>
      <c r="K1103"/>
      <c r="L1103"/>
      <c r="M1103" t="s">
        <v>845</v>
      </c>
      <c r="N1103" t="s">
        <v>846</v>
      </c>
      <c r="O1103"/>
      <c r="P1103" t="e">
        <f>VLOOKUP(N1103,#REF!,2,FALSE)</f>
        <v>#REF!</v>
      </c>
      <c r="Q1103" t="s">
        <v>872</v>
      </c>
      <c r="R1103" s="345">
        <v>-6768.04</v>
      </c>
    </row>
    <row r="1104" spans="1:18" x14ac:dyDescent="0.2">
      <c r="A1104" s="344" t="s">
        <v>752</v>
      </c>
      <c r="B1104" t="s">
        <v>827</v>
      </c>
      <c r="C1104" t="s">
        <v>823</v>
      </c>
      <c r="D1104" t="s">
        <v>746</v>
      </c>
      <c r="E1104" t="s">
        <v>829</v>
      </c>
      <c r="F1104" t="s">
        <v>803</v>
      </c>
      <c r="G1104" t="s">
        <v>830</v>
      </c>
      <c r="H1104" t="s">
        <v>831</v>
      </c>
      <c r="I1104" t="s">
        <v>722</v>
      </c>
      <c r="J1104" t="s">
        <v>721</v>
      </c>
      <c r="K1104"/>
      <c r="L1104"/>
      <c r="M1104" t="s">
        <v>845</v>
      </c>
      <c r="N1104" t="s">
        <v>846</v>
      </c>
      <c r="O1104"/>
      <c r="P1104" t="e">
        <f>VLOOKUP(N1104,#REF!,2,FALSE)</f>
        <v>#REF!</v>
      </c>
      <c r="Q1104" t="s">
        <v>872</v>
      </c>
      <c r="R1104" s="345">
        <v>-3075.51</v>
      </c>
    </row>
    <row r="1105" spans="1:18" x14ac:dyDescent="0.2">
      <c r="A1105" s="344" t="s">
        <v>753</v>
      </c>
      <c r="B1105" t="s">
        <v>827</v>
      </c>
      <c r="C1105" t="s">
        <v>823</v>
      </c>
      <c r="D1105" t="s">
        <v>746</v>
      </c>
      <c r="E1105" t="s">
        <v>829</v>
      </c>
      <c r="F1105" t="s">
        <v>803</v>
      </c>
      <c r="G1105" t="s">
        <v>830</v>
      </c>
      <c r="H1105" t="s">
        <v>831</v>
      </c>
      <c r="I1105" t="s">
        <v>722</v>
      </c>
      <c r="J1105" t="s">
        <v>721</v>
      </c>
      <c r="K1105"/>
      <c r="L1105"/>
      <c r="M1105" t="s">
        <v>845</v>
      </c>
      <c r="N1105" t="s">
        <v>846</v>
      </c>
      <c r="O1105"/>
      <c r="P1105" t="e">
        <f>VLOOKUP(N1105,#REF!,2,FALSE)</f>
        <v>#REF!</v>
      </c>
      <c r="Q1105" t="s">
        <v>872</v>
      </c>
      <c r="R1105" s="345">
        <v>1315.1</v>
      </c>
    </row>
    <row r="1106" spans="1:18" x14ac:dyDescent="0.2">
      <c r="A1106" s="344" t="s">
        <v>754</v>
      </c>
      <c r="B1106" t="s">
        <v>827</v>
      </c>
      <c r="C1106" t="s">
        <v>823</v>
      </c>
      <c r="D1106" t="s">
        <v>746</v>
      </c>
      <c r="E1106" t="s">
        <v>829</v>
      </c>
      <c r="F1106" t="s">
        <v>803</v>
      </c>
      <c r="G1106" t="s">
        <v>830</v>
      </c>
      <c r="H1106" t="s">
        <v>831</v>
      </c>
      <c r="I1106" t="s">
        <v>722</v>
      </c>
      <c r="J1106" t="s">
        <v>721</v>
      </c>
      <c r="K1106"/>
      <c r="L1106"/>
      <c r="M1106" t="s">
        <v>845</v>
      </c>
      <c r="N1106" t="s">
        <v>846</v>
      </c>
      <c r="O1106"/>
      <c r="P1106" t="e">
        <f>VLOOKUP(N1106,#REF!,2,FALSE)</f>
        <v>#REF!</v>
      </c>
      <c r="Q1106" t="s">
        <v>872</v>
      </c>
      <c r="R1106" s="345">
        <v>-56.42</v>
      </c>
    </row>
    <row r="1107" spans="1:18" x14ac:dyDescent="0.2">
      <c r="A1107" s="344" t="s">
        <v>755</v>
      </c>
      <c r="B1107" t="s">
        <v>827</v>
      </c>
      <c r="C1107" t="s">
        <v>823</v>
      </c>
      <c r="D1107" t="s">
        <v>746</v>
      </c>
      <c r="E1107" t="s">
        <v>829</v>
      </c>
      <c r="F1107" t="s">
        <v>803</v>
      </c>
      <c r="G1107" t="s">
        <v>830</v>
      </c>
      <c r="H1107" t="s">
        <v>831</v>
      </c>
      <c r="I1107" t="s">
        <v>722</v>
      </c>
      <c r="J1107" t="s">
        <v>721</v>
      </c>
      <c r="K1107"/>
      <c r="L1107"/>
      <c r="M1107" t="s">
        <v>845</v>
      </c>
      <c r="N1107" t="s">
        <v>846</v>
      </c>
      <c r="O1107"/>
      <c r="P1107" t="e">
        <f>VLOOKUP(N1107,#REF!,2,FALSE)</f>
        <v>#REF!</v>
      </c>
      <c r="Q1107" t="s">
        <v>872</v>
      </c>
      <c r="R1107" s="345">
        <v>-568.14</v>
      </c>
    </row>
    <row r="1108" spans="1:18" x14ac:dyDescent="0.2">
      <c r="A1108" s="344" t="s">
        <v>756</v>
      </c>
      <c r="B1108" t="s">
        <v>827</v>
      </c>
      <c r="C1108" t="s">
        <v>823</v>
      </c>
      <c r="D1108" t="s">
        <v>746</v>
      </c>
      <c r="E1108" t="s">
        <v>829</v>
      </c>
      <c r="F1108" t="s">
        <v>803</v>
      </c>
      <c r="G1108" t="s">
        <v>830</v>
      </c>
      <c r="H1108" t="s">
        <v>831</v>
      </c>
      <c r="I1108" t="s">
        <v>722</v>
      </c>
      <c r="J1108" t="s">
        <v>721</v>
      </c>
      <c r="K1108"/>
      <c r="L1108"/>
      <c r="M1108" t="s">
        <v>845</v>
      </c>
      <c r="N1108" t="s">
        <v>846</v>
      </c>
      <c r="O1108"/>
      <c r="P1108" t="e">
        <f>VLOOKUP(N1108,#REF!,2,FALSE)</f>
        <v>#REF!</v>
      </c>
      <c r="Q1108" t="s">
        <v>872</v>
      </c>
      <c r="R1108" s="345">
        <v>-487.46</v>
      </c>
    </row>
    <row r="1109" spans="1:18" x14ac:dyDescent="0.2">
      <c r="A1109" s="344" t="s">
        <v>757</v>
      </c>
      <c r="B1109" t="s">
        <v>827</v>
      </c>
      <c r="C1109" t="s">
        <v>823</v>
      </c>
      <c r="D1109" t="s">
        <v>746</v>
      </c>
      <c r="E1109" t="s">
        <v>829</v>
      </c>
      <c r="F1109" t="s">
        <v>803</v>
      </c>
      <c r="G1109" t="s">
        <v>830</v>
      </c>
      <c r="H1109" t="s">
        <v>831</v>
      </c>
      <c r="I1109" t="s">
        <v>722</v>
      </c>
      <c r="J1109" t="s">
        <v>721</v>
      </c>
      <c r="K1109"/>
      <c r="L1109"/>
      <c r="M1109" t="s">
        <v>845</v>
      </c>
      <c r="N1109" t="s">
        <v>846</v>
      </c>
      <c r="O1109"/>
      <c r="P1109" t="e">
        <f>VLOOKUP(N1109,#REF!,2,FALSE)</f>
        <v>#REF!</v>
      </c>
      <c r="Q1109" t="s">
        <v>872</v>
      </c>
      <c r="R1109" s="345">
        <v>-712.41</v>
      </c>
    </row>
    <row r="1110" spans="1:18" x14ac:dyDescent="0.2">
      <c r="A1110" s="344" t="s">
        <v>758</v>
      </c>
      <c r="B1110" t="s">
        <v>827</v>
      </c>
      <c r="C1110" t="s">
        <v>823</v>
      </c>
      <c r="D1110" t="s">
        <v>746</v>
      </c>
      <c r="E1110" t="s">
        <v>829</v>
      </c>
      <c r="F1110" t="s">
        <v>803</v>
      </c>
      <c r="G1110" t="s">
        <v>830</v>
      </c>
      <c r="H1110" t="s">
        <v>831</v>
      </c>
      <c r="I1110" t="s">
        <v>722</v>
      </c>
      <c r="J1110" t="s">
        <v>721</v>
      </c>
      <c r="K1110"/>
      <c r="L1110"/>
      <c r="M1110" t="s">
        <v>845</v>
      </c>
      <c r="N1110" t="s">
        <v>846</v>
      </c>
      <c r="O1110"/>
      <c r="P1110" t="e">
        <f>VLOOKUP(N1110,#REF!,2,FALSE)</f>
        <v>#REF!</v>
      </c>
      <c r="Q1110" t="s">
        <v>872</v>
      </c>
      <c r="R1110" s="345">
        <v>231.82</v>
      </c>
    </row>
    <row r="1111" spans="1:18" x14ac:dyDescent="0.2">
      <c r="A1111" s="344" t="s">
        <v>759</v>
      </c>
      <c r="B1111" t="s">
        <v>827</v>
      </c>
      <c r="C1111" t="s">
        <v>823</v>
      </c>
      <c r="D1111" t="s">
        <v>746</v>
      </c>
      <c r="E1111" t="s">
        <v>829</v>
      </c>
      <c r="F1111" t="s">
        <v>803</v>
      </c>
      <c r="G1111" t="s">
        <v>830</v>
      </c>
      <c r="H1111" t="s">
        <v>831</v>
      </c>
      <c r="I1111" t="s">
        <v>722</v>
      </c>
      <c r="J1111" t="s">
        <v>721</v>
      </c>
      <c r="K1111"/>
      <c r="L1111"/>
      <c r="M1111" t="s">
        <v>845</v>
      </c>
      <c r="N1111" t="s">
        <v>846</v>
      </c>
      <c r="O1111"/>
      <c r="P1111" t="e">
        <f>VLOOKUP(N1111,#REF!,2,FALSE)</f>
        <v>#REF!</v>
      </c>
      <c r="Q1111" t="s">
        <v>872</v>
      </c>
      <c r="R1111" s="345">
        <v>-335.85</v>
      </c>
    </row>
    <row r="1112" spans="1:18" x14ac:dyDescent="0.2">
      <c r="A1112" s="344" t="s">
        <v>743</v>
      </c>
      <c r="B1112" t="s">
        <v>827</v>
      </c>
      <c r="C1112" t="s">
        <v>823</v>
      </c>
      <c r="D1112" t="s">
        <v>746</v>
      </c>
      <c r="E1112" t="s">
        <v>829</v>
      </c>
      <c r="F1112" t="s">
        <v>803</v>
      </c>
      <c r="G1112" t="s">
        <v>830</v>
      </c>
      <c r="H1112" t="s">
        <v>831</v>
      </c>
      <c r="I1112" t="s">
        <v>722</v>
      </c>
      <c r="J1112" t="s">
        <v>721</v>
      </c>
      <c r="K1112"/>
      <c r="L1112"/>
      <c r="M1112" t="s">
        <v>845</v>
      </c>
      <c r="N1112" t="s">
        <v>846</v>
      </c>
      <c r="O1112"/>
      <c r="P1112" t="e">
        <f>VLOOKUP(N1112,#REF!,2,FALSE)</f>
        <v>#REF!</v>
      </c>
      <c r="Q1112" t="s">
        <v>872</v>
      </c>
      <c r="R1112" s="345">
        <v>-415.84</v>
      </c>
    </row>
    <row r="1113" spans="1:18" x14ac:dyDescent="0.2">
      <c r="A1113" s="344" t="s">
        <v>760</v>
      </c>
      <c r="B1113" t="s">
        <v>827</v>
      </c>
      <c r="C1113" t="s">
        <v>823</v>
      </c>
      <c r="D1113" t="s">
        <v>746</v>
      </c>
      <c r="E1113" t="s">
        <v>829</v>
      </c>
      <c r="F1113" t="s">
        <v>803</v>
      </c>
      <c r="G1113" t="s">
        <v>830</v>
      </c>
      <c r="H1113" t="s">
        <v>831</v>
      </c>
      <c r="I1113" t="s">
        <v>722</v>
      </c>
      <c r="J1113" t="s">
        <v>721</v>
      </c>
      <c r="K1113"/>
      <c r="L1113"/>
      <c r="M1113" t="s">
        <v>845</v>
      </c>
      <c r="N1113" t="s">
        <v>846</v>
      </c>
      <c r="O1113"/>
      <c r="P1113" t="e">
        <f>VLOOKUP(N1113,#REF!,2,FALSE)</f>
        <v>#REF!</v>
      </c>
      <c r="Q1113" t="s">
        <v>872</v>
      </c>
      <c r="R1113" s="345">
        <v>-396.62</v>
      </c>
    </row>
    <row r="1114" spans="1:18" x14ac:dyDescent="0.2">
      <c r="A1114" s="344" t="s">
        <v>745</v>
      </c>
      <c r="B1114" t="s">
        <v>827</v>
      </c>
      <c r="C1114" t="s">
        <v>823</v>
      </c>
      <c r="D1114" t="s">
        <v>746</v>
      </c>
      <c r="E1114" t="s">
        <v>829</v>
      </c>
      <c r="F1114" t="s">
        <v>803</v>
      </c>
      <c r="G1114" t="s">
        <v>830</v>
      </c>
      <c r="H1114" t="s">
        <v>831</v>
      </c>
      <c r="I1114" t="s">
        <v>722</v>
      </c>
      <c r="J1114" t="s">
        <v>721</v>
      </c>
      <c r="K1114"/>
      <c r="L1114"/>
      <c r="M1114" t="s">
        <v>845</v>
      </c>
      <c r="N1114" t="s">
        <v>846</v>
      </c>
      <c r="O1114"/>
      <c r="P1114" t="e">
        <f>VLOOKUP(N1114,#REF!,2,FALSE)</f>
        <v>#REF!</v>
      </c>
      <c r="Q1114" t="s">
        <v>872</v>
      </c>
      <c r="R1114" s="345">
        <v>-2072.71</v>
      </c>
    </row>
    <row r="1115" spans="1:18" x14ac:dyDescent="0.2">
      <c r="A1115" s="344" t="s">
        <v>749</v>
      </c>
      <c r="B1115" t="s">
        <v>827</v>
      </c>
      <c r="C1115" t="s">
        <v>823</v>
      </c>
      <c r="D1115" t="s">
        <v>746</v>
      </c>
      <c r="E1115" t="s">
        <v>829</v>
      </c>
      <c r="F1115" t="s">
        <v>803</v>
      </c>
      <c r="G1115" t="s">
        <v>830</v>
      </c>
      <c r="H1115" t="s">
        <v>831</v>
      </c>
      <c r="I1115" t="s">
        <v>722</v>
      </c>
      <c r="J1115" t="s">
        <v>721</v>
      </c>
      <c r="K1115"/>
      <c r="L1115"/>
      <c r="M1115" t="s">
        <v>845</v>
      </c>
      <c r="N1115" t="s">
        <v>846</v>
      </c>
      <c r="O1115"/>
      <c r="P1115" t="e">
        <f>VLOOKUP(N1115,#REF!,2,FALSE)</f>
        <v>#REF!</v>
      </c>
      <c r="Q1115" t="s">
        <v>873</v>
      </c>
      <c r="R1115" s="345">
        <v>-263.18</v>
      </c>
    </row>
    <row r="1116" spans="1:18" x14ac:dyDescent="0.2">
      <c r="A1116" s="344" t="s">
        <v>752</v>
      </c>
      <c r="B1116" t="s">
        <v>827</v>
      </c>
      <c r="C1116" t="s">
        <v>823</v>
      </c>
      <c r="D1116" t="s">
        <v>746</v>
      </c>
      <c r="E1116" t="s">
        <v>829</v>
      </c>
      <c r="F1116" t="s">
        <v>803</v>
      </c>
      <c r="G1116" t="s">
        <v>830</v>
      </c>
      <c r="H1116" t="s">
        <v>831</v>
      </c>
      <c r="I1116" t="s">
        <v>722</v>
      </c>
      <c r="J1116" t="s">
        <v>721</v>
      </c>
      <c r="K1116"/>
      <c r="L1116"/>
      <c r="M1116" t="s">
        <v>845</v>
      </c>
      <c r="N1116" t="s">
        <v>846</v>
      </c>
      <c r="O1116"/>
      <c r="P1116" t="e">
        <f>VLOOKUP(N1116,#REF!,2,FALSE)</f>
        <v>#REF!</v>
      </c>
      <c r="Q1116" t="s">
        <v>873</v>
      </c>
      <c r="R1116" s="345">
        <v>-220.82</v>
      </c>
    </row>
    <row r="1117" spans="1:18" x14ac:dyDescent="0.2">
      <c r="A1117" s="344" t="s">
        <v>753</v>
      </c>
      <c r="B1117" t="s">
        <v>827</v>
      </c>
      <c r="C1117" t="s">
        <v>823</v>
      </c>
      <c r="D1117" t="s">
        <v>746</v>
      </c>
      <c r="E1117" t="s">
        <v>829</v>
      </c>
      <c r="F1117" t="s">
        <v>803</v>
      </c>
      <c r="G1117" t="s">
        <v>830</v>
      </c>
      <c r="H1117" t="s">
        <v>831</v>
      </c>
      <c r="I1117" t="s">
        <v>722</v>
      </c>
      <c r="J1117" t="s">
        <v>721</v>
      </c>
      <c r="K1117"/>
      <c r="L1117"/>
      <c r="M1117" t="s">
        <v>845</v>
      </c>
      <c r="N1117" t="s">
        <v>846</v>
      </c>
      <c r="O1117"/>
      <c r="P1117" t="e">
        <f>VLOOKUP(N1117,#REF!,2,FALSE)</f>
        <v>#REF!</v>
      </c>
      <c r="Q1117" t="s">
        <v>873</v>
      </c>
      <c r="R1117" s="345">
        <v>220.82</v>
      </c>
    </row>
    <row r="1118" spans="1:18" x14ac:dyDescent="0.2">
      <c r="A1118" s="344" t="s">
        <v>754</v>
      </c>
      <c r="B1118" t="s">
        <v>827</v>
      </c>
      <c r="C1118" t="s">
        <v>823</v>
      </c>
      <c r="D1118" t="s">
        <v>746</v>
      </c>
      <c r="E1118" t="s">
        <v>829</v>
      </c>
      <c r="F1118" t="s">
        <v>803</v>
      </c>
      <c r="G1118" t="s">
        <v>830</v>
      </c>
      <c r="H1118" t="s">
        <v>831</v>
      </c>
      <c r="I1118" t="s">
        <v>722</v>
      </c>
      <c r="J1118" t="s">
        <v>721</v>
      </c>
      <c r="K1118"/>
      <c r="L1118"/>
      <c r="M1118" t="s">
        <v>845</v>
      </c>
      <c r="N1118" t="s">
        <v>846</v>
      </c>
      <c r="O1118"/>
      <c r="P1118" t="e">
        <f>VLOOKUP(N1118,#REF!,2,FALSE)</f>
        <v>#REF!</v>
      </c>
      <c r="Q1118" t="s">
        <v>873</v>
      </c>
      <c r="R1118" s="345">
        <v>-6563.3</v>
      </c>
    </row>
    <row r="1119" spans="1:18" x14ac:dyDescent="0.2">
      <c r="A1119" s="344" t="s">
        <v>755</v>
      </c>
      <c r="B1119" t="s">
        <v>827</v>
      </c>
      <c r="C1119" t="s">
        <v>823</v>
      </c>
      <c r="D1119" t="s">
        <v>746</v>
      </c>
      <c r="E1119" t="s">
        <v>829</v>
      </c>
      <c r="F1119" t="s">
        <v>803</v>
      </c>
      <c r="G1119" t="s">
        <v>830</v>
      </c>
      <c r="H1119" t="s">
        <v>831</v>
      </c>
      <c r="I1119" t="s">
        <v>722</v>
      </c>
      <c r="J1119" t="s">
        <v>721</v>
      </c>
      <c r="K1119"/>
      <c r="L1119"/>
      <c r="M1119" t="s">
        <v>845</v>
      </c>
      <c r="N1119" t="s">
        <v>846</v>
      </c>
      <c r="O1119"/>
      <c r="P1119" t="e">
        <f>VLOOKUP(N1119,#REF!,2,FALSE)</f>
        <v>#REF!</v>
      </c>
      <c r="Q1119" t="s">
        <v>873</v>
      </c>
      <c r="R1119" s="345">
        <v>-5757.85</v>
      </c>
    </row>
    <row r="1120" spans="1:18" x14ac:dyDescent="0.2">
      <c r="A1120" s="344" t="s">
        <v>756</v>
      </c>
      <c r="B1120" t="s">
        <v>827</v>
      </c>
      <c r="C1120" t="s">
        <v>823</v>
      </c>
      <c r="D1120" t="s">
        <v>746</v>
      </c>
      <c r="E1120" t="s">
        <v>829</v>
      </c>
      <c r="F1120" t="s">
        <v>803</v>
      </c>
      <c r="G1120" t="s">
        <v>830</v>
      </c>
      <c r="H1120" t="s">
        <v>831</v>
      </c>
      <c r="I1120" t="s">
        <v>722</v>
      </c>
      <c r="J1120" t="s">
        <v>721</v>
      </c>
      <c r="K1120"/>
      <c r="L1120"/>
      <c r="M1120" t="s">
        <v>845</v>
      </c>
      <c r="N1120" t="s">
        <v>846</v>
      </c>
      <c r="O1120"/>
      <c r="P1120" t="e">
        <f>VLOOKUP(N1120,#REF!,2,FALSE)</f>
        <v>#REF!</v>
      </c>
      <c r="Q1120" t="s">
        <v>873</v>
      </c>
      <c r="R1120" s="345">
        <v>-3912.91</v>
      </c>
    </row>
    <row r="1121" spans="1:18" x14ac:dyDescent="0.2">
      <c r="A1121" s="344" t="s">
        <v>757</v>
      </c>
      <c r="B1121" t="s">
        <v>827</v>
      </c>
      <c r="C1121" t="s">
        <v>823</v>
      </c>
      <c r="D1121" t="s">
        <v>746</v>
      </c>
      <c r="E1121" t="s">
        <v>829</v>
      </c>
      <c r="F1121" t="s">
        <v>803</v>
      </c>
      <c r="G1121" t="s">
        <v>830</v>
      </c>
      <c r="H1121" t="s">
        <v>831</v>
      </c>
      <c r="I1121" t="s">
        <v>722</v>
      </c>
      <c r="J1121" t="s">
        <v>721</v>
      </c>
      <c r="K1121"/>
      <c r="L1121"/>
      <c r="M1121" t="s">
        <v>845</v>
      </c>
      <c r="N1121" t="s">
        <v>846</v>
      </c>
      <c r="O1121"/>
      <c r="P1121" t="e">
        <f>VLOOKUP(N1121,#REF!,2,FALSE)</f>
        <v>#REF!</v>
      </c>
      <c r="Q1121" t="s">
        <v>873</v>
      </c>
      <c r="R1121" s="345">
        <v>-765.02</v>
      </c>
    </row>
    <row r="1122" spans="1:18" x14ac:dyDescent="0.2">
      <c r="A1122" s="344" t="s">
        <v>758</v>
      </c>
      <c r="B1122" t="s">
        <v>827</v>
      </c>
      <c r="C1122" t="s">
        <v>823</v>
      </c>
      <c r="D1122" t="s">
        <v>746</v>
      </c>
      <c r="E1122" t="s">
        <v>829</v>
      </c>
      <c r="F1122" t="s">
        <v>803</v>
      </c>
      <c r="G1122" t="s">
        <v>830</v>
      </c>
      <c r="H1122" t="s">
        <v>831</v>
      </c>
      <c r="I1122" t="s">
        <v>722</v>
      </c>
      <c r="J1122" t="s">
        <v>721</v>
      </c>
      <c r="K1122"/>
      <c r="L1122"/>
      <c r="M1122" t="s">
        <v>845</v>
      </c>
      <c r="N1122" t="s">
        <v>846</v>
      </c>
      <c r="O1122"/>
      <c r="P1122" t="e">
        <f>VLOOKUP(N1122,#REF!,2,FALSE)</f>
        <v>#REF!</v>
      </c>
      <c r="Q1122" t="s">
        <v>873</v>
      </c>
      <c r="R1122" s="345">
        <v>-970.28</v>
      </c>
    </row>
    <row r="1123" spans="1:18" x14ac:dyDescent="0.2">
      <c r="A1123" s="344" t="s">
        <v>759</v>
      </c>
      <c r="B1123" t="s">
        <v>827</v>
      </c>
      <c r="C1123" t="s">
        <v>823</v>
      </c>
      <c r="D1123" t="s">
        <v>746</v>
      </c>
      <c r="E1123" t="s">
        <v>829</v>
      </c>
      <c r="F1123" t="s">
        <v>803</v>
      </c>
      <c r="G1123" t="s">
        <v>830</v>
      </c>
      <c r="H1123" t="s">
        <v>831</v>
      </c>
      <c r="I1123" t="s">
        <v>722</v>
      </c>
      <c r="J1123" t="s">
        <v>721</v>
      </c>
      <c r="K1123"/>
      <c r="L1123"/>
      <c r="M1123" t="s">
        <v>845</v>
      </c>
      <c r="N1123" t="s">
        <v>846</v>
      </c>
      <c r="O1123"/>
      <c r="P1123" t="e">
        <f>VLOOKUP(N1123,#REF!,2,FALSE)</f>
        <v>#REF!</v>
      </c>
      <c r="Q1123" t="s">
        <v>873</v>
      </c>
      <c r="R1123" s="345">
        <v>729.98</v>
      </c>
    </row>
    <row r="1124" spans="1:18" x14ac:dyDescent="0.2">
      <c r="A1124" s="344" t="s">
        <v>743</v>
      </c>
      <c r="B1124" t="s">
        <v>827</v>
      </c>
      <c r="C1124" t="s">
        <v>823</v>
      </c>
      <c r="D1124" t="s">
        <v>746</v>
      </c>
      <c r="E1124" t="s">
        <v>829</v>
      </c>
      <c r="F1124" t="s">
        <v>803</v>
      </c>
      <c r="G1124" t="s">
        <v>830</v>
      </c>
      <c r="H1124" t="s">
        <v>831</v>
      </c>
      <c r="I1124" t="s">
        <v>722</v>
      </c>
      <c r="J1124" t="s">
        <v>721</v>
      </c>
      <c r="K1124"/>
      <c r="L1124"/>
      <c r="M1124" t="s">
        <v>845</v>
      </c>
      <c r="N1124" t="s">
        <v>846</v>
      </c>
      <c r="O1124"/>
      <c r="P1124" t="e">
        <f>VLOOKUP(N1124,#REF!,2,FALSE)</f>
        <v>#REF!</v>
      </c>
      <c r="Q1124" t="s">
        <v>873</v>
      </c>
      <c r="R1124" s="345">
        <v>-766.72</v>
      </c>
    </row>
    <row r="1125" spans="1:18" x14ac:dyDescent="0.2">
      <c r="A1125" s="344" t="s">
        <v>760</v>
      </c>
      <c r="B1125" t="s">
        <v>827</v>
      </c>
      <c r="C1125" t="s">
        <v>823</v>
      </c>
      <c r="D1125" t="s">
        <v>746</v>
      </c>
      <c r="E1125" t="s">
        <v>829</v>
      </c>
      <c r="F1125" t="s">
        <v>803</v>
      </c>
      <c r="G1125" t="s">
        <v>830</v>
      </c>
      <c r="H1125" t="s">
        <v>831</v>
      </c>
      <c r="I1125" t="s">
        <v>722</v>
      </c>
      <c r="J1125" t="s">
        <v>721</v>
      </c>
      <c r="K1125"/>
      <c r="L1125"/>
      <c r="M1125" t="s">
        <v>845</v>
      </c>
      <c r="N1125" t="s">
        <v>846</v>
      </c>
      <c r="O1125"/>
      <c r="P1125" t="e">
        <f>VLOOKUP(N1125,#REF!,2,FALSE)</f>
        <v>#REF!</v>
      </c>
      <c r="Q1125" t="s">
        <v>873</v>
      </c>
      <c r="R1125" s="345">
        <v>-2355.0300000000002</v>
      </c>
    </row>
    <row r="1126" spans="1:18" x14ac:dyDescent="0.2">
      <c r="A1126" s="344" t="s">
        <v>745</v>
      </c>
      <c r="B1126" t="s">
        <v>827</v>
      </c>
      <c r="C1126" t="s">
        <v>823</v>
      </c>
      <c r="D1126" t="s">
        <v>746</v>
      </c>
      <c r="E1126" t="s">
        <v>829</v>
      </c>
      <c r="F1126" t="s">
        <v>803</v>
      </c>
      <c r="G1126" t="s">
        <v>830</v>
      </c>
      <c r="H1126" t="s">
        <v>831</v>
      </c>
      <c r="I1126" t="s">
        <v>722</v>
      </c>
      <c r="J1126" t="s">
        <v>721</v>
      </c>
      <c r="K1126"/>
      <c r="L1126"/>
      <c r="M1126" t="s">
        <v>845</v>
      </c>
      <c r="N1126" t="s">
        <v>846</v>
      </c>
      <c r="O1126"/>
      <c r="P1126" t="e">
        <f>VLOOKUP(N1126,#REF!,2,FALSE)</f>
        <v>#REF!</v>
      </c>
      <c r="Q1126" t="s">
        <v>873</v>
      </c>
      <c r="R1126" s="345">
        <v>-10847.82</v>
      </c>
    </row>
    <row r="1127" spans="1:18" x14ac:dyDescent="0.2">
      <c r="A1127" s="344" t="s">
        <v>743</v>
      </c>
      <c r="B1127" t="s">
        <v>827</v>
      </c>
      <c r="C1127" t="s">
        <v>823</v>
      </c>
      <c r="D1127" t="s">
        <v>746</v>
      </c>
      <c r="E1127" t="s">
        <v>829</v>
      </c>
      <c r="F1127" t="s">
        <v>803</v>
      </c>
      <c r="G1127" t="s">
        <v>830</v>
      </c>
      <c r="H1127" t="s">
        <v>831</v>
      </c>
      <c r="I1127" t="s">
        <v>722</v>
      </c>
      <c r="J1127" t="s">
        <v>721</v>
      </c>
      <c r="K1127"/>
      <c r="L1127"/>
      <c r="M1127" t="s">
        <v>845</v>
      </c>
      <c r="N1127" t="s">
        <v>846</v>
      </c>
      <c r="O1127"/>
      <c r="P1127" t="e">
        <f>VLOOKUP(N1127,#REF!,2,FALSE)</f>
        <v>#REF!</v>
      </c>
      <c r="Q1127" t="s">
        <v>874</v>
      </c>
      <c r="R1127" s="345">
        <v>-3373.24</v>
      </c>
    </row>
    <row r="1128" spans="1:18" x14ac:dyDescent="0.2">
      <c r="A1128" s="344" t="s">
        <v>760</v>
      </c>
      <c r="B1128" t="s">
        <v>827</v>
      </c>
      <c r="C1128" t="s">
        <v>823</v>
      </c>
      <c r="D1128" t="s">
        <v>746</v>
      </c>
      <c r="E1128" t="s">
        <v>829</v>
      </c>
      <c r="F1128" t="s">
        <v>803</v>
      </c>
      <c r="G1128" t="s">
        <v>830</v>
      </c>
      <c r="H1128" t="s">
        <v>831</v>
      </c>
      <c r="I1128" t="s">
        <v>722</v>
      </c>
      <c r="J1128" t="s">
        <v>721</v>
      </c>
      <c r="K1128"/>
      <c r="L1128"/>
      <c r="M1128" t="s">
        <v>845</v>
      </c>
      <c r="N1128" t="s">
        <v>846</v>
      </c>
      <c r="O1128"/>
      <c r="P1128" t="e">
        <f>VLOOKUP(N1128,#REF!,2,FALSE)</f>
        <v>#REF!</v>
      </c>
      <c r="Q1128" t="s">
        <v>874</v>
      </c>
      <c r="R1128" s="345">
        <v>0</v>
      </c>
    </row>
    <row r="1129" spans="1:18" x14ac:dyDescent="0.2">
      <c r="A1129" s="344" t="s">
        <v>749</v>
      </c>
      <c r="B1129" t="s">
        <v>827</v>
      </c>
      <c r="C1129" t="s">
        <v>823</v>
      </c>
      <c r="D1129" t="s">
        <v>746</v>
      </c>
      <c r="E1129" t="s">
        <v>829</v>
      </c>
      <c r="F1129" t="s">
        <v>803</v>
      </c>
      <c r="G1129" t="s">
        <v>830</v>
      </c>
      <c r="H1129" t="s">
        <v>831</v>
      </c>
      <c r="I1129" t="s">
        <v>722</v>
      </c>
      <c r="J1129" t="s">
        <v>721</v>
      </c>
      <c r="K1129"/>
      <c r="L1129"/>
      <c r="M1129" t="s">
        <v>845</v>
      </c>
      <c r="N1129" t="s">
        <v>846</v>
      </c>
      <c r="O1129"/>
      <c r="P1129" t="e">
        <f>VLOOKUP(N1129,#REF!,2,FALSE)</f>
        <v>#REF!</v>
      </c>
      <c r="Q1129" t="s">
        <v>858</v>
      </c>
      <c r="R1129" s="345">
        <v>4850.78</v>
      </c>
    </row>
    <row r="1130" spans="1:18" x14ac:dyDescent="0.2">
      <c r="A1130" s="344" t="s">
        <v>749</v>
      </c>
      <c r="B1130" t="s">
        <v>827</v>
      </c>
      <c r="C1130" t="s">
        <v>823</v>
      </c>
      <c r="D1130" t="s">
        <v>746</v>
      </c>
      <c r="E1130" t="s">
        <v>829</v>
      </c>
      <c r="F1130" t="s">
        <v>803</v>
      </c>
      <c r="G1130" t="s">
        <v>830</v>
      </c>
      <c r="H1130" t="s">
        <v>831</v>
      </c>
      <c r="I1130" t="s">
        <v>722</v>
      </c>
      <c r="J1130" t="s">
        <v>721</v>
      </c>
      <c r="K1130"/>
      <c r="L1130"/>
      <c r="M1130" t="s">
        <v>845</v>
      </c>
      <c r="N1130" t="s">
        <v>846</v>
      </c>
      <c r="O1130"/>
      <c r="P1130" t="e">
        <f>VLOOKUP(N1130,#REF!,2,FALSE)</f>
        <v>#REF!</v>
      </c>
      <c r="Q1130" t="s">
        <v>835</v>
      </c>
      <c r="R1130" s="345">
        <v>-7324.43</v>
      </c>
    </row>
    <row r="1131" spans="1:18" x14ac:dyDescent="0.2">
      <c r="A1131" s="344" t="s">
        <v>752</v>
      </c>
      <c r="B1131" t="s">
        <v>827</v>
      </c>
      <c r="C1131" t="s">
        <v>823</v>
      </c>
      <c r="D1131" t="s">
        <v>746</v>
      </c>
      <c r="E1131" t="s">
        <v>829</v>
      </c>
      <c r="F1131" t="s">
        <v>803</v>
      </c>
      <c r="G1131" t="s">
        <v>830</v>
      </c>
      <c r="H1131" t="s">
        <v>831</v>
      </c>
      <c r="I1131" t="s">
        <v>722</v>
      </c>
      <c r="J1131" t="s">
        <v>721</v>
      </c>
      <c r="K1131"/>
      <c r="L1131"/>
      <c r="M1131" t="s">
        <v>845</v>
      </c>
      <c r="N1131" t="s">
        <v>846</v>
      </c>
      <c r="O1131"/>
      <c r="P1131" t="e">
        <f>VLOOKUP(N1131,#REF!,2,FALSE)</f>
        <v>#REF!</v>
      </c>
      <c r="Q1131" t="s">
        <v>835</v>
      </c>
      <c r="R1131" s="345">
        <v>2811.76</v>
      </c>
    </row>
    <row r="1132" spans="1:18" x14ac:dyDescent="0.2">
      <c r="A1132" s="344" t="s">
        <v>753</v>
      </c>
      <c r="B1132" t="s">
        <v>827</v>
      </c>
      <c r="C1132" t="s">
        <v>823</v>
      </c>
      <c r="D1132" t="s">
        <v>746</v>
      </c>
      <c r="E1132" t="s">
        <v>829</v>
      </c>
      <c r="F1132" t="s">
        <v>803</v>
      </c>
      <c r="G1132" t="s">
        <v>830</v>
      </c>
      <c r="H1132" t="s">
        <v>831</v>
      </c>
      <c r="I1132" t="s">
        <v>722</v>
      </c>
      <c r="J1132" t="s">
        <v>721</v>
      </c>
      <c r="K1132"/>
      <c r="L1132"/>
      <c r="M1132" t="s">
        <v>845</v>
      </c>
      <c r="N1132" t="s">
        <v>846</v>
      </c>
      <c r="O1132"/>
      <c r="P1132" t="e">
        <f>VLOOKUP(N1132,#REF!,2,FALSE)</f>
        <v>#REF!</v>
      </c>
      <c r="Q1132" t="s">
        <v>835</v>
      </c>
      <c r="R1132" s="345">
        <v>0.56999999999999995</v>
      </c>
    </row>
    <row r="1133" spans="1:18" x14ac:dyDescent="0.2">
      <c r="A1133" s="344" t="s">
        <v>754</v>
      </c>
      <c r="B1133" t="s">
        <v>827</v>
      </c>
      <c r="C1133" t="s">
        <v>823</v>
      </c>
      <c r="D1133" t="s">
        <v>746</v>
      </c>
      <c r="E1133" t="s">
        <v>829</v>
      </c>
      <c r="F1133" t="s">
        <v>803</v>
      </c>
      <c r="G1133" t="s">
        <v>830</v>
      </c>
      <c r="H1133" t="s">
        <v>831</v>
      </c>
      <c r="I1133" t="s">
        <v>722</v>
      </c>
      <c r="J1133" t="s">
        <v>721</v>
      </c>
      <c r="K1133"/>
      <c r="L1133"/>
      <c r="M1133" t="s">
        <v>845</v>
      </c>
      <c r="N1133" t="s">
        <v>846</v>
      </c>
      <c r="O1133"/>
      <c r="P1133" t="e">
        <f>VLOOKUP(N1133,#REF!,2,FALSE)</f>
        <v>#REF!</v>
      </c>
      <c r="Q1133" t="s">
        <v>835</v>
      </c>
      <c r="R1133" s="345">
        <v>-0.57999999999999996</v>
      </c>
    </row>
    <row r="1134" spans="1:18" x14ac:dyDescent="0.2">
      <c r="A1134" s="344" t="s">
        <v>755</v>
      </c>
      <c r="B1134" t="s">
        <v>827</v>
      </c>
      <c r="C1134" t="s">
        <v>823</v>
      </c>
      <c r="D1134" t="s">
        <v>746</v>
      </c>
      <c r="E1134" t="s">
        <v>829</v>
      </c>
      <c r="F1134" t="s">
        <v>803</v>
      </c>
      <c r="G1134" t="s">
        <v>830</v>
      </c>
      <c r="H1134" t="s">
        <v>831</v>
      </c>
      <c r="I1134" t="s">
        <v>722</v>
      </c>
      <c r="J1134" t="s">
        <v>721</v>
      </c>
      <c r="K1134"/>
      <c r="L1134"/>
      <c r="M1134" t="s">
        <v>845</v>
      </c>
      <c r="N1134" t="s">
        <v>846</v>
      </c>
      <c r="O1134"/>
      <c r="P1134" t="e">
        <f>VLOOKUP(N1134,#REF!,2,FALSE)</f>
        <v>#REF!</v>
      </c>
      <c r="Q1134" t="s">
        <v>835</v>
      </c>
      <c r="R1134" s="345">
        <v>0</v>
      </c>
    </row>
    <row r="1135" spans="1:18" x14ac:dyDescent="0.2">
      <c r="A1135" s="344" t="s">
        <v>756</v>
      </c>
      <c r="B1135" t="s">
        <v>827</v>
      </c>
      <c r="C1135" t="s">
        <v>823</v>
      </c>
      <c r="D1135" t="s">
        <v>746</v>
      </c>
      <c r="E1135" t="s">
        <v>829</v>
      </c>
      <c r="F1135" t="s">
        <v>803</v>
      </c>
      <c r="G1135" t="s">
        <v>830</v>
      </c>
      <c r="H1135" t="s">
        <v>831</v>
      </c>
      <c r="I1135" t="s">
        <v>722</v>
      </c>
      <c r="J1135" t="s">
        <v>721</v>
      </c>
      <c r="K1135"/>
      <c r="L1135"/>
      <c r="M1135" t="s">
        <v>845</v>
      </c>
      <c r="N1135" t="s">
        <v>846</v>
      </c>
      <c r="O1135"/>
      <c r="P1135" t="e">
        <f>VLOOKUP(N1135,#REF!,2,FALSE)</f>
        <v>#REF!</v>
      </c>
      <c r="Q1135" t="s">
        <v>835</v>
      </c>
      <c r="R1135" s="345">
        <v>0</v>
      </c>
    </row>
    <row r="1136" spans="1:18" x14ac:dyDescent="0.2">
      <c r="A1136" s="344" t="s">
        <v>757</v>
      </c>
      <c r="B1136" t="s">
        <v>827</v>
      </c>
      <c r="C1136" t="s">
        <v>823</v>
      </c>
      <c r="D1136" t="s">
        <v>746</v>
      </c>
      <c r="E1136" t="s">
        <v>829</v>
      </c>
      <c r="F1136" t="s">
        <v>803</v>
      </c>
      <c r="G1136" t="s">
        <v>830</v>
      </c>
      <c r="H1136" t="s">
        <v>831</v>
      </c>
      <c r="I1136" t="s">
        <v>722</v>
      </c>
      <c r="J1136" t="s">
        <v>721</v>
      </c>
      <c r="K1136"/>
      <c r="L1136"/>
      <c r="M1136" t="s">
        <v>845</v>
      </c>
      <c r="N1136" t="s">
        <v>846</v>
      </c>
      <c r="O1136"/>
      <c r="P1136" t="e">
        <f>VLOOKUP(N1136,#REF!,2,FALSE)</f>
        <v>#REF!</v>
      </c>
      <c r="Q1136" t="s">
        <v>835</v>
      </c>
      <c r="R1136" s="345">
        <v>-0.02</v>
      </c>
    </row>
    <row r="1137" spans="1:18" x14ac:dyDescent="0.2">
      <c r="A1137" s="344" t="s">
        <v>758</v>
      </c>
      <c r="B1137" t="s">
        <v>827</v>
      </c>
      <c r="C1137" t="s">
        <v>823</v>
      </c>
      <c r="D1137" t="s">
        <v>746</v>
      </c>
      <c r="E1137" t="s">
        <v>829</v>
      </c>
      <c r="F1137" t="s">
        <v>803</v>
      </c>
      <c r="G1137" t="s">
        <v>830</v>
      </c>
      <c r="H1137" t="s">
        <v>831</v>
      </c>
      <c r="I1137" t="s">
        <v>722</v>
      </c>
      <c r="J1137" t="s">
        <v>721</v>
      </c>
      <c r="K1137"/>
      <c r="L1137"/>
      <c r="M1137" t="s">
        <v>845</v>
      </c>
      <c r="N1137" t="s">
        <v>846</v>
      </c>
      <c r="O1137"/>
      <c r="P1137" t="e">
        <f>VLOOKUP(N1137,#REF!,2,FALSE)</f>
        <v>#REF!</v>
      </c>
      <c r="Q1137" t="s">
        <v>835</v>
      </c>
      <c r="R1137" s="345">
        <v>-17013.62</v>
      </c>
    </row>
    <row r="1138" spans="1:18" x14ac:dyDescent="0.2">
      <c r="A1138" s="344" t="s">
        <v>759</v>
      </c>
      <c r="B1138" t="s">
        <v>827</v>
      </c>
      <c r="C1138" t="s">
        <v>823</v>
      </c>
      <c r="D1138" t="s">
        <v>746</v>
      </c>
      <c r="E1138" t="s">
        <v>829</v>
      </c>
      <c r="F1138" t="s">
        <v>803</v>
      </c>
      <c r="G1138" t="s">
        <v>830</v>
      </c>
      <c r="H1138" t="s">
        <v>831</v>
      </c>
      <c r="I1138" t="s">
        <v>722</v>
      </c>
      <c r="J1138" t="s">
        <v>721</v>
      </c>
      <c r="K1138"/>
      <c r="L1138"/>
      <c r="M1138" t="s">
        <v>845</v>
      </c>
      <c r="N1138" t="s">
        <v>846</v>
      </c>
      <c r="O1138"/>
      <c r="P1138" t="e">
        <f>VLOOKUP(N1138,#REF!,2,FALSE)</f>
        <v>#REF!</v>
      </c>
      <c r="Q1138" t="s">
        <v>835</v>
      </c>
      <c r="R1138" s="345">
        <v>17022.099999999999</v>
      </c>
    </row>
    <row r="1139" spans="1:18" x14ac:dyDescent="0.2">
      <c r="A1139" s="344" t="s">
        <v>749</v>
      </c>
      <c r="B1139" t="s">
        <v>827</v>
      </c>
      <c r="C1139" t="s">
        <v>823</v>
      </c>
      <c r="D1139" t="s">
        <v>746</v>
      </c>
      <c r="E1139" t="s">
        <v>829</v>
      </c>
      <c r="F1139" t="s">
        <v>803</v>
      </c>
      <c r="G1139" t="s">
        <v>830</v>
      </c>
      <c r="H1139" t="s">
        <v>831</v>
      </c>
      <c r="I1139" t="s">
        <v>722</v>
      </c>
      <c r="J1139" t="s">
        <v>721</v>
      </c>
      <c r="K1139"/>
      <c r="L1139"/>
      <c r="M1139" t="s">
        <v>845</v>
      </c>
      <c r="N1139" t="s">
        <v>846</v>
      </c>
      <c r="O1139"/>
      <c r="P1139" t="e">
        <f>VLOOKUP(N1139,#REF!,2,FALSE)</f>
        <v>#REF!</v>
      </c>
      <c r="Q1139" t="s">
        <v>891</v>
      </c>
      <c r="R1139" s="345">
        <v>0</v>
      </c>
    </row>
    <row r="1140" spans="1:18" x14ac:dyDescent="0.2">
      <c r="A1140" s="344" t="s">
        <v>752</v>
      </c>
      <c r="B1140" t="s">
        <v>827</v>
      </c>
      <c r="C1140" t="s">
        <v>823</v>
      </c>
      <c r="D1140" t="s">
        <v>746</v>
      </c>
      <c r="E1140" t="s">
        <v>829</v>
      </c>
      <c r="F1140" t="s">
        <v>803</v>
      </c>
      <c r="G1140" t="s">
        <v>830</v>
      </c>
      <c r="H1140" t="s">
        <v>831</v>
      </c>
      <c r="I1140" t="s">
        <v>722</v>
      </c>
      <c r="J1140" t="s">
        <v>721</v>
      </c>
      <c r="K1140"/>
      <c r="L1140"/>
      <c r="M1140" t="s">
        <v>845</v>
      </c>
      <c r="N1140" t="s">
        <v>846</v>
      </c>
      <c r="O1140"/>
      <c r="P1140" t="e">
        <f>VLOOKUP(N1140,#REF!,2,FALSE)</f>
        <v>#REF!</v>
      </c>
      <c r="Q1140" t="s">
        <v>891</v>
      </c>
      <c r="R1140" s="345">
        <v>-5.07</v>
      </c>
    </row>
    <row r="1141" spans="1:18" x14ac:dyDescent="0.2">
      <c r="A1141" s="344" t="s">
        <v>753</v>
      </c>
      <c r="B1141" t="s">
        <v>827</v>
      </c>
      <c r="C1141" t="s">
        <v>823</v>
      </c>
      <c r="D1141" t="s">
        <v>746</v>
      </c>
      <c r="E1141" t="s">
        <v>829</v>
      </c>
      <c r="F1141" t="s">
        <v>803</v>
      </c>
      <c r="G1141" t="s">
        <v>830</v>
      </c>
      <c r="H1141" t="s">
        <v>831</v>
      </c>
      <c r="I1141" t="s">
        <v>722</v>
      </c>
      <c r="J1141" t="s">
        <v>721</v>
      </c>
      <c r="K1141"/>
      <c r="L1141"/>
      <c r="M1141" t="s">
        <v>845</v>
      </c>
      <c r="N1141" t="s">
        <v>846</v>
      </c>
      <c r="O1141"/>
      <c r="P1141" t="e">
        <f>VLOOKUP(N1141,#REF!,2,FALSE)</f>
        <v>#REF!</v>
      </c>
      <c r="Q1141" t="s">
        <v>891</v>
      </c>
      <c r="R1141" s="345">
        <v>-6.19</v>
      </c>
    </row>
    <row r="1142" spans="1:18" x14ac:dyDescent="0.2">
      <c r="A1142" s="344" t="s">
        <v>754</v>
      </c>
      <c r="B1142" t="s">
        <v>827</v>
      </c>
      <c r="C1142" t="s">
        <v>823</v>
      </c>
      <c r="D1142" t="s">
        <v>746</v>
      </c>
      <c r="E1142" t="s">
        <v>829</v>
      </c>
      <c r="F1142" t="s">
        <v>803</v>
      </c>
      <c r="G1142" t="s">
        <v>830</v>
      </c>
      <c r="H1142" t="s">
        <v>831</v>
      </c>
      <c r="I1142" t="s">
        <v>722</v>
      </c>
      <c r="J1142" t="s">
        <v>721</v>
      </c>
      <c r="K1142"/>
      <c r="L1142"/>
      <c r="M1142" t="s">
        <v>845</v>
      </c>
      <c r="N1142" t="s">
        <v>846</v>
      </c>
      <c r="O1142"/>
      <c r="P1142" t="e">
        <f>VLOOKUP(N1142,#REF!,2,FALSE)</f>
        <v>#REF!</v>
      </c>
      <c r="Q1142" t="s">
        <v>891</v>
      </c>
      <c r="R1142" s="345">
        <v>-6.21</v>
      </c>
    </row>
    <row r="1143" spans="1:18" x14ac:dyDescent="0.2">
      <c r="A1143" s="344" t="s">
        <v>755</v>
      </c>
      <c r="B1143" t="s">
        <v>827</v>
      </c>
      <c r="C1143" t="s">
        <v>823</v>
      </c>
      <c r="D1143" t="s">
        <v>746</v>
      </c>
      <c r="E1143" t="s">
        <v>829</v>
      </c>
      <c r="F1143" t="s">
        <v>803</v>
      </c>
      <c r="G1143" t="s">
        <v>830</v>
      </c>
      <c r="H1143" t="s">
        <v>831</v>
      </c>
      <c r="I1143" t="s">
        <v>722</v>
      </c>
      <c r="J1143" t="s">
        <v>721</v>
      </c>
      <c r="K1143"/>
      <c r="L1143"/>
      <c r="M1143" t="s">
        <v>845</v>
      </c>
      <c r="N1143" t="s">
        <v>846</v>
      </c>
      <c r="O1143"/>
      <c r="P1143" t="e">
        <f>VLOOKUP(N1143,#REF!,2,FALSE)</f>
        <v>#REF!</v>
      </c>
      <c r="Q1143" t="s">
        <v>891</v>
      </c>
      <c r="R1143" s="345">
        <v>-5.64</v>
      </c>
    </row>
    <row r="1144" spans="1:18" x14ac:dyDescent="0.2">
      <c r="A1144" s="344" t="s">
        <v>756</v>
      </c>
      <c r="B1144" t="s">
        <v>827</v>
      </c>
      <c r="C1144" t="s">
        <v>823</v>
      </c>
      <c r="D1144" t="s">
        <v>746</v>
      </c>
      <c r="E1144" t="s">
        <v>829</v>
      </c>
      <c r="F1144" t="s">
        <v>803</v>
      </c>
      <c r="G1144" t="s">
        <v>830</v>
      </c>
      <c r="H1144" t="s">
        <v>831</v>
      </c>
      <c r="I1144" t="s">
        <v>722</v>
      </c>
      <c r="J1144" t="s">
        <v>721</v>
      </c>
      <c r="K1144"/>
      <c r="L1144"/>
      <c r="M1144" t="s">
        <v>845</v>
      </c>
      <c r="N1144" t="s">
        <v>846</v>
      </c>
      <c r="O1144"/>
      <c r="P1144" t="e">
        <f>VLOOKUP(N1144,#REF!,2,FALSE)</f>
        <v>#REF!</v>
      </c>
      <c r="Q1144" t="s">
        <v>891</v>
      </c>
      <c r="R1144" s="345">
        <v>-6.21</v>
      </c>
    </row>
    <row r="1145" spans="1:18" x14ac:dyDescent="0.2">
      <c r="A1145" s="344" t="s">
        <v>757</v>
      </c>
      <c r="B1145" t="s">
        <v>827</v>
      </c>
      <c r="C1145" t="s">
        <v>823</v>
      </c>
      <c r="D1145" t="s">
        <v>746</v>
      </c>
      <c r="E1145" t="s">
        <v>829</v>
      </c>
      <c r="F1145" t="s">
        <v>803</v>
      </c>
      <c r="G1145" t="s">
        <v>830</v>
      </c>
      <c r="H1145" t="s">
        <v>831</v>
      </c>
      <c r="I1145" t="s">
        <v>722</v>
      </c>
      <c r="J1145" t="s">
        <v>721</v>
      </c>
      <c r="K1145"/>
      <c r="L1145"/>
      <c r="M1145" t="s">
        <v>845</v>
      </c>
      <c r="N1145" t="s">
        <v>846</v>
      </c>
      <c r="O1145"/>
      <c r="P1145" t="e">
        <f>VLOOKUP(N1145,#REF!,2,FALSE)</f>
        <v>#REF!</v>
      </c>
      <c r="Q1145" t="s">
        <v>891</v>
      </c>
      <c r="R1145" s="345">
        <v>-3.39</v>
      </c>
    </row>
    <row r="1146" spans="1:18" x14ac:dyDescent="0.2">
      <c r="A1146" s="344" t="s">
        <v>758</v>
      </c>
      <c r="B1146" t="s">
        <v>827</v>
      </c>
      <c r="C1146" t="s">
        <v>823</v>
      </c>
      <c r="D1146" t="s">
        <v>746</v>
      </c>
      <c r="E1146" t="s">
        <v>829</v>
      </c>
      <c r="F1146" t="s">
        <v>803</v>
      </c>
      <c r="G1146" t="s">
        <v>830</v>
      </c>
      <c r="H1146" t="s">
        <v>831</v>
      </c>
      <c r="I1146" t="s">
        <v>722</v>
      </c>
      <c r="J1146" t="s">
        <v>721</v>
      </c>
      <c r="K1146"/>
      <c r="L1146"/>
      <c r="M1146" t="s">
        <v>845</v>
      </c>
      <c r="N1146" t="s">
        <v>846</v>
      </c>
      <c r="O1146"/>
      <c r="P1146" t="e">
        <f>VLOOKUP(N1146,#REF!,2,FALSE)</f>
        <v>#REF!</v>
      </c>
      <c r="Q1146" t="s">
        <v>891</v>
      </c>
      <c r="R1146" s="345">
        <v>-3.39</v>
      </c>
    </row>
    <row r="1147" spans="1:18" x14ac:dyDescent="0.2">
      <c r="A1147" s="344" t="s">
        <v>759</v>
      </c>
      <c r="B1147" t="s">
        <v>827</v>
      </c>
      <c r="C1147" t="s">
        <v>823</v>
      </c>
      <c r="D1147" t="s">
        <v>746</v>
      </c>
      <c r="E1147" t="s">
        <v>829</v>
      </c>
      <c r="F1147" t="s">
        <v>803</v>
      </c>
      <c r="G1147" t="s">
        <v>830</v>
      </c>
      <c r="H1147" t="s">
        <v>831</v>
      </c>
      <c r="I1147" t="s">
        <v>722</v>
      </c>
      <c r="J1147" t="s">
        <v>721</v>
      </c>
      <c r="K1147"/>
      <c r="L1147"/>
      <c r="M1147" t="s">
        <v>845</v>
      </c>
      <c r="N1147" t="s">
        <v>846</v>
      </c>
      <c r="O1147"/>
      <c r="P1147" t="e">
        <f>VLOOKUP(N1147,#REF!,2,FALSE)</f>
        <v>#REF!</v>
      </c>
      <c r="Q1147" t="s">
        <v>891</v>
      </c>
      <c r="R1147" s="345">
        <v>-57.11</v>
      </c>
    </row>
    <row r="1148" spans="1:18" x14ac:dyDescent="0.2">
      <c r="A1148" s="344" t="s">
        <v>743</v>
      </c>
      <c r="B1148" t="s">
        <v>827</v>
      </c>
      <c r="C1148" t="s">
        <v>823</v>
      </c>
      <c r="D1148" t="s">
        <v>746</v>
      </c>
      <c r="E1148" t="s">
        <v>829</v>
      </c>
      <c r="F1148" t="s">
        <v>803</v>
      </c>
      <c r="G1148" t="s">
        <v>830</v>
      </c>
      <c r="H1148" t="s">
        <v>831</v>
      </c>
      <c r="I1148" t="s">
        <v>722</v>
      </c>
      <c r="J1148" t="s">
        <v>721</v>
      </c>
      <c r="K1148"/>
      <c r="L1148"/>
      <c r="M1148" t="s">
        <v>845</v>
      </c>
      <c r="N1148" t="s">
        <v>846</v>
      </c>
      <c r="O1148"/>
      <c r="P1148" t="e">
        <f>VLOOKUP(N1148,#REF!,2,FALSE)</f>
        <v>#REF!</v>
      </c>
      <c r="Q1148" t="s">
        <v>891</v>
      </c>
      <c r="R1148" s="345">
        <v>-3.99</v>
      </c>
    </row>
    <row r="1149" spans="1:18" x14ac:dyDescent="0.2">
      <c r="A1149" s="344" t="s">
        <v>760</v>
      </c>
      <c r="B1149" t="s">
        <v>827</v>
      </c>
      <c r="C1149" t="s">
        <v>823</v>
      </c>
      <c r="D1149" t="s">
        <v>746</v>
      </c>
      <c r="E1149" t="s">
        <v>829</v>
      </c>
      <c r="F1149" t="s">
        <v>803</v>
      </c>
      <c r="G1149" t="s">
        <v>830</v>
      </c>
      <c r="H1149" t="s">
        <v>831</v>
      </c>
      <c r="I1149" t="s">
        <v>722</v>
      </c>
      <c r="J1149" t="s">
        <v>721</v>
      </c>
      <c r="K1149"/>
      <c r="L1149"/>
      <c r="M1149" t="s">
        <v>845</v>
      </c>
      <c r="N1149" t="s">
        <v>846</v>
      </c>
      <c r="O1149"/>
      <c r="P1149" t="e">
        <f>VLOOKUP(N1149,#REF!,2,FALSE)</f>
        <v>#REF!</v>
      </c>
      <c r="Q1149" t="s">
        <v>891</v>
      </c>
      <c r="R1149" s="345">
        <v>-1.1399999999999999</v>
      </c>
    </row>
    <row r="1150" spans="1:18" x14ac:dyDescent="0.2">
      <c r="A1150" s="344" t="s">
        <v>745</v>
      </c>
      <c r="B1150" t="s">
        <v>827</v>
      </c>
      <c r="C1150" t="s">
        <v>823</v>
      </c>
      <c r="D1150" t="s">
        <v>746</v>
      </c>
      <c r="E1150" t="s">
        <v>829</v>
      </c>
      <c r="F1150" t="s">
        <v>803</v>
      </c>
      <c r="G1150" t="s">
        <v>830</v>
      </c>
      <c r="H1150" t="s">
        <v>831</v>
      </c>
      <c r="I1150" t="s">
        <v>722</v>
      </c>
      <c r="J1150" t="s">
        <v>721</v>
      </c>
      <c r="K1150"/>
      <c r="L1150"/>
      <c r="M1150" t="s">
        <v>845</v>
      </c>
      <c r="N1150" t="s">
        <v>846</v>
      </c>
      <c r="O1150"/>
      <c r="P1150" t="e">
        <f>VLOOKUP(N1150,#REF!,2,FALSE)</f>
        <v>#REF!</v>
      </c>
      <c r="Q1150" t="s">
        <v>891</v>
      </c>
      <c r="R1150" s="345">
        <v>-3.99</v>
      </c>
    </row>
    <row r="1151" spans="1:18" x14ac:dyDescent="0.2">
      <c r="A1151" s="344" t="s">
        <v>754</v>
      </c>
      <c r="B1151" t="s">
        <v>827</v>
      </c>
      <c r="C1151" t="s">
        <v>823</v>
      </c>
      <c r="D1151" t="s">
        <v>746</v>
      </c>
      <c r="E1151" t="s">
        <v>829</v>
      </c>
      <c r="F1151" t="s">
        <v>803</v>
      </c>
      <c r="G1151" t="s">
        <v>830</v>
      </c>
      <c r="H1151" t="s">
        <v>831</v>
      </c>
      <c r="I1151" t="s">
        <v>722</v>
      </c>
      <c r="J1151" t="s">
        <v>721</v>
      </c>
      <c r="K1151"/>
      <c r="L1151"/>
      <c r="M1151" t="s">
        <v>845</v>
      </c>
      <c r="N1151" t="s">
        <v>846</v>
      </c>
      <c r="O1151"/>
      <c r="P1151" t="e">
        <f>VLOOKUP(N1151,#REF!,2,FALSE)</f>
        <v>#REF!</v>
      </c>
      <c r="Q1151" t="s">
        <v>859</v>
      </c>
      <c r="R1151" s="345">
        <v>-108.33</v>
      </c>
    </row>
    <row r="1152" spans="1:18" x14ac:dyDescent="0.2">
      <c r="A1152" s="344" t="s">
        <v>755</v>
      </c>
      <c r="B1152" t="s">
        <v>827</v>
      </c>
      <c r="C1152" t="s">
        <v>823</v>
      </c>
      <c r="D1152" t="s">
        <v>746</v>
      </c>
      <c r="E1152" t="s">
        <v>829</v>
      </c>
      <c r="F1152" t="s">
        <v>803</v>
      </c>
      <c r="G1152" t="s">
        <v>830</v>
      </c>
      <c r="H1152" t="s">
        <v>831</v>
      </c>
      <c r="I1152" t="s">
        <v>722</v>
      </c>
      <c r="J1152" t="s">
        <v>721</v>
      </c>
      <c r="K1152"/>
      <c r="L1152"/>
      <c r="M1152" t="s">
        <v>845</v>
      </c>
      <c r="N1152" t="s">
        <v>846</v>
      </c>
      <c r="O1152"/>
      <c r="P1152" t="e">
        <f>VLOOKUP(N1152,#REF!,2,FALSE)</f>
        <v>#REF!</v>
      </c>
      <c r="Q1152" t="s">
        <v>859</v>
      </c>
      <c r="R1152" s="345">
        <v>-227.94</v>
      </c>
    </row>
    <row r="1153" spans="1:18" x14ac:dyDescent="0.2">
      <c r="A1153" s="344" t="s">
        <v>756</v>
      </c>
      <c r="B1153" t="s">
        <v>827</v>
      </c>
      <c r="C1153" t="s">
        <v>823</v>
      </c>
      <c r="D1153" t="s">
        <v>746</v>
      </c>
      <c r="E1153" t="s">
        <v>829</v>
      </c>
      <c r="F1153" t="s">
        <v>803</v>
      </c>
      <c r="G1153" t="s">
        <v>830</v>
      </c>
      <c r="H1153" t="s">
        <v>831</v>
      </c>
      <c r="I1153" t="s">
        <v>722</v>
      </c>
      <c r="J1153" t="s">
        <v>721</v>
      </c>
      <c r="K1153"/>
      <c r="L1153"/>
      <c r="M1153" t="s">
        <v>845</v>
      </c>
      <c r="N1153" t="s">
        <v>846</v>
      </c>
      <c r="O1153"/>
      <c r="P1153" t="e">
        <f>VLOOKUP(N1153,#REF!,2,FALSE)</f>
        <v>#REF!</v>
      </c>
      <c r="Q1153" t="s">
        <v>859</v>
      </c>
      <c r="R1153" s="345">
        <v>-1347.91</v>
      </c>
    </row>
    <row r="1154" spans="1:18" x14ac:dyDescent="0.2">
      <c r="A1154" s="344" t="s">
        <v>757</v>
      </c>
      <c r="B1154" t="s">
        <v>827</v>
      </c>
      <c r="C1154" t="s">
        <v>823</v>
      </c>
      <c r="D1154" t="s">
        <v>746</v>
      </c>
      <c r="E1154" t="s">
        <v>829</v>
      </c>
      <c r="F1154" t="s">
        <v>803</v>
      </c>
      <c r="G1154" t="s">
        <v>830</v>
      </c>
      <c r="H1154" t="s">
        <v>831</v>
      </c>
      <c r="I1154" t="s">
        <v>722</v>
      </c>
      <c r="J1154" t="s">
        <v>721</v>
      </c>
      <c r="K1154"/>
      <c r="L1154"/>
      <c r="M1154" t="s">
        <v>845</v>
      </c>
      <c r="N1154" t="s">
        <v>846</v>
      </c>
      <c r="O1154"/>
      <c r="P1154" t="e">
        <f>VLOOKUP(N1154,#REF!,2,FALSE)</f>
        <v>#REF!</v>
      </c>
      <c r="Q1154" t="s">
        <v>859</v>
      </c>
      <c r="R1154" s="345">
        <v>0</v>
      </c>
    </row>
    <row r="1155" spans="1:18" x14ac:dyDescent="0.2">
      <c r="A1155" s="344" t="s">
        <v>749</v>
      </c>
      <c r="B1155" t="s">
        <v>827</v>
      </c>
      <c r="C1155" t="s">
        <v>823</v>
      </c>
      <c r="D1155" t="s">
        <v>746</v>
      </c>
      <c r="E1155" t="s">
        <v>829</v>
      </c>
      <c r="F1155" t="s">
        <v>803</v>
      </c>
      <c r="G1155" t="s">
        <v>830</v>
      </c>
      <c r="H1155" t="s">
        <v>831</v>
      </c>
      <c r="I1155" t="s">
        <v>722</v>
      </c>
      <c r="J1155" t="s">
        <v>721</v>
      </c>
      <c r="K1155"/>
      <c r="L1155"/>
      <c r="M1155" t="s">
        <v>845</v>
      </c>
      <c r="N1155" t="s">
        <v>846</v>
      </c>
      <c r="O1155"/>
      <c r="P1155" t="e">
        <f>VLOOKUP(N1155,#REF!,2,FALSE)</f>
        <v>#REF!</v>
      </c>
      <c r="Q1155" t="s">
        <v>886</v>
      </c>
      <c r="R1155" s="345">
        <v>-340.88</v>
      </c>
    </row>
    <row r="1156" spans="1:18" x14ac:dyDescent="0.2">
      <c r="A1156" s="344" t="s">
        <v>752</v>
      </c>
      <c r="B1156" t="s">
        <v>827</v>
      </c>
      <c r="C1156" t="s">
        <v>823</v>
      </c>
      <c r="D1156" t="s">
        <v>746</v>
      </c>
      <c r="E1156" t="s">
        <v>829</v>
      </c>
      <c r="F1156" t="s">
        <v>803</v>
      </c>
      <c r="G1156" t="s">
        <v>830</v>
      </c>
      <c r="H1156" t="s">
        <v>831</v>
      </c>
      <c r="I1156" t="s">
        <v>722</v>
      </c>
      <c r="J1156" t="s">
        <v>721</v>
      </c>
      <c r="K1156"/>
      <c r="L1156"/>
      <c r="M1156" t="s">
        <v>845</v>
      </c>
      <c r="N1156" t="s">
        <v>846</v>
      </c>
      <c r="O1156"/>
      <c r="P1156" t="e">
        <f>VLOOKUP(N1156,#REF!,2,FALSE)</f>
        <v>#REF!</v>
      </c>
      <c r="Q1156" t="s">
        <v>886</v>
      </c>
      <c r="R1156" s="345">
        <v>340.88</v>
      </c>
    </row>
    <row r="1157" spans="1:18" x14ac:dyDescent="0.2">
      <c r="A1157" s="344" t="s">
        <v>749</v>
      </c>
      <c r="B1157" t="s">
        <v>827</v>
      </c>
      <c r="C1157" t="s">
        <v>823</v>
      </c>
      <c r="D1157" t="s">
        <v>746</v>
      </c>
      <c r="E1157" t="s">
        <v>829</v>
      </c>
      <c r="F1157" t="s">
        <v>803</v>
      </c>
      <c r="G1157" t="s">
        <v>830</v>
      </c>
      <c r="H1157" t="s">
        <v>831</v>
      </c>
      <c r="I1157" t="s">
        <v>722</v>
      </c>
      <c r="J1157" t="s">
        <v>721</v>
      </c>
      <c r="K1157"/>
      <c r="L1157"/>
      <c r="M1157" t="s">
        <v>845</v>
      </c>
      <c r="N1157" t="s">
        <v>846</v>
      </c>
      <c r="O1157"/>
      <c r="P1157" t="e">
        <f>VLOOKUP(N1157,#REF!,2,FALSE)</f>
        <v>#REF!</v>
      </c>
      <c r="Q1157" t="s">
        <v>877</v>
      </c>
      <c r="R1157" s="345">
        <v>-1074.23</v>
      </c>
    </row>
    <row r="1158" spans="1:18" x14ac:dyDescent="0.2">
      <c r="A1158" s="344" t="s">
        <v>752</v>
      </c>
      <c r="B1158" t="s">
        <v>827</v>
      </c>
      <c r="C1158" t="s">
        <v>823</v>
      </c>
      <c r="D1158" t="s">
        <v>746</v>
      </c>
      <c r="E1158" t="s">
        <v>829</v>
      </c>
      <c r="F1158" t="s">
        <v>803</v>
      </c>
      <c r="G1158" t="s">
        <v>830</v>
      </c>
      <c r="H1158" t="s">
        <v>831</v>
      </c>
      <c r="I1158" t="s">
        <v>722</v>
      </c>
      <c r="J1158" t="s">
        <v>721</v>
      </c>
      <c r="K1158"/>
      <c r="L1158"/>
      <c r="M1158" t="s">
        <v>845</v>
      </c>
      <c r="N1158" t="s">
        <v>846</v>
      </c>
      <c r="O1158"/>
      <c r="P1158" t="e">
        <f>VLOOKUP(N1158,#REF!,2,FALSE)</f>
        <v>#REF!</v>
      </c>
      <c r="Q1158" t="s">
        <v>877</v>
      </c>
      <c r="R1158" s="345">
        <v>1425.53</v>
      </c>
    </row>
    <row r="1159" spans="1:18" x14ac:dyDescent="0.2">
      <c r="A1159" s="344" t="s">
        <v>749</v>
      </c>
      <c r="B1159" t="s">
        <v>827</v>
      </c>
      <c r="C1159" t="s">
        <v>823</v>
      </c>
      <c r="D1159" t="s">
        <v>746</v>
      </c>
      <c r="E1159" t="s">
        <v>829</v>
      </c>
      <c r="F1159" t="s">
        <v>803</v>
      </c>
      <c r="G1159" t="s">
        <v>830</v>
      </c>
      <c r="H1159" t="s">
        <v>831</v>
      </c>
      <c r="I1159" t="s">
        <v>722</v>
      </c>
      <c r="J1159" t="s">
        <v>721</v>
      </c>
      <c r="K1159"/>
      <c r="L1159"/>
      <c r="M1159" t="s">
        <v>845</v>
      </c>
      <c r="N1159" t="s">
        <v>846</v>
      </c>
      <c r="O1159"/>
      <c r="P1159" t="e">
        <f>VLOOKUP(N1159,#REF!,2,FALSE)</f>
        <v>#REF!</v>
      </c>
      <c r="Q1159" t="s">
        <v>879</v>
      </c>
      <c r="R1159" s="345">
        <v>-14192.93</v>
      </c>
    </row>
    <row r="1160" spans="1:18" x14ac:dyDescent="0.2">
      <c r="A1160" s="344" t="s">
        <v>752</v>
      </c>
      <c r="B1160" t="s">
        <v>827</v>
      </c>
      <c r="C1160" t="s">
        <v>823</v>
      </c>
      <c r="D1160" t="s">
        <v>746</v>
      </c>
      <c r="E1160" t="s">
        <v>829</v>
      </c>
      <c r="F1160" t="s">
        <v>803</v>
      </c>
      <c r="G1160" t="s">
        <v>830</v>
      </c>
      <c r="H1160" t="s">
        <v>831</v>
      </c>
      <c r="I1160" t="s">
        <v>722</v>
      </c>
      <c r="J1160" t="s">
        <v>721</v>
      </c>
      <c r="K1160"/>
      <c r="L1160"/>
      <c r="M1160" t="s">
        <v>845</v>
      </c>
      <c r="N1160" t="s">
        <v>846</v>
      </c>
      <c r="O1160"/>
      <c r="P1160" t="e">
        <f>VLOOKUP(N1160,#REF!,2,FALSE)</f>
        <v>#REF!</v>
      </c>
      <c r="Q1160" t="s">
        <v>879</v>
      </c>
      <c r="R1160" s="345">
        <v>-10307.73</v>
      </c>
    </row>
    <row r="1161" spans="1:18" x14ac:dyDescent="0.2">
      <c r="A1161" s="344" t="s">
        <v>753</v>
      </c>
      <c r="B1161" t="s">
        <v>827</v>
      </c>
      <c r="C1161" t="s">
        <v>823</v>
      </c>
      <c r="D1161" t="s">
        <v>746</v>
      </c>
      <c r="E1161" t="s">
        <v>829</v>
      </c>
      <c r="F1161" t="s">
        <v>803</v>
      </c>
      <c r="G1161" t="s">
        <v>830</v>
      </c>
      <c r="H1161" t="s">
        <v>831</v>
      </c>
      <c r="I1161" t="s">
        <v>722</v>
      </c>
      <c r="J1161" t="s">
        <v>721</v>
      </c>
      <c r="K1161"/>
      <c r="L1161"/>
      <c r="M1161" t="s">
        <v>845</v>
      </c>
      <c r="N1161" t="s">
        <v>846</v>
      </c>
      <c r="O1161"/>
      <c r="P1161" t="e">
        <f>VLOOKUP(N1161,#REF!,2,FALSE)</f>
        <v>#REF!</v>
      </c>
      <c r="Q1161" t="s">
        <v>879</v>
      </c>
      <c r="R1161" s="345">
        <v>-30310.07</v>
      </c>
    </row>
    <row r="1162" spans="1:18" x14ac:dyDescent="0.2">
      <c r="A1162" s="344" t="s">
        <v>754</v>
      </c>
      <c r="B1162" t="s">
        <v>827</v>
      </c>
      <c r="C1162" t="s">
        <v>823</v>
      </c>
      <c r="D1162" t="s">
        <v>746</v>
      </c>
      <c r="E1162" t="s">
        <v>829</v>
      </c>
      <c r="F1162" t="s">
        <v>803</v>
      </c>
      <c r="G1162" t="s">
        <v>830</v>
      </c>
      <c r="H1162" t="s">
        <v>831</v>
      </c>
      <c r="I1162" t="s">
        <v>722</v>
      </c>
      <c r="J1162" t="s">
        <v>721</v>
      </c>
      <c r="K1162"/>
      <c r="L1162"/>
      <c r="M1162" t="s">
        <v>845</v>
      </c>
      <c r="N1162" t="s">
        <v>846</v>
      </c>
      <c r="O1162"/>
      <c r="P1162" t="e">
        <f>VLOOKUP(N1162,#REF!,2,FALSE)</f>
        <v>#REF!</v>
      </c>
      <c r="Q1162" t="s">
        <v>879</v>
      </c>
      <c r="R1162" s="345">
        <v>-19276.32</v>
      </c>
    </row>
    <row r="1163" spans="1:18" x14ac:dyDescent="0.2">
      <c r="A1163" s="344" t="s">
        <v>755</v>
      </c>
      <c r="B1163" t="s">
        <v>827</v>
      </c>
      <c r="C1163" t="s">
        <v>823</v>
      </c>
      <c r="D1163" t="s">
        <v>746</v>
      </c>
      <c r="E1163" t="s">
        <v>829</v>
      </c>
      <c r="F1163" t="s">
        <v>803</v>
      </c>
      <c r="G1163" t="s">
        <v>830</v>
      </c>
      <c r="H1163" t="s">
        <v>831</v>
      </c>
      <c r="I1163" t="s">
        <v>722</v>
      </c>
      <c r="J1163" t="s">
        <v>721</v>
      </c>
      <c r="K1163"/>
      <c r="L1163"/>
      <c r="M1163" t="s">
        <v>845</v>
      </c>
      <c r="N1163" t="s">
        <v>846</v>
      </c>
      <c r="O1163"/>
      <c r="P1163" t="e">
        <f>VLOOKUP(N1163,#REF!,2,FALSE)</f>
        <v>#REF!</v>
      </c>
      <c r="Q1163" t="s">
        <v>879</v>
      </c>
      <c r="R1163" s="345">
        <v>-31291.360000000001</v>
      </c>
    </row>
    <row r="1164" spans="1:18" x14ac:dyDescent="0.2">
      <c r="A1164" s="344" t="s">
        <v>756</v>
      </c>
      <c r="B1164" t="s">
        <v>827</v>
      </c>
      <c r="C1164" t="s">
        <v>823</v>
      </c>
      <c r="D1164" t="s">
        <v>746</v>
      </c>
      <c r="E1164" t="s">
        <v>829</v>
      </c>
      <c r="F1164" t="s">
        <v>803</v>
      </c>
      <c r="G1164" t="s">
        <v>830</v>
      </c>
      <c r="H1164" t="s">
        <v>831</v>
      </c>
      <c r="I1164" t="s">
        <v>722</v>
      </c>
      <c r="J1164" t="s">
        <v>721</v>
      </c>
      <c r="K1164"/>
      <c r="L1164"/>
      <c r="M1164" t="s">
        <v>845</v>
      </c>
      <c r="N1164" t="s">
        <v>846</v>
      </c>
      <c r="O1164"/>
      <c r="P1164" t="e">
        <f>VLOOKUP(N1164,#REF!,2,FALSE)</f>
        <v>#REF!</v>
      </c>
      <c r="Q1164" t="s">
        <v>879</v>
      </c>
      <c r="R1164" s="345">
        <v>-22474.61</v>
      </c>
    </row>
    <row r="1165" spans="1:18" x14ac:dyDescent="0.2">
      <c r="A1165" s="344" t="s">
        <v>757</v>
      </c>
      <c r="B1165" t="s">
        <v>827</v>
      </c>
      <c r="C1165" t="s">
        <v>823</v>
      </c>
      <c r="D1165" t="s">
        <v>746</v>
      </c>
      <c r="E1165" t="s">
        <v>829</v>
      </c>
      <c r="F1165" t="s">
        <v>803</v>
      </c>
      <c r="G1165" t="s">
        <v>830</v>
      </c>
      <c r="H1165" t="s">
        <v>831</v>
      </c>
      <c r="I1165" t="s">
        <v>722</v>
      </c>
      <c r="J1165" t="s">
        <v>721</v>
      </c>
      <c r="K1165"/>
      <c r="L1165"/>
      <c r="M1165" t="s">
        <v>845</v>
      </c>
      <c r="N1165" t="s">
        <v>846</v>
      </c>
      <c r="O1165"/>
      <c r="P1165" t="e">
        <f>VLOOKUP(N1165,#REF!,2,FALSE)</f>
        <v>#REF!</v>
      </c>
      <c r="Q1165" t="s">
        <v>879</v>
      </c>
      <c r="R1165" s="345">
        <v>-21372.9</v>
      </c>
    </row>
    <row r="1166" spans="1:18" x14ac:dyDescent="0.2">
      <c r="A1166" s="344" t="s">
        <v>758</v>
      </c>
      <c r="B1166" t="s">
        <v>827</v>
      </c>
      <c r="C1166" t="s">
        <v>823</v>
      </c>
      <c r="D1166" t="s">
        <v>746</v>
      </c>
      <c r="E1166" t="s">
        <v>829</v>
      </c>
      <c r="F1166" t="s">
        <v>803</v>
      </c>
      <c r="G1166" t="s">
        <v>830</v>
      </c>
      <c r="H1166" t="s">
        <v>831</v>
      </c>
      <c r="I1166" t="s">
        <v>722</v>
      </c>
      <c r="J1166" t="s">
        <v>721</v>
      </c>
      <c r="K1166"/>
      <c r="L1166"/>
      <c r="M1166" t="s">
        <v>845</v>
      </c>
      <c r="N1166" t="s">
        <v>846</v>
      </c>
      <c r="O1166"/>
      <c r="P1166" t="e">
        <f>VLOOKUP(N1166,#REF!,2,FALSE)</f>
        <v>#REF!</v>
      </c>
      <c r="Q1166" t="s">
        <v>879</v>
      </c>
      <c r="R1166" s="345">
        <v>-8549.06</v>
      </c>
    </row>
    <row r="1167" spans="1:18" x14ac:dyDescent="0.2">
      <c r="A1167" s="344" t="s">
        <v>759</v>
      </c>
      <c r="B1167" t="s">
        <v>827</v>
      </c>
      <c r="C1167" t="s">
        <v>823</v>
      </c>
      <c r="D1167" t="s">
        <v>746</v>
      </c>
      <c r="E1167" t="s">
        <v>829</v>
      </c>
      <c r="F1167" t="s">
        <v>803</v>
      </c>
      <c r="G1167" t="s">
        <v>830</v>
      </c>
      <c r="H1167" t="s">
        <v>831</v>
      </c>
      <c r="I1167" t="s">
        <v>722</v>
      </c>
      <c r="J1167" t="s">
        <v>721</v>
      </c>
      <c r="K1167"/>
      <c r="L1167"/>
      <c r="M1167" t="s">
        <v>845</v>
      </c>
      <c r="N1167" t="s">
        <v>846</v>
      </c>
      <c r="O1167"/>
      <c r="P1167" t="e">
        <f>VLOOKUP(N1167,#REF!,2,FALSE)</f>
        <v>#REF!</v>
      </c>
      <c r="Q1167" t="s">
        <v>879</v>
      </c>
      <c r="R1167" s="345">
        <v>-4027.72</v>
      </c>
    </row>
    <row r="1168" spans="1:18" x14ac:dyDescent="0.2">
      <c r="A1168" s="344" t="s">
        <v>743</v>
      </c>
      <c r="B1168" t="s">
        <v>827</v>
      </c>
      <c r="C1168" t="s">
        <v>823</v>
      </c>
      <c r="D1168" t="s">
        <v>746</v>
      </c>
      <c r="E1168" t="s">
        <v>829</v>
      </c>
      <c r="F1168" t="s">
        <v>803</v>
      </c>
      <c r="G1168" t="s">
        <v>830</v>
      </c>
      <c r="H1168" t="s">
        <v>831</v>
      </c>
      <c r="I1168" t="s">
        <v>722</v>
      </c>
      <c r="J1168" t="s">
        <v>721</v>
      </c>
      <c r="K1168"/>
      <c r="L1168"/>
      <c r="M1168" t="s">
        <v>845</v>
      </c>
      <c r="N1168" t="s">
        <v>846</v>
      </c>
      <c r="O1168"/>
      <c r="P1168" t="e">
        <f>VLOOKUP(N1168,#REF!,2,FALSE)</f>
        <v>#REF!</v>
      </c>
      <c r="Q1168" t="s">
        <v>879</v>
      </c>
      <c r="R1168" s="345">
        <v>-5486.13</v>
      </c>
    </row>
    <row r="1169" spans="1:18" x14ac:dyDescent="0.2">
      <c r="A1169" s="344" t="s">
        <v>760</v>
      </c>
      <c r="B1169" t="s">
        <v>827</v>
      </c>
      <c r="C1169" t="s">
        <v>823</v>
      </c>
      <c r="D1169" t="s">
        <v>746</v>
      </c>
      <c r="E1169" t="s">
        <v>829</v>
      </c>
      <c r="F1169" t="s">
        <v>803</v>
      </c>
      <c r="G1169" t="s">
        <v>830</v>
      </c>
      <c r="H1169" t="s">
        <v>831</v>
      </c>
      <c r="I1169" t="s">
        <v>722</v>
      </c>
      <c r="J1169" t="s">
        <v>721</v>
      </c>
      <c r="K1169"/>
      <c r="L1169"/>
      <c r="M1169" t="s">
        <v>845</v>
      </c>
      <c r="N1169" t="s">
        <v>846</v>
      </c>
      <c r="O1169"/>
      <c r="P1169" t="e">
        <f>VLOOKUP(N1169,#REF!,2,FALSE)</f>
        <v>#REF!</v>
      </c>
      <c r="Q1169" t="s">
        <v>879</v>
      </c>
      <c r="R1169" s="345">
        <v>-3759.94</v>
      </c>
    </row>
    <row r="1170" spans="1:18" x14ac:dyDescent="0.2">
      <c r="A1170" s="344" t="s">
        <v>745</v>
      </c>
      <c r="B1170" t="s">
        <v>827</v>
      </c>
      <c r="C1170" t="s">
        <v>823</v>
      </c>
      <c r="D1170" t="s">
        <v>746</v>
      </c>
      <c r="E1170" t="s">
        <v>829</v>
      </c>
      <c r="F1170" t="s">
        <v>803</v>
      </c>
      <c r="G1170" t="s">
        <v>830</v>
      </c>
      <c r="H1170" t="s">
        <v>831</v>
      </c>
      <c r="I1170" t="s">
        <v>722</v>
      </c>
      <c r="J1170" t="s">
        <v>721</v>
      </c>
      <c r="K1170"/>
      <c r="L1170"/>
      <c r="M1170" t="s">
        <v>845</v>
      </c>
      <c r="N1170" t="s">
        <v>846</v>
      </c>
      <c r="O1170"/>
      <c r="P1170" t="e">
        <f>VLOOKUP(N1170,#REF!,2,FALSE)</f>
        <v>#REF!</v>
      </c>
      <c r="Q1170" t="s">
        <v>879</v>
      </c>
      <c r="R1170" s="345">
        <v>-14663.07</v>
      </c>
    </row>
    <row r="1171" spans="1:18" x14ac:dyDescent="0.2">
      <c r="A1171" s="344" t="s">
        <v>749</v>
      </c>
      <c r="B1171" t="s">
        <v>827</v>
      </c>
      <c r="C1171" t="s">
        <v>823</v>
      </c>
      <c r="D1171" t="s">
        <v>746</v>
      </c>
      <c r="E1171" t="s">
        <v>829</v>
      </c>
      <c r="F1171" t="s">
        <v>803</v>
      </c>
      <c r="G1171" t="s">
        <v>830</v>
      </c>
      <c r="H1171" t="s">
        <v>831</v>
      </c>
      <c r="I1171" t="s">
        <v>722</v>
      </c>
      <c r="J1171" t="s">
        <v>721</v>
      </c>
      <c r="K1171"/>
      <c r="L1171"/>
      <c r="M1171" t="s">
        <v>845</v>
      </c>
      <c r="N1171" t="s">
        <v>846</v>
      </c>
      <c r="O1171"/>
      <c r="P1171" t="e">
        <f>VLOOKUP(N1171,#REF!,2,FALSE)</f>
        <v>#REF!</v>
      </c>
      <c r="Q1171" t="s">
        <v>861</v>
      </c>
      <c r="R1171" s="345">
        <v>-3.94</v>
      </c>
    </row>
    <row r="1172" spans="1:18" x14ac:dyDescent="0.2">
      <c r="A1172" s="344" t="s">
        <v>752</v>
      </c>
      <c r="B1172" t="s">
        <v>827</v>
      </c>
      <c r="C1172" t="s">
        <v>823</v>
      </c>
      <c r="D1172" t="s">
        <v>746</v>
      </c>
      <c r="E1172" t="s">
        <v>829</v>
      </c>
      <c r="F1172" t="s">
        <v>803</v>
      </c>
      <c r="G1172" t="s">
        <v>830</v>
      </c>
      <c r="H1172" t="s">
        <v>831</v>
      </c>
      <c r="I1172" t="s">
        <v>722</v>
      </c>
      <c r="J1172" t="s">
        <v>721</v>
      </c>
      <c r="K1172"/>
      <c r="L1172"/>
      <c r="M1172" t="s">
        <v>845</v>
      </c>
      <c r="N1172" t="s">
        <v>846</v>
      </c>
      <c r="O1172"/>
      <c r="P1172" t="e">
        <f>VLOOKUP(N1172,#REF!,2,FALSE)</f>
        <v>#REF!</v>
      </c>
      <c r="Q1172" t="s">
        <v>861</v>
      </c>
      <c r="R1172" s="345">
        <v>-10.130000000000001</v>
      </c>
    </row>
    <row r="1173" spans="1:18" x14ac:dyDescent="0.2">
      <c r="A1173" s="344" t="s">
        <v>753</v>
      </c>
      <c r="B1173" t="s">
        <v>827</v>
      </c>
      <c r="C1173" t="s">
        <v>823</v>
      </c>
      <c r="D1173" t="s">
        <v>746</v>
      </c>
      <c r="E1173" t="s">
        <v>829</v>
      </c>
      <c r="F1173" t="s">
        <v>803</v>
      </c>
      <c r="G1173" t="s">
        <v>830</v>
      </c>
      <c r="H1173" t="s">
        <v>831</v>
      </c>
      <c r="I1173" t="s">
        <v>722</v>
      </c>
      <c r="J1173" t="s">
        <v>721</v>
      </c>
      <c r="K1173"/>
      <c r="L1173"/>
      <c r="M1173" t="s">
        <v>845</v>
      </c>
      <c r="N1173" t="s">
        <v>846</v>
      </c>
      <c r="O1173"/>
      <c r="P1173" t="e">
        <f>VLOOKUP(N1173,#REF!,2,FALSE)</f>
        <v>#REF!</v>
      </c>
      <c r="Q1173" t="s">
        <v>861</v>
      </c>
      <c r="R1173" s="345">
        <v>-10.7</v>
      </c>
    </row>
    <row r="1174" spans="1:18" x14ac:dyDescent="0.2">
      <c r="A1174" s="344" t="s">
        <v>754</v>
      </c>
      <c r="B1174" t="s">
        <v>827</v>
      </c>
      <c r="C1174" t="s">
        <v>823</v>
      </c>
      <c r="D1174" t="s">
        <v>746</v>
      </c>
      <c r="E1174" t="s">
        <v>829</v>
      </c>
      <c r="F1174" t="s">
        <v>803</v>
      </c>
      <c r="G1174" t="s">
        <v>830</v>
      </c>
      <c r="H1174" t="s">
        <v>831</v>
      </c>
      <c r="I1174" t="s">
        <v>722</v>
      </c>
      <c r="J1174" t="s">
        <v>721</v>
      </c>
      <c r="K1174"/>
      <c r="L1174"/>
      <c r="M1174" t="s">
        <v>845</v>
      </c>
      <c r="N1174" t="s">
        <v>846</v>
      </c>
      <c r="O1174"/>
      <c r="P1174" t="e">
        <f>VLOOKUP(N1174,#REF!,2,FALSE)</f>
        <v>#REF!</v>
      </c>
      <c r="Q1174" t="s">
        <v>861</v>
      </c>
      <c r="R1174" s="345">
        <v>-10.72</v>
      </c>
    </row>
    <row r="1175" spans="1:18" x14ac:dyDescent="0.2">
      <c r="A1175" s="344" t="s">
        <v>755</v>
      </c>
      <c r="B1175" t="s">
        <v>827</v>
      </c>
      <c r="C1175" t="s">
        <v>823</v>
      </c>
      <c r="D1175" t="s">
        <v>746</v>
      </c>
      <c r="E1175" t="s">
        <v>829</v>
      </c>
      <c r="F1175" t="s">
        <v>803</v>
      </c>
      <c r="G1175" t="s">
        <v>830</v>
      </c>
      <c r="H1175" t="s">
        <v>831</v>
      </c>
      <c r="I1175" t="s">
        <v>722</v>
      </c>
      <c r="J1175" t="s">
        <v>721</v>
      </c>
      <c r="K1175"/>
      <c r="L1175"/>
      <c r="M1175" t="s">
        <v>845</v>
      </c>
      <c r="N1175" t="s">
        <v>846</v>
      </c>
      <c r="O1175"/>
      <c r="P1175" t="e">
        <f>VLOOKUP(N1175,#REF!,2,FALSE)</f>
        <v>#REF!</v>
      </c>
      <c r="Q1175" t="s">
        <v>861</v>
      </c>
      <c r="R1175" s="345">
        <v>-10.72</v>
      </c>
    </row>
    <row r="1176" spans="1:18" x14ac:dyDescent="0.2">
      <c r="A1176" s="344" t="s">
        <v>756</v>
      </c>
      <c r="B1176" t="s">
        <v>827</v>
      </c>
      <c r="C1176" t="s">
        <v>823</v>
      </c>
      <c r="D1176" t="s">
        <v>746</v>
      </c>
      <c r="E1176" t="s">
        <v>829</v>
      </c>
      <c r="F1176" t="s">
        <v>803</v>
      </c>
      <c r="G1176" t="s">
        <v>830</v>
      </c>
      <c r="H1176" t="s">
        <v>831</v>
      </c>
      <c r="I1176" t="s">
        <v>722</v>
      </c>
      <c r="J1176" t="s">
        <v>721</v>
      </c>
      <c r="K1176"/>
      <c r="L1176"/>
      <c r="M1176" t="s">
        <v>845</v>
      </c>
      <c r="N1176" t="s">
        <v>846</v>
      </c>
      <c r="O1176"/>
      <c r="P1176" t="e">
        <f>VLOOKUP(N1176,#REF!,2,FALSE)</f>
        <v>#REF!</v>
      </c>
      <c r="Q1176" t="s">
        <v>861</v>
      </c>
      <c r="R1176" s="345">
        <v>-10.72</v>
      </c>
    </row>
    <row r="1177" spans="1:18" x14ac:dyDescent="0.2">
      <c r="A1177" s="344" t="s">
        <v>757</v>
      </c>
      <c r="B1177" t="s">
        <v>827</v>
      </c>
      <c r="C1177" t="s">
        <v>823</v>
      </c>
      <c r="D1177" t="s">
        <v>746</v>
      </c>
      <c r="E1177" t="s">
        <v>829</v>
      </c>
      <c r="F1177" t="s">
        <v>803</v>
      </c>
      <c r="G1177" t="s">
        <v>830</v>
      </c>
      <c r="H1177" t="s">
        <v>831</v>
      </c>
      <c r="I1177" t="s">
        <v>722</v>
      </c>
      <c r="J1177" t="s">
        <v>721</v>
      </c>
      <c r="K1177"/>
      <c r="L1177"/>
      <c r="M1177" t="s">
        <v>845</v>
      </c>
      <c r="N1177" t="s">
        <v>846</v>
      </c>
      <c r="O1177"/>
      <c r="P1177" t="e">
        <f>VLOOKUP(N1177,#REF!,2,FALSE)</f>
        <v>#REF!</v>
      </c>
      <c r="Q1177" t="s">
        <v>861</v>
      </c>
      <c r="R1177" s="345">
        <v>-1901.46</v>
      </c>
    </row>
    <row r="1178" spans="1:18" x14ac:dyDescent="0.2">
      <c r="A1178" s="344" t="s">
        <v>758</v>
      </c>
      <c r="B1178" t="s">
        <v>827</v>
      </c>
      <c r="C1178" t="s">
        <v>823</v>
      </c>
      <c r="D1178" t="s">
        <v>746</v>
      </c>
      <c r="E1178" t="s">
        <v>829</v>
      </c>
      <c r="F1178" t="s">
        <v>803</v>
      </c>
      <c r="G1178" t="s">
        <v>830</v>
      </c>
      <c r="H1178" t="s">
        <v>831</v>
      </c>
      <c r="I1178" t="s">
        <v>722</v>
      </c>
      <c r="J1178" t="s">
        <v>721</v>
      </c>
      <c r="K1178"/>
      <c r="L1178"/>
      <c r="M1178" t="s">
        <v>845</v>
      </c>
      <c r="N1178" t="s">
        <v>846</v>
      </c>
      <c r="O1178"/>
      <c r="P1178" t="e">
        <f>VLOOKUP(N1178,#REF!,2,FALSE)</f>
        <v>#REF!</v>
      </c>
      <c r="Q1178" t="s">
        <v>861</v>
      </c>
      <c r="R1178" s="345">
        <v>0</v>
      </c>
    </row>
    <row r="1179" spans="1:18" x14ac:dyDescent="0.2">
      <c r="A1179" s="344" t="s">
        <v>757</v>
      </c>
      <c r="B1179" t="s">
        <v>827</v>
      </c>
      <c r="C1179" t="s">
        <v>823</v>
      </c>
      <c r="D1179" t="s">
        <v>746</v>
      </c>
      <c r="E1179" t="s">
        <v>829</v>
      </c>
      <c r="F1179" t="s">
        <v>803</v>
      </c>
      <c r="G1179" t="s">
        <v>830</v>
      </c>
      <c r="H1179" t="s">
        <v>831</v>
      </c>
      <c r="I1179" t="s">
        <v>722</v>
      </c>
      <c r="J1179" t="s">
        <v>721</v>
      </c>
      <c r="K1179"/>
      <c r="L1179"/>
      <c r="M1179" t="s">
        <v>845</v>
      </c>
      <c r="N1179" t="s">
        <v>846</v>
      </c>
      <c r="O1179"/>
      <c r="P1179" t="e">
        <f>VLOOKUP(N1179,#REF!,2,FALSE)</f>
        <v>#REF!</v>
      </c>
      <c r="Q1179" t="s">
        <v>863</v>
      </c>
      <c r="R1179" s="345">
        <v>-4252.4399999999996</v>
      </c>
    </row>
    <row r="1180" spans="1:18" x14ac:dyDescent="0.2">
      <c r="A1180" s="344" t="s">
        <v>758</v>
      </c>
      <c r="B1180" t="s">
        <v>827</v>
      </c>
      <c r="C1180" t="s">
        <v>823</v>
      </c>
      <c r="D1180" t="s">
        <v>746</v>
      </c>
      <c r="E1180" t="s">
        <v>829</v>
      </c>
      <c r="F1180" t="s">
        <v>803</v>
      </c>
      <c r="G1180" t="s">
        <v>830</v>
      </c>
      <c r="H1180" t="s">
        <v>831</v>
      </c>
      <c r="I1180" t="s">
        <v>722</v>
      </c>
      <c r="J1180" t="s">
        <v>721</v>
      </c>
      <c r="K1180"/>
      <c r="L1180"/>
      <c r="M1180" t="s">
        <v>845</v>
      </c>
      <c r="N1180" t="s">
        <v>846</v>
      </c>
      <c r="O1180"/>
      <c r="P1180" t="e">
        <f>VLOOKUP(N1180,#REF!,2,FALSE)</f>
        <v>#REF!</v>
      </c>
      <c r="Q1180" t="s">
        <v>863</v>
      </c>
      <c r="R1180" s="345">
        <v>-7734.13</v>
      </c>
    </row>
    <row r="1181" spans="1:18" x14ac:dyDescent="0.2">
      <c r="A1181" s="344" t="s">
        <v>759</v>
      </c>
      <c r="B1181" t="s">
        <v>827</v>
      </c>
      <c r="C1181" t="s">
        <v>823</v>
      </c>
      <c r="D1181" t="s">
        <v>746</v>
      </c>
      <c r="E1181" t="s">
        <v>829</v>
      </c>
      <c r="F1181" t="s">
        <v>803</v>
      </c>
      <c r="G1181" t="s">
        <v>830</v>
      </c>
      <c r="H1181" t="s">
        <v>831</v>
      </c>
      <c r="I1181" t="s">
        <v>722</v>
      </c>
      <c r="J1181" t="s">
        <v>721</v>
      </c>
      <c r="K1181"/>
      <c r="L1181"/>
      <c r="M1181" t="s">
        <v>845</v>
      </c>
      <c r="N1181" t="s">
        <v>846</v>
      </c>
      <c r="O1181"/>
      <c r="P1181" t="e">
        <f>VLOOKUP(N1181,#REF!,2,FALSE)</f>
        <v>#REF!</v>
      </c>
      <c r="Q1181" t="s">
        <v>863</v>
      </c>
      <c r="R1181" s="345">
        <v>-4781.16</v>
      </c>
    </row>
    <row r="1182" spans="1:18" x14ac:dyDescent="0.2">
      <c r="A1182" s="344" t="s">
        <v>743</v>
      </c>
      <c r="B1182" t="s">
        <v>827</v>
      </c>
      <c r="C1182" t="s">
        <v>823</v>
      </c>
      <c r="D1182" t="s">
        <v>746</v>
      </c>
      <c r="E1182" t="s">
        <v>829</v>
      </c>
      <c r="F1182" t="s">
        <v>803</v>
      </c>
      <c r="G1182" t="s">
        <v>830</v>
      </c>
      <c r="H1182" t="s">
        <v>831</v>
      </c>
      <c r="I1182" t="s">
        <v>722</v>
      </c>
      <c r="J1182" t="s">
        <v>721</v>
      </c>
      <c r="K1182"/>
      <c r="L1182"/>
      <c r="M1182" t="s">
        <v>845</v>
      </c>
      <c r="N1182" t="s">
        <v>846</v>
      </c>
      <c r="O1182"/>
      <c r="P1182" t="e">
        <f>VLOOKUP(N1182,#REF!,2,FALSE)</f>
        <v>#REF!</v>
      </c>
      <c r="Q1182" t="s">
        <v>863</v>
      </c>
      <c r="R1182" s="345">
        <v>5225.6400000000003</v>
      </c>
    </row>
    <row r="1183" spans="1:18" x14ac:dyDescent="0.2">
      <c r="A1183" s="344" t="s">
        <v>760</v>
      </c>
      <c r="B1183" t="s">
        <v>827</v>
      </c>
      <c r="C1183" t="s">
        <v>823</v>
      </c>
      <c r="D1183" t="s">
        <v>746</v>
      </c>
      <c r="E1183" t="s">
        <v>829</v>
      </c>
      <c r="F1183" t="s">
        <v>803</v>
      </c>
      <c r="G1183" t="s">
        <v>830</v>
      </c>
      <c r="H1183" t="s">
        <v>831</v>
      </c>
      <c r="I1183" t="s">
        <v>722</v>
      </c>
      <c r="J1183" t="s">
        <v>721</v>
      </c>
      <c r="K1183"/>
      <c r="L1183"/>
      <c r="M1183" t="s">
        <v>845</v>
      </c>
      <c r="N1183" t="s">
        <v>846</v>
      </c>
      <c r="O1183"/>
      <c r="P1183" t="e">
        <f>VLOOKUP(N1183,#REF!,2,FALSE)</f>
        <v>#REF!</v>
      </c>
      <c r="Q1183" t="s">
        <v>863</v>
      </c>
      <c r="R1183" s="345">
        <v>-417.79</v>
      </c>
    </row>
    <row r="1184" spans="1:18" x14ac:dyDescent="0.2">
      <c r="A1184" s="344" t="s">
        <v>745</v>
      </c>
      <c r="B1184" t="s">
        <v>827</v>
      </c>
      <c r="C1184" t="s">
        <v>823</v>
      </c>
      <c r="D1184" t="s">
        <v>746</v>
      </c>
      <c r="E1184" t="s">
        <v>829</v>
      </c>
      <c r="F1184" t="s">
        <v>803</v>
      </c>
      <c r="G1184" t="s">
        <v>830</v>
      </c>
      <c r="H1184" t="s">
        <v>831</v>
      </c>
      <c r="I1184" t="s">
        <v>722</v>
      </c>
      <c r="J1184" t="s">
        <v>721</v>
      </c>
      <c r="K1184"/>
      <c r="L1184"/>
      <c r="M1184" t="s">
        <v>845</v>
      </c>
      <c r="N1184" t="s">
        <v>846</v>
      </c>
      <c r="O1184"/>
      <c r="P1184" t="e">
        <f>VLOOKUP(N1184,#REF!,2,FALSE)</f>
        <v>#REF!</v>
      </c>
      <c r="Q1184" t="s">
        <v>863</v>
      </c>
      <c r="R1184" s="345">
        <v>-856.14</v>
      </c>
    </row>
    <row r="1185" spans="1:18" x14ac:dyDescent="0.2">
      <c r="A1185" s="344" t="s">
        <v>749</v>
      </c>
      <c r="B1185" t="s">
        <v>827</v>
      </c>
      <c r="C1185" t="s">
        <v>823</v>
      </c>
      <c r="D1185" t="s">
        <v>746</v>
      </c>
      <c r="E1185" t="s">
        <v>829</v>
      </c>
      <c r="F1185" t="s">
        <v>803</v>
      </c>
      <c r="G1185" t="s">
        <v>830</v>
      </c>
      <c r="H1185" t="s">
        <v>831</v>
      </c>
      <c r="I1185" t="s">
        <v>722</v>
      </c>
      <c r="J1185" t="s">
        <v>721</v>
      </c>
      <c r="K1185"/>
      <c r="L1185"/>
      <c r="M1185" t="s">
        <v>845</v>
      </c>
      <c r="N1185" t="s">
        <v>846</v>
      </c>
      <c r="O1185"/>
      <c r="P1185" t="e">
        <f>VLOOKUP(N1185,#REF!,2,FALSE)</f>
        <v>#REF!</v>
      </c>
      <c r="Q1185" t="s">
        <v>881</v>
      </c>
      <c r="R1185" s="345">
        <v>-2866.14</v>
      </c>
    </row>
    <row r="1186" spans="1:18" x14ac:dyDescent="0.2">
      <c r="A1186" s="344" t="s">
        <v>752</v>
      </c>
      <c r="B1186" t="s">
        <v>827</v>
      </c>
      <c r="C1186" t="s">
        <v>823</v>
      </c>
      <c r="D1186" t="s">
        <v>746</v>
      </c>
      <c r="E1186" t="s">
        <v>829</v>
      </c>
      <c r="F1186" t="s">
        <v>803</v>
      </c>
      <c r="G1186" t="s">
        <v>830</v>
      </c>
      <c r="H1186" t="s">
        <v>831</v>
      </c>
      <c r="I1186" t="s">
        <v>722</v>
      </c>
      <c r="J1186" t="s">
        <v>721</v>
      </c>
      <c r="K1186"/>
      <c r="L1186"/>
      <c r="M1186" t="s">
        <v>845</v>
      </c>
      <c r="N1186" t="s">
        <v>846</v>
      </c>
      <c r="O1186"/>
      <c r="P1186" t="e">
        <f>VLOOKUP(N1186,#REF!,2,FALSE)</f>
        <v>#REF!</v>
      </c>
      <c r="Q1186" t="s">
        <v>881</v>
      </c>
      <c r="R1186" s="345">
        <v>-2768.18</v>
      </c>
    </row>
    <row r="1187" spans="1:18" x14ac:dyDescent="0.2">
      <c r="A1187" s="344" t="s">
        <v>753</v>
      </c>
      <c r="B1187" t="s">
        <v>827</v>
      </c>
      <c r="C1187" t="s">
        <v>823</v>
      </c>
      <c r="D1187" t="s">
        <v>746</v>
      </c>
      <c r="E1187" t="s">
        <v>829</v>
      </c>
      <c r="F1187" t="s">
        <v>803</v>
      </c>
      <c r="G1187" t="s">
        <v>830</v>
      </c>
      <c r="H1187" t="s">
        <v>831</v>
      </c>
      <c r="I1187" t="s">
        <v>722</v>
      </c>
      <c r="J1187" t="s">
        <v>721</v>
      </c>
      <c r="K1187"/>
      <c r="L1187"/>
      <c r="M1187" t="s">
        <v>845</v>
      </c>
      <c r="N1187" t="s">
        <v>846</v>
      </c>
      <c r="O1187"/>
      <c r="P1187" t="e">
        <f>VLOOKUP(N1187,#REF!,2,FALSE)</f>
        <v>#REF!</v>
      </c>
      <c r="Q1187" t="s">
        <v>881</v>
      </c>
      <c r="R1187" s="345">
        <v>-2517.66</v>
      </c>
    </row>
    <row r="1188" spans="1:18" x14ac:dyDescent="0.2">
      <c r="A1188" s="344" t="s">
        <v>754</v>
      </c>
      <c r="B1188" t="s">
        <v>827</v>
      </c>
      <c r="C1188" t="s">
        <v>823</v>
      </c>
      <c r="D1188" t="s">
        <v>746</v>
      </c>
      <c r="E1188" t="s">
        <v>829</v>
      </c>
      <c r="F1188" t="s">
        <v>803</v>
      </c>
      <c r="G1188" t="s">
        <v>830</v>
      </c>
      <c r="H1188" t="s">
        <v>831</v>
      </c>
      <c r="I1188" t="s">
        <v>722</v>
      </c>
      <c r="J1188" t="s">
        <v>721</v>
      </c>
      <c r="K1188"/>
      <c r="L1188"/>
      <c r="M1188" t="s">
        <v>845</v>
      </c>
      <c r="N1188" t="s">
        <v>846</v>
      </c>
      <c r="O1188"/>
      <c r="P1188" t="e">
        <f>VLOOKUP(N1188,#REF!,2,FALSE)</f>
        <v>#REF!</v>
      </c>
      <c r="Q1188" t="s">
        <v>881</v>
      </c>
      <c r="R1188" s="345">
        <v>-1060.69</v>
      </c>
    </row>
    <row r="1189" spans="1:18" x14ac:dyDescent="0.2">
      <c r="A1189" s="344" t="s">
        <v>755</v>
      </c>
      <c r="B1189" t="s">
        <v>827</v>
      </c>
      <c r="C1189" t="s">
        <v>823</v>
      </c>
      <c r="D1189" t="s">
        <v>746</v>
      </c>
      <c r="E1189" t="s">
        <v>829</v>
      </c>
      <c r="F1189" t="s">
        <v>803</v>
      </c>
      <c r="G1189" t="s">
        <v>830</v>
      </c>
      <c r="H1189" t="s">
        <v>831</v>
      </c>
      <c r="I1189" t="s">
        <v>722</v>
      </c>
      <c r="J1189" t="s">
        <v>721</v>
      </c>
      <c r="K1189"/>
      <c r="L1189"/>
      <c r="M1189" t="s">
        <v>845</v>
      </c>
      <c r="N1189" t="s">
        <v>846</v>
      </c>
      <c r="O1189"/>
      <c r="P1189" t="e">
        <f>VLOOKUP(N1189,#REF!,2,FALSE)</f>
        <v>#REF!</v>
      </c>
      <c r="Q1189" t="s">
        <v>881</v>
      </c>
      <c r="R1189" s="345">
        <v>-2912.4</v>
      </c>
    </row>
    <row r="1190" spans="1:18" x14ac:dyDescent="0.2">
      <c r="A1190" s="344" t="s">
        <v>756</v>
      </c>
      <c r="B1190" t="s">
        <v>827</v>
      </c>
      <c r="C1190" t="s">
        <v>823</v>
      </c>
      <c r="D1190" t="s">
        <v>746</v>
      </c>
      <c r="E1190" t="s">
        <v>829</v>
      </c>
      <c r="F1190" t="s">
        <v>803</v>
      </c>
      <c r="G1190" t="s">
        <v>830</v>
      </c>
      <c r="H1190" t="s">
        <v>831</v>
      </c>
      <c r="I1190" t="s">
        <v>722</v>
      </c>
      <c r="J1190" t="s">
        <v>721</v>
      </c>
      <c r="K1190"/>
      <c r="L1190"/>
      <c r="M1190" t="s">
        <v>845</v>
      </c>
      <c r="N1190" t="s">
        <v>846</v>
      </c>
      <c r="O1190"/>
      <c r="P1190" t="e">
        <f>VLOOKUP(N1190,#REF!,2,FALSE)</f>
        <v>#REF!</v>
      </c>
      <c r="Q1190" t="s">
        <v>881</v>
      </c>
      <c r="R1190" s="345">
        <v>-2895.47</v>
      </c>
    </row>
    <row r="1191" spans="1:18" x14ac:dyDescent="0.2">
      <c r="A1191" s="344" t="s">
        <v>757</v>
      </c>
      <c r="B1191" t="s">
        <v>827</v>
      </c>
      <c r="C1191" t="s">
        <v>823</v>
      </c>
      <c r="D1191" t="s">
        <v>746</v>
      </c>
      <c r="E1191" t="s">
        <v>829</v>
      </c>
      <c r="F1191" t="s">
        <v>803</v>
      </c>
      <c r="G1191" t="s">
        <v>830</v>
      </c>
      <c r="H1191" t="s">
        <v>831</v>
      </c>
      <c r="I1191" t="s">
        <v>722</v>
      </c>
      <c r="J1191" t="s">
        <v>721</v>
      </c>
      <c r="K1191"/>
      <c r="L1191"/>
      <c r="M1191" t="s">
        <v>845</v>
      </c>
      <c r="N1191" t="s">
        <v>846</v>
      </c>
      <c r="O1191"/>
      <c r="P1191" t="e">
        <f>VLOOKUP(N1191,#REF!,2,FALSE)</f>
        <v>#REF!</v>
      </c>
      <c r="Q1191" t="s">
        <v>881</v>
      </c>
      <c r="R1191" s="345">
        <v>-1638.01</v>
      </c>
    </row>
    <row r="1192" spans="1:18" x14ac:dyDescent="0.2">
      <c r="A1192" s="344" t="s">
        <v>758</v>
      </c>
      <c r="B1192" t="s">
        <v>827</v>
      </c>
      <c r="C1192" t="s">
        <v>823</v>
      </c>
      <c r="D1192" t="s">
        <v>746</v>
      </c>
      <c r="E1192" t="s">
        <v>829</v>
      </c>
      <c r="F1192" t="s">
        <v>803</v>
      </c>
      <c r="G1192" t="s">
        <v>830</v>
      </c>
      <c r="H1192" t="s">
        <v>831</v>
      </c>
      <c r="I1192" t="s">
        <v>722</v>
      </c>
      <c r="J1192" t="s">
        <v>721</v>
      </c>
      <c r="K1192"/>
      <c r="L1192"/>
      <c r="M1192" t="s">
        <v>845</v>
      </c>
      <c r="N1192" t="s">
        <v>846</v>
      </c>
      <c r="O1192"/>
      <c r="P1192" t="e">
        <f>VLOOKUP(N1192,#REF!,2,FALSE)</f>
        <v>#REF!</v>
      </c>
      <c r="Q1192" t="s">
        <v>881</v>
      </c>
      <c r="R1192" s="345">
        <v>-1483.65</v>
      </c>
    </row>
    <row r="1193" spans="1:18" x14ac:dyDescent="0.2">
      <c r="A1193" s="344" t="s">
        <v>759</v>
      </c>
      <c r="B1193" t="s">
        <v>827</v>
      </c>
      <c r="C1193" t="s">
        <v>823</v>
      </c>
      <c r="D1193" t="s">
        <v>746</v>
      </c>
      <c r="E1193" t="s">
        <v>829</v>
      </c>
      <c r="F1193" t="s">
        <v>803</v>
      </c>
      <c r="G1193" t="s">
        <v>830</v>
      </c>
      <c r="H1193" t="s">
        <v>831</v>
      </c>
      <c r="I1193" t="s">
        <v>722</v>
      </c>
      <c r="J1193" t="s">
        <v>721</v>
      </c>
      <c r="K1193"/>
      <c r="L1193"/>
      <c r="M1193" t="s">
        <v>845</v>
      </c>
      <c r="N1193" t="s">
        <v>846</v>
      </c>
      <c r="O1193"/>
      <c r="P1193" t="e">
        <f>VLOOKUP(N1193,#REF!,2,FALSE)</f>
        <v>#REF!</v>
      </c>
      <c r="Q1193" t="s">
        <v>881</v>
      </c>
      <c r="R1193" s="345">
        <v>-97.25</v>
      </c>
    </row>
    <row r="1194" spans="1:18" x14ac:dyDescent="0.2">
      <c r="A1194" s="344" t="s">
        <v>743</v>
      </c>
      <c r="B1194" t="s">
        <v>827</v>
      </c>
      <c r="C1194" t="s">
        <v>823</v>
      </c>
      <c r="D1194" t="s">
        <v>746</v>
      </c>
      <c r="E1194" t="s">
        <v>829</v>
      </c>
      <c r="F1194" t="s">
        <v>803</v>
      </c>
      <c r="G1194" t="s">
        <v>830</v>
      </c>
      <c r="H1194" t="s">
        <v>831</v>
      </c>
      <c r="I1194" t="s">
        <v>722</v>
      </c>
      <c r="J1194" t="s">
        <v>721</v>
      </c>
      <c r="K1194"/>
      <c r="L1194"/>
      <c r="M1194" t="s">
        <v>845</v>
      </c>
      <c r="N1194" t="s">
        <v>846</v>
      </c>
      <c r="O1194"/>
      <c r="P1194" t="e">
        <f>VLOOKUP(N1194,#REF!,2,FALSE)</f>
        <v>#REF!</v>
      </c>
      <c r="Q1194" t="s">
        <v>881</v>
      </c>
      <c r="R1194" s="345">
        <v>-602.65</v>
      </c>
    </row>
    <row r="1195" spans="1:18" x14ac:dyDescent="0.2">
      <c r="A1195" s="344" t="s">
        <v>760</v>
      </c>
      <c r="B1195" t="s">
        <v>827</v>
      </c>
      <c r="C1195" t="s">
        <v>823</v>
      </c>
      <c r="D1195" t="s">
        <v>746</v>
      </c>
      <c r="E1195" t="s">
        <v>829</v>
      </c>
      <c r="F1195" t="s">
        <v>803</v>
      </c>
      <c r="G1195" t="s">
        <v>830</v>
      </c>
      <c r="H1195" t="s">
        <v>831</v>
      </c>
      <c r="I1195" t="s">
        <v>722</v>
      </c>
      <c r="J1195" t="s">
        <v>721</v>
      </c>
      <c r="K1195"/>
      <c r="L1195"/>
      <c r="M1195" t="s">
        <v>845</v>
      </c>
      <c r="N1195" t="s">
        <v>846</v>
      </c>
      <c r="O1195"/>
      <c r="P1195" t="e">
        <f>VLOOKUP(N1195,#REF!,2,FALSE)</f>
        <v>#REF!</v>
      </c>
      <c r="Q1195" t="s">
        <v>881</v>
      </c>
      <c r="R1195" s="345">
        <v>-1484.36</v>
      </c>
    </row>
    <row r="1196" spans="1:18" x14ac:dyDescent="0.2">
      <c r="A1196" s="344" t="s">
        <v>745</v>
      </c>
      <c r="B1196" t="s">
        <v>827</v>
      </c>
      <c r="C1196" t="s">
        <v>823</v>
      </c>
      <c r="D1196" t="s">
        <v>746</v>
      </c>
      <c r="E1196" t="s">
        <v>829</v>
      </c>
      <c r="F1196" t="s">
        <v>803</v>
      </c>
      <c r="G1196" t="s">
        <v>830</v>
      </c>
      <c r="H1196" t="s">
        <v>831</v>
      </c>
      <c r="I1196" t="s">
        <v>722</v>
      </c>
      <c r="J1196" t="s">
        <v>721</v>
      </c>
      <c r="K1196"/>
      <c r="L1196"/>
      <c r="M1196" t="s">
        <v>845</v>
      </c>
      <c r="N1196" t="s">
        <v>846</v>
      </c>
      <c r="O1196"/>
      <c r="P1196" t="e">
        <f>VLOOKUP(N1196,#REF!,2,FALSE)</f>
        <v>#REF!</v>
      </c>
      <c r="Q1196" t="s">
        <v>881</v>
      </c>
      <c r="R1196" s="345">
        <v>-4421.7</v>
      </c>
    </row>
    <row r="1197" spans="1:18" x14ac:dyDescent="0.2">
      <c r="A1197" s="344" t="s">
        <v>749</v>
      </c>
      <c r="B1197" t="s">
        <v>827</v>
      </c>
      <c r="C1197" t="s">
        <v>823</v>
      </c>
      <c r="D1197" t="s">
        <v>746</v>
      </c>
      <c r="E1197" t="s">
        <v>829</v>
      </c>
      <c r="F1197" t="s">
        <v>803</v>
      </c>
      <c r="G1197" t="s">
        <v>830</v>
      </c>
      <c r="H1197" t="s">
        <v>831</v>
      </c>
      <c r="I1197" t="s">
        <v>722</v>
      </c>
      <c r="J1197" t="s">
        <v>721</v>
      </c>
      <c r="K1197"/>
      <c r="L1197"/>
      <c r="M1197" t="s">
        <v>847</v>
      </c>
      <c r="N1197" t="s">
        <v>848</v>
      </c>
      <c r="O1197"/>
      <c r="P1197" t="e">
        <f>VLOOKUP(N1197,#REF!,2,FALSE)</f>
        <v>#REF!</v>
      </c>
      <c r="Q1197" t="s">
        <v>890</v>
      </c>
      <c r="R1197" s="345">
        <v>-6420.24</v>
      </c>
    </row>
    <row r="1198" spans="1:18" x14ac:dyDescent="0.2">
      <c r="A1198" s="344" t="s">
        <v>752</v>
      </c>
      <c r="B1198" t="s">
        <v>827</v>
      </c>
      <c r="C1198" t="s">
        <v>823</v>
      </c>
      <c r="D1198" t="s">
        <v>746</v>
      </c>
      <c r="E1198" t="s">
        <v>829</v>
      </c>
      <c r="F1198" t="s">
        <v>803</v>
      </c>
      <c r="G1198" t="s">
        <v>830</v>
      </c>
      <c r="H1198" t="s">
        <v>831</v>
      </c>
      <c r="I1198" t="s">
        <v>722</v>
      </c>
      <c r="J1198" t="s">
        <v>721</v>
      </c>
      <c r="K1198"/>
      <c r="L1198"/>
      <c r="M1198" t="s">
        <v>847</v>
      </c>
      <c r="N1198" t="s">
        <v>848</v>
      </c>
      <c r="O1198"/>
      <c r="P1198" t="e">
        <f>VLOOKUP(N1198,#REF!,2,FALSE)</f>
        <v>#REF!</v>
      </c>
      <c r="Q1198" t="s">
        <v>890</v>
      </c>
      <c r="R1198" s="345">
        <v>6420.24</v>
      </c>
    </row>
    <row r="1199" spans="1:18" x14ac:dyDescent="0.2">
      <c r="A1199" s="344" t="s">
        <v>755</v>
      </c>
      <c r="B1199" t="s">
        <v>827</v>
      </c>
      <c r="C1199" t="s">
        <v>823</v>
      </c>
      <c r="D1199" t="s">
        <v>746</v>
      </c>
      <c r="E1199" t="s">
        <v>829</v>
      </c>
      <c r="F1199" t="s">
        <v>803</v>
      </c>
      <c r="G1199" t="s">
        <v>830</v>
      </c>
      <c r="H1199" t="s">
        <v>831</v>
      </c>
      <c r="I1199" t="s">
        <v>722</v>
      </c>
      <c r="J1199" t="s">
        <v>721</v>
      </c>
      <c r="K1199"/>
      <c r="L1199"/>
      <c r="M1199" t="s">
        <v>847</v>
      </c>
      <c r="N1199" t="s">
        <v>848</v>
      </c>
      <c r="O1199"/>
      <c r="P1199" t="e">
        <f>VLOOKUP(N1199,#REF!,2,FALSE)</f>
        <v>#REF!</v>
      </c>
      <c r="Q1199" t="s">
        <v>890</v>
      </c>
      <c r="R1199" s="345">
        <v>-11595.91</v>
      </c>
    </row>
    <row r="1200" spans="1:18" x14ac:dyDescent="0.2">
      <c r="A1200" s="344" t="s">
        <v>758</v>
      </c>
      <c r="B1200" t="s">
        <v>827</v>
      </c>
      <c r="C1200" t="s">
        <v>823</v>
      </c>
      <c r="D1200" t="s">
        <v>746</v>
      </c>
      <c r="E1200" t="s">
        <v>829</v>
      </c>
      <c r="F1200" t="s">
        <v>803</v>
      </c>
      <c r="G1200" t="s">
        <v>830</v>
      </c>
      <c r="H1200" t="s">
        <v>831</v>
      </c>
      <c r="I1200" t="s">
        <v>722</v>
      </c>
      <c r="J1200" t="s">
        <v>721</v>
      </c>
      <c r="K1200"/>
      <c r="L1200"/>
      <c r="M1200" t="s">
        <v>847</v>
      </c>
      <c r="N1200" t="s">
        <v>848</v>
      </c>
      <c r="O1200"/>
      <c r="P1200" t="e">
        <f>VLOOKUP(N1200,#REF!,2,FALSE)</f>
        <v>#REF!</v>
      </c>
      <c r="Q1200" t="s">
        <v>890</v>
      </c>
      <c r="R1200" s="345">
        <v>-1038.81</v>
      </c>
    </row>
    <row r="1201" spans="1:18" x14ac:dyDescent="0.2">
      <c r="A1201" s="344" t="s">
        <v>759</v>
      </c>
      <c r="B1201" t="s">
        <v>827</v>
      </c>
      <c r="C1201" t="s">
        <v>823</v>
      </c>
      <c r="D1201" t="s">
        <v>746</v>
      </c>
      <c r="E1201" t="s">
        <v>829</v>
      </c>
      <c r="F1201" t="s">
        <v>803</v>
      </c>
      <c r="G1201" t="s">
        <v>830</v>
      </c>
      <c r="H1201" t="s">
        <v>831</v>
      </c>
      <c r="I1201" t="s">
        <v>722</v>
      </c>
      <c r="J1201" t="s">
        <v>721</v>
      </c>
      <c r="K1201"/>
      <c r="L1201"/>
      <c r="M1201" t="s">
        <v>847</v>
      </c>
      <c r="N1201" t="s">
        <v>848</v>
      </c>
      <c r="O1201"/>
      <c r="P1201" t="e">
        <f>VLOOKUP(N1201,#REF!,2,FALSE)</f>
        <v>#REF!</v>
      </c>
      <c r="Q1201" t="s">
        <v>890</v>
      </c>
      <c r="R1201" s="345">
        <v>0</v>
      </c>
    </row>
    <row r="1202" spans="1:18" x14ac:dyDescent="0.2">
      <c r="A1202" s="344" t="s">
        <v>749</v>
      </c>
      <c r="B1202" t="s">
        <v>827</v>
      </c>
      <c r="C1202" t="s">
        <v>823</v>
      </c>
      <c r="D1202" t="s">
        <v>746</v>
      </c>
      <c r="E1202" t="s">
        <v>829</v>
      </c>
      <c r="F1202" t="s">
        <v>803</v>
      </c>
      <c r="G1202" t="s">
        <v>830</v>
      </c>
      <c r="H1202" t="s">
        <v>831</v>
      </c>
      <c r="I1202" t="s">
        <v>722</v>
      </c>
      <c r="J1202" t="s">
        <v>721</v>
      </c>
      <c r="K1202"/>
      <c r="L1202"/>
      <c r="M1202" t="s">
        <v>847</v>
      </c>
      <c r="N1202" t="s">
        <v>848</v>
      </c>
      <c r="O1202"/>
      <c r="P1202" t="e">
        <f>VLOOKUP(N1202,#REF!,2,FALSE)</f>
        <v>#REF!</v>
      </c>
      <c r="Q1202" t="s">
        <v>857</v>
      </c>
      <c r="R1202" s="345">
        <v>-18117.34</v>
      </c>
    </row>
    <row r="1203" spans="1:18" x14ac:dyDescent="0.2">
      <c r="A1203" s="344" t="s">
        <v>752</v>
      </c>
      <c r="B1203" t="s">
        <v>827</v>
      </c>
      <c r="C1203" t="s">
        <v>823</v>
      </c>
      <c r="D1203" t="s">
        <v>746</v>
      </c>
      <c r="E1203" t="s">
        <v>829</v>
      </c>
      <c r="F1203" t="s">
        <v>803</v>
      </c>
      <c r="G1203" t="s">
        <v>830</v>
      </c>
      <c r="H1203" t="s">
        <v>831</v>
      </c>
      <c r="I1203" t="s">
        <v>722</v>
      </c>
      <c r="J1203" t="s">
        <v>721</v>
      </c>
      <c r="K1203"/>
      <c r="L1203"/>
      <c r="M1203" t="s">
        <v>847</v>
      </c>
      <c r="N1203" t="s">
        <v>848</v>
      </c>
      <c r="O1203"/>
      <c r="P1203" t="e">
        <f>VLOOKUP(N1203,#REF!,2,FALSE)</f>
        <v>#REF!</v>
      </c>
      <c r="Q1203" t="s">
        <v>857</v>
      </c>
      <c r="R1203" s="345">
        <v>-1940.27</v>
      </c>
    </row>
    <row r="1204" spans="1:18" x14ac:dyDescent="0.2">
      <c r="A1204" s="344" t="s">
        <v>753</v>
      </c>
      <c r="B1204" t="s">
        <v>827</v>
      </c>
      <c r="C1204" t="s">
        <v>823</v>
      </c>
      <c r="D1204" t="s">
        <v>746</v>
      </c>
      <c r="E1204" t="s">
        <v>829</v>
      </c>
      <c r="F1204" t="s">
        <v>803</v>
      </c>
      <c r="G1204" t="s">
        <v>830</v>
      </c>
      <c r="H1204" t="s">
        <v>831</v>
      </c>
      <c r="I1204" t="s">
        <v>722</v>
      </c>
      <c r="J1204" t="s">
        <v>721</v>
      </c>
      <c r="K1204"/>
      <c r="L1204"/>
      <c r="M1204" t="s">
        <v>847</v>
      </c>
      <c r="N1204" t="s">
        <v>848</v>
      </c>
      <c r="O1204"/>
      <c r="P1204" t="e">
        <f>VLOOKUP(N1204,#REF!,2,FALSE)</f>
        <v>#REF!</v>
      </c>
      <c r="Q1204" t="s">
        <v>857</v>
      </c>
      <c r="R1204" s="345">
        <v>-5847.14</v>
      </c>
    </row>
    <row r="1205" spans="1:18" x14ac:dyDescent="0.2">
      <c r="A1205" s="344" t="s">
        <v>754</v>
      </c>
      <c r="B1205" t="s">
        <v>827</v>
      </c>
      <c r="C1205" t="s">
        <v>823</v>
      </c>
      <c r="D1205" t="s">
        <v>746</v>
      </c>
      <c r="E1205" t="s">
        <v>829</v>
      </c>
      <c r="F1205" t="s">
        <v>803</v>
      </c>
      <c r="G1205" t="s">
        <v>830</v>
      </c>
      <c r="H1205" t="s">
        <v>831</v>
      </c>
      <c r="I1205" t="s">
        <v>722</v>
      </c>
      <c r="J1205" t="s">
        <v>721</v>
      </c>
      <c r="K1205"/>
      <c r="L1205"/>
      <c r="M1205" t="s">
        <v>847</v>
      </c>
      <c r="N1205" t="s">
        <v>848</v>
      </c>
      <c r="O1205"/>
      <c r="P1205" t="e">
        <f>VLOOKUP(N1205,#REF!,2,FALSE)</f>
        <v>#REF!</v>
      </c>
      <c r="Q1205" t="s">
        <v>857</v>
      </c>
      <c r="R1205" s="345">
        <v>-14466.29</v>
      </c>
    </row>
    <row r="1206" spans="1:18" x14ac:dyDescent="0.2">
      <c r="A1206" s="344" t="s">
        <v>755</v>
      </c>
      <c r="B1206" t="s">
        <v>827</v>
      </c>
      <c r="C1206" t="s">
        <v>823</v>
      </c>
      <c r="D1206" t="s">
        <v>746</v>
      </c>
      <c r="E1206" t="s">
        <v>829</v>
      </c>
      <c r="F1206" t="s">
        <v>803</v>
      </c>
      <c r="G1206" t="s">
        <v>830</v>
      </c>
      <c r="H1206" t="s">
        <v>831</v>
      </c>
      <c r="I1206" t="s">
        <v>722</v>
      </c>
      <c r="J1206" t="s">
        <v>721</v>
      </c>
      <c r="K1206"/>
      <c r="L1206"/>
      <c r="M1206" t="s">
        <v>847</v>
      </c>
      <c r="N1206" t="s">
        <v>848</v>
      </c>
      <c r="O1206"/>
      <c r="P1206" t="e">
        <f>VLOOKUP(N1206,#REF!,2,FALSE)</f>
        <v>#REF!</v>
      </c>
      <c r="Q1206" t="s">
        <v>857</v>
      </c>
      <c r="R1206" s="345">
        <v>-9659.5</v>
      </c>
    </row>
    <row r="1207" spans="1:18" x14ac:dyDescent="0.2">
      <c r="A1207" s="344" t="s">
        <v>756</v>
      </c>
      <c r="B1207" t="s">
        <v>827</v>
      </c>
      <c r="C1207" t="s">
        <v>823</v>
      </c>
      <c r="D1207" t="s">
        <v>746</v>
      </c>
      <c r="E1207" t="s">
        <v>829</v>
      </c>
      <c r="F1207" t="s">
        <v>803</v>
      </c>
      <c r="G1207" t="s">
        <v>830</v>
      </c>
      <c r="H1207" t="s">
        <v>831</v>
      </c>
      <c r="I1207" t="s">
        <v>722</v>
      </c>
      <c r="J1207" t="s">
        <v>721</v>
      </c>
      <c r="K1207"/>
      <c r="L1207"/>
      <c r="M1207" t="s">
        <v>847</v>
      </c>
      <c r="N1207" t="s">
        <v>848</v>
      </c>
      <c r="O1207"/>
      <c r="P1207" t="e">
        <f>VLOOKUP(N1207,#REF!,2,FALSE)</f>
        <v>#REF!</v>
      </c>
      <c r="Q1207" t="s">
        <v>857</v>
      </c>
      <c r="R1207" s="345">
        <v>0</v>
      </c>
    </row>
    <row r="1208" spans="1:18" x14ac:dyDescent="0.2">
      <c r="A1208" s="344" t="s">
        <v>749</v>
      </c>
      <c r="B1208" t="s">
        <v>827</v>
      </c>
      <c r="C1208" t="s">
        <v>823</v>
      </c>
      <c r="D1208" t="s">
        <v>746</v>
      </c>
      <c r="E1208" t="s">
        <v>829</v>
      </c>
      <c r="F1208" t="s">
        <v>803</v>
      </c>
      <c r="G1208" t="s">
        <v>830</v>
      </c>
      <c r="H1208" t="s">
        <v>831</v>
      </c>
      <c r="I1208" t="s">
        <v>722</v>
      </c>
      <c r="J1208" t="s">
        <v>721</v>
      </c>
      <c r="K1208"/>
      <c r="L1208"/>
      <c r="M1208" t="s">
        <v>847</v>
      </c>
      <c r="N1208" t="s">
        <v>848</v>
      </c>
      <c r="O1208"/>
      <c r="P1208" t="e">
        <f>VLOOKUP(N1208,#REF!,2,FALSE)</f>
        <v>#REF!</v>
      </c>
      <c r="Q1208" t="s">
        <v>858</v>
      </c>
      <c r="R1208" s="345">
        <v>80.959999999999994</v>
      </c>
    </row>
    <row r="1209" spans="1:18" x14ac:dyDescent="0.2">
      <c r="A1209" s="344" t="s">
        <v>752</v>
      </c>
      <c r="B1209" t="s">
        <v>827</v>
      </c>
      <c r="C1209" t="s">
        <v>823</v>
      </c>
      <c r="D1209" t="s">
        <v>746</v>
      </c>
      <c r="E1209" t="s">
        <v>829</v>
      </c>
      <c r="F1209" t="s">
        <v>803</v>
      </c>
      <c r="G1209" t="s">
        <v>830</v>
      </c>
      <c r="H1209" t="s">
        <v>831</v>
      </c>
      <c r="I1209" t="s">
        <v>722</v>
      </c>
      <c r="J1209" t="s">
        <v>721</v>
      </c>
      <c r="K1209"/>
      <c r="L1209"/>
      <c r="M1209" t="s">
        <v>847</v>
      </c>
      <c r="N1209" t="s">
        <v>848</v>
      </c>
      <c r="O1209"/>
      <c r="P1209" t="e">
        <f>VLOOKUP(N1209,#REF!,2,FALSE)</f>
        <v>#REF!</v>
      </c>
      <c r="Q1209" t="s">
        <v>858</v>
      </c>
      <c r="R1209" s="345">
        <v>24.73</v>
      </c>
    </row>
    <row r="1210" spans="1:18" x14ac:dyDescent="0.2">
      <c r="A1210" s="344" t="s">
        <v>749</v>
      </c>
      <c r="B1210" t="s">
        <v>827</v>
      </c>
      <c r="C1210" t="s">
        <v>823</v>
      </c>
      <c r="D1210" t="s">
        <v>746</v>
      </c>
      <c r="E1210" t="s">
        <v>829</v>
      </c>
      <c r="F1210" t="s">
        <v>803</v>
      </c>
      <c r="G1210" t="s">
        <v>830</v>
      </c>
      <c r="H1210" t="s">
        <v>831</v>
      </c>
      <c r="I1210" t="s">
        <v>722</v>
      </c>
      <c r="J1210" t="s">
        <v>721</v>
      </c>
      <c r="K1210"/>
      <c r="L1210"/>
      <c r="M1210" t="s">
        <v>847</v>
      </c>
      <c r="N1210" t="s">
        <v>848</v>
      </c>
      <c r="O1210"/>
      <c r="P1210" t="e">
        <f>VLOOKUP(N1210,#REF!,2,FALSE)</f>
        <v>#REF!</v>
      </c>
      <c r="Q1210" t="s">
        <v>891</v>
      </c>
      <c r="R1210" s="345">
        <v>-9.86</v>
      </c>
    </row>
    <row r="1211" spans="1:18" x14ac:dyDescent="0.2">
      <c r="A1211" s="344" t="s">
        <v>752</v>
      </c>
      <c r="B1211" t="s">
        <v>827</v>
      </c>
      <c r="C1211" t="s">
        <v>823</v>
      </c>
      <c r="D1211" t="s">
        <v>746</v>
      </c>
      <c r="E1211" t="s">
        <v>829</v>
      </c>
      <c r="F1211" t="s">
        <v>803</v>
      </c>
      <c r="G1211" t="s">
        <v>830</v>
      </c>
      <c r="H1211" t="s">
        <v>831</v>
      </c>
      <c r="I1211" t="s">
        <v>722</v>
      </c>
      <c r="J1211" t="s">
        <v>721</v>
      </c>
      <c r="K1211"/>
      <c r="L1211"/>
      <c r="M1211" t="s">
        <v>847</v>
      </c>
      <c r="N1211" t="s">
        <v>848</v>
      </c>
      <c r="O1211"/>
      <c r="P1211" t="e">
        <f>VLOOKUP(N1211,#REF!,2,FALSE)</f>
        <v>#REF!</v>
      </c>
      <c r="Q1211" t="s">
        <v>891</v>
      </c>
      <c r="R1211" s="345">
        <v>-4.93</v>
      </c>
    </row>
    <row r="1212" spans="1:18" x14ac:dyDescent="0.2">
      <c r="A1212" s="344" t="s">
        <v>753</v>
      </c>
      <c r="B1212" t="s">
        <v>827</v>
      </c>
      <c r="C1212" t="s">
        <v>823</v>
      </c>
      <c r="D1212" t="s">
        <v>746</v>
      </c>
      <c r="E1212" t="s">
        <v>829</v>
      </c>
      <c r="F1212" t="s">
        <v>803</v>
      </c>
      <c r="G1212" t="s">
        <v>830</v>
      </c>
      <c r="H1212" t="s">
        <v>831</v>
      </c>
      <c r="I1212" t="s">
        <v>722</v>
      </c>
      <c r="J1212" t="s">
        <v>721</v>
      </c>
      <c r="K1212"/>
      <c r="L1212"/>
      <c r="M1212" t="s">
        <v>847</v>
      </c>
      <c r="N1212" t="s">
        <v>848</v>
      </c>
      <c r="O1212"/>
      <c r="P1212" t="e">
        <f>VLOOKUP(N1212,#REF!,2,FALSE)</f>
        <v>#REF!</v>
      </c>
      <c r="Q1212" t="s">
        <v>891</v>
      </c>
      <c r="R1212" s="345">
        <v>0</v>
      </c>
    </row>
    <row r="1213" spans="1:18" x14ac:dyDescent="0.2">
      <c r="A1213" s="344" t="s">
        <v>755</v>
      </c>
      <c r="B1213" t="s">
        <v>827</v>
      </c>
      <c r="C1213" t="s">
        <v>823</v>
      </c>
      <c r="D1213" t="s">
        <v>746</v>
      </c>
      <c r="E1213" t="s">
        <v>829</v>
      </c>
      <c r="F1213" t="s">
        <v>803</v>
      </c>
      <c r="G1213" t="s">
        <v>830</v>
      </c>
      <c r="H1213" t="s">
        <v>831</v>
      </c>
      <c r="I1213" t="s">
        <v>722</v>
      </c>
      <c r="J1213" t="s">
        <v>721</v>
      </c>
      <c r="K1213"/>
      <c r="L1213"/>
      <c r="M1213" t="s">
        <v>847</v>
      </c>
      <c r="N1213" t="s">
        <v>848</v>
      </c>
      <c r="O1213"/>
      <c r="P1213" t="e">
        <f>VLOOKUP(N1213,#REF!,2,FALSE)</f>
        <v>#REF!</v>
      </c>
      <c r="Q1213" t="s">
        <v>891</v>
      </c>
      <c r="R1213" s="345">
        <v>-4.9400000000000004</v>
      </c>
    </row>
    <row r="1214" spans="1:18" x14ac:dyDescent="0.2">
      <c r="A1214" s="344" t="s">
        <v>756</v>
      </c>
      <c r="B1214" t="s">
        <v>827</v>
      </c>
      <c r="C1214" t="s">
        <v>823</v>
      </c>
      <c r="D1214" t="s">
        <v>746</v>
      </c>
      <c r="E1214" t="s">
        <v>829</v>
      </c>
      <c r="F1214" t="s">
        <v>803</v>
      </c>
      <c r="G1214" t="s">
        <v>830</v>
      </c>
      <c r="H1214" t="s">
        <v>831</v>
      </c>
      <c r="I1214" t="s">
        <v>722</v>
      </c>
      <c r="J1214" t="s">
        <v>721</v>
      </c>
      <c r="K1214"/>
      <c r="L1214"/>
      <c r="M1214" t="s">
        <v>847</v>
      </c>
      <c r="N1214" t="s">
        <v>848</v>
      </c>
      <c r="O1214"/>
      <c r="P1214" t="e">
        <f>VLOOKUP(N1214,#REF!,2,FALSE)</f>
        <v>#REF!</v>
      </c>
      <c r="Q1214" t="s">
        <v>891</v>
      </c>
      <c r="R1214" s="345">
        <v>0</v>
      </c>
    </row>
    <row r="1215" spans="1:18" x14ac:dyDescent="0.2">
      <c r="A1215" s="344" t="s">
        <v>757</v>
      </c>
      <c r="B1215" t="s">
        <v>827</v>
      </c>
      <c r="C1215" t="s">
        <v>823</v>
      </c>
      <c r="D1215" t="s">
        <v>746</v>
      </c>
      <c r="E1215" t="s">
        <v>829</v>
      </c>
      <c r="F1215" t="s">
        <v>803</v>
      </c>
      <c r="G1215" t="s">
        <v>830</v>
      </c>
      <c r="H1215" t="s">
        <v>831</v>
      </c>
      <c r="I1215" t="s">
        <v>722</v>
      </c>
      <c r="J1215" t="s">
        <v>721</v>
      </c>
      <c r="K1215"/>
      <c r="L1215"/>
      <c r="M1215" t="s">
        <v>847</v>
      </c>
      <c r="N1215" t="s">
        <v>848</v>
      </c>
      <c r="O1215"/>
      <c r="P1215" t="e">
        <f>VLOOKUP(N1215,#REF!,2,FALSE)</f>
        <v>#REF!</v>
      </c>
      <c r="Q1215" t="s">
        <v>891</v>
      </c>
      <c r="R1215" s="345">
        <v>-4.95</v>
      </c>
    </row>
    <row r="1216" spans="1:18" x14ac:dyDescent="0.2">
      <c r="A1216" s="344" t="s">
        <v>758</v>
      </c>
      <c r="B1216" t="s">
        <v>827</v>
      </c>
      <c r="C1216" t="s">
        <v>823</v>
      </c>
      <c r="D1216" t="s">
        <v>746</v>
      </c>
      <c r="E1216" t="s">
        <v>829</v>
      </c>
      <c r="F1216" t="s">
        <v>803</v>
      </c>
      <c r="G1216" t="s">
        <v>830</v>
      </c>
      <c r="H1216" t="s">
        <v>831</v>
      </c>
      <c r="I1216" t="s">
        <v>722</v>
      </c>
      <c r="J1216" t="s">
        <v>721</v>
      </c>
      <c r="K1216"/>
      <c r="L1216"/>
      <c r="M1216" t="s">
        <v>847</v>
      </c>
      <c r="N1216" t="s">
        <v>848</v>
      </c>
      <c r="O1216"/>
      <c r="P1216" t="e">
        <f>VLOOKUP(N1216,#REF!,2,FALSE)</f>
        <v>#REF!</v>
      </c>
      <c r="Q1216" t="s">
        <v>891</v>
      </c>
      <c r="R1216" s="345">
        <v>-9.9</v>
      </c>
    </row>
    <row r="1217" spans="1:18" x14ac:dyDescent="0.2">
      <c r="A1217" s="344" t="s">
        <v>759</v>
      </c>
      <c r="B1217" t="s">
        <v>827</v>
      </c>
      <c r="C1217" t="s">
        <v>823</v>
      </c>
      <c r="D1217" t="s">
        <v>746</v>
      </c>
      <c r="E1217" t="s">
        <v>829</v>
      </c>
      <c r="F1217" t="s">
        <v>803</v>
      </c>
      <c r="G1217" t="s">
        <v>830</v>
      </c>
      <c r="H1217" t="s">
        <v>831</v>
      </c>
      <c r="I1217" t="s">
        <v>722</v>
      </c>
      <c r="J1217" t="s">
        <v>721</v>
      </c>
      <c r="K1217"/>
      <c r="L1217"/>
      <c r="M1217" t="s">
        <v>847</v>
      </c>
      <c r="N1217" t="s">
        <v>848</v>
      </c>
      <c r="O1217"/>
      <c r="P1217" t="e">
        <f>VLOOKUP(N1217,#REF!,2,FALSE)</f>
        <v>#REF!</v>
      </c>
      <c r="Q1217" t="s">
        <v>891</v>
      </c>
      <c r="R1217" s="345">
        <v>-24.76</v>
      </c>
    </row>
    <row r="1218" spans="1:18" x14ac:dyDescent="0.2">
      <c r="A1218" s="344" t="s">
        <v>743</v>
      </c>
      <c r="B1218" t="s">
        <v>827</v>
      </c>
      <c r="C1218" t="s">
        <v>823</v>
      </c>
      <c r="D1218" t="s">
        <v>746</v>
      </c>
      <c r="E1218" t="s">
        <v>829</v>
      </c>
      <c r="F1218" t="s">
        <v>803</v>
      </c>
      <c r="G1218" t="s">
        <v>830</v>
      </c>
      <c r="H1218" t="s">
        <v>831</v>
      </c>
      <c r="I1218" t="s">
        <v>722</v>
      </c>
      <c r="J1218" t="s">
        <v>721</v>
      </c>
      <c r="K1218"/>
      <c r="L1218"/>
      <c r="M1218" t="s">
        <v>847</v>
      </c>
      <c r="N1218" t="s">
        <v>848</v>
      </c>
      <c r="O1218"/>
      <c r="P1218" t="e">
        <f>VLOOKUP(N1218,#REF!,2,FALSE)</f>
        <v>#REF!</v>
      </c>
      <c r="Q1218" t="s">
        <v>891</v>
      </c>
      <c r="R1218" s="345">
        <v>-5</v>
      </c>
    </row>
    <row r="1219" spans="1:18" x14ac:dyDescent="0.2">
      <c r="A1219" s="344" t="s">
        <v>760</v>
      </c>
      <c r="B1219" t="s">
        <v>827</v>
      </c>
      <c r="C1219" t="s">
        <v>823</v>
      </c>
      <c r="D1219" t="s">
        <v>746</v>
      </c>
      <c r="E1219" t="s">
        <v>829</v>
      </c>
      <c r="F1219" t="s">
        <v>803</v>
      </c>
      <c r="G1219" t="s">
        <v>830</v>
      </c>
      <c r="H1219" t="s">
        <v>831</v>
      </c>
      <c r="I1219" t="s">
        <v>722</v>
      </c>
      <c r="J1219" t="s">
        <v>721</v>
      </c>
      <c r="K1219"/>
      <c r="L1219"/>
      <c r="M1219" t="s">
        <v>847</v>
      </c>
      <c r="N1219" t="s">
        <v>848</v>
      </c>
      <c r="O1219"/>
      <c r="P1219" t="e">
        <f>VLOOKUP(N1219,#REF!,2,FALSE)</f>
        <v>#REF!</v>
      </c>
      <c r="Q1219" t="s">
        <v>891</v>
      </c>
      <c r="R1219" s="345">
        <v>-15</v>
      </c>
    </row>
    <row r="1220" spans="1:18" x14ac:dyDescent="0.2">
      <c r="A1220" s="344" t="s">
        <v>745</v>
      </c>
      <c r="B1220" t="s">
        <v>827</v>
      </c>
      <c r="C1220" t="s">
        <v>823</v>
      </c>
      <c r="D1220" t="s">
        <v>746</v>
      </c>
      <c r="E1220" t="s">
        <v>829</v>
      </c>
      <c r="F1220" t="s">
        <v>803</v>
      </c>
      <c r="G1220" t="s">
        <v>830</v>
      </c>
      <c r="H1220" t="s">
        <v>831</v>
      </c>
      <c r="I1220" t="s">
        <v>722</v>
      </c>
      <c r="J1220" t="s">
        <v>721</v>
      </c>
      <c r="K1220"/>
      <c r="L1220"/>
      <c r="M1220" t="s">
        <v>847</v>
      </c>
      <c r="N1220" t="s">
        <v>848</v>
      </c>
      <c r="O1220"/>
      <c r="P1220" t="e">
        <f>VLOOKUP(N1220,#REF!,2,FALSE)</f>
        <v>#REF!</v>
      </c>
      <c r="Q1220" t="s">
        <v>891</v>
      </c>
      <c r="R1220" s="345">
        <v>-7.5</v>
      </c>
    </row>
    <row r="1221" spans="1:18" x14ac:dyDescent="0.2">
      <c r="A1221" s="344" t="s">
        <v>749</v>
      </c>
      <c r="B1221" t="s">
        <v>827</v>
      </c>
      <c r="C1221" t="s">
        <v>823</v>
      </c>
      <c r="D1221" t="s">
        <v>746</v>
      </c>
      <c r="E1221" t="s">
        <v>829</v>
      </c>
      <c r="F1221" t="s">
        <v>803</v>
      </c>
      <c r="G1221" t="s">
        <v>830</v>
      </c>
      <c r="H1221" t="s">
        <v>831</v>
      </c>
      <c r="I1221" t="s">
        <v>722</v>
      </c>
      <c r="J1221" t="s">
        <v>721</v>
      </c>
      <c r="K1221"/>
      <c r="L1221"/>
      <c r="M1221" t="s">
        <v>847</v>
      </c>
      <c r="N1221" t="s">
        <v>848</v>
      </c>
      <c r="O1221"/>
      <c r="P1221" t="e">
        <f>VLOOKUP(N1221,#REF!,2,FALSE)</f>
        <v>#REF!</v>
      </c>
      <c r="Q1221" t="s">
        <v>859</v>
      </c>
      <c r="R1221" s="345">
        <v>-1479.18</v>
      </c>
    </row>
    <row r="1222" spans="1:18" x14ac:dyDescent="0.2">
      <c r="A1222" s="344" t="s">
        <v>752</v>
      </c>
      <c r="B1222" t="s">
        <v>827</v>
      </c>
      <c r="C1222" t="s">
        <v>823</v>
      </c>
      <c r="D1222" t="s">
        <v>746</v>
      </c>
      <c r="E1222" t="s">
        <v>829</v>
      </c>
      <c r="F1222" t="s">
        <v>803</v>
      </c>
      <c r="G1222" t="s">
        <v>830</v>
      </c>
      <c r="H1222" t="s">
        <v>831</v>
      </c>
      <c r="I1222" t="s">
        <v>722</v>
      </c>
      <c r="J1222" t="s">
        <v>721</v>
      </c>
      <c r="K1222"/>
      <c r="L1222"/>
      <c r="M1222" t="s">
        <v>847</v>
      </c>
      <c r="N1222" t="s">
        <v>848</v>
      </c>
      <c r="O1222"/>
      <c r="P1222" t="e">
        <f>VLOOKUP(N1222,#REF!,2,FALSE)</f>
        <v>#REF!</v>
      </c>
      <c r="Q1222" t="s">
        <v>859</v>
      </c>
      <c r="R1222" s="345">
        <v>0</v>
      </c>
    </row>
    <row r="1223" spans="1:18" x14ac:dyDescent="0.2">
      <c r="A1223" s="344" t="s">
        <v>754</v>
      </c>
      <c r="B1223" t="s">
        <v>827</v>
      </c>
      <c r="C1223" t="s">
        <v>823</v>
      </c>
      <c r="D1223" t="s">
        <v>746</v>
      </c>
      <c r="E1223" t="s">
        <v>829</v>
      </c>
      <c r="F1223" t="s">
        <v>803</v>
      </c>
      <c r="G1223" t="s">
        <v>830</v>
      </c>
      <c r="H1223" t="s">
        <v>831</v>
      </c>
      <c r="I1223" t="s">
        <v>722</v>
      </c>
      <c r="J1223" t="s">
        <v>721</v>
      </c>
      <c r="K1223"/>
      <c r="L1223"/>
      <c r="M1223" t="s">
        <v>847</v>
      </c>
      <c r="N1223" t="s">
        <v>848</v>
      </c>
      <c r="O1223"/>
      <c r="P1223" t="e">
        <f>VLOOKUP(N1223,#REF!,2,FALSE)</f>
        <v>#REF!</v>
      </c>
      <c r="Q1223" t="s">
        <v>859</v>
      </c>
      <c r="R1223" s="345">
        <v>-1976.52</v>
      </c>
    </row>
    <row r="1224" spans="1:18" x14ac:dyDescent="0.2">
      <c r="A1224" s="344" t="s">
        <v>755</v>
      </c>
      <c r="B1224" t="s">
        <v>827</v>
      </c>
      <c r="C1224" t="s">
        <v>823</v>
      </c>
      <c r="D1224" t="s">
        <v>746</v>
      </c>
      <c r="E1224" t="s">
        <v>829</v>
      </c>
      <c r="F1224" t="s">
        <v>803</v>
      </c>
      <c r="G1224" t="s">
        <v>830</v>
      </c>
      <c r="H1224" t="s">
        <v>831</v>
      </c>
      <c r="I1224" t="s">
        <v>722</v>
      </c>
      <c r="J1224" t="s">
        <v>721</v>
      </c>
      <c r="K1224"/>
      <c r="L1224"/>
      <c r="M1224" t="s">
        <v>847</v>
      </c>
      <c r="N1224" t="s">
        <v>848</v>
      </c>
      <c r="O1224"/>
      <c r="P1224" t="e">
        <f>VLOOKUP(N1224,#REF!,2,FALSE)</f>
        <v>#REF!</v>
      </c>
      <c r="Q1224" t="s">
        <v>859</v>
      </c>
      <c r="R1224" s="345">
        <v>-4027.11</v>
      </c>
    </row>
    <row r="1225" spans="1:18" x14ac:dyDescent="0.2">
      <c r="A1225" s="344" t="s">
        <v>756</v>
      </c>
      <c r="B1225" t="s">
        <v>827</v>
      </c>
      <c r="C1225" t="s">
        <v>823</v>
      </c>
      <c r="D1225" t="s">
        <v>746</v>
      </c>
      <c r="E1225" t="s">
        <v>829</v>
      </c>
      <c r="F1225" t="s">
        <v>803</v>
      </c>
      <c r="G1225" t="s">
        <v>830</v>
      </c>
      <c r="H1225" t="s">
        <v>831</v>
      </c>
      <c r="I1225" t="s">
        <v>722</v>
      </c>
      <c r="J1225" t="s">
        <v>721</v>
      </c>
      <c r="K1225"/>
      <c r="L1225"/>
      <c r="M1225" t="s">
        <v>847</v>
      </c>
      <c r="N1225" t="s">
        <v>848</v>
      </c>
      <c r="O1225"/>
      <c r="P1225" t="e">
        <f>VLOOKUP(N1225,#REF!,2,FALSE)</f>
        <v>#REF!</v>
      </c>
      <c r="Q1225" t="s">
        <v>859</v>
      </c>
      <c r="R1225" s="345">
        <v>0</v>
      </c>
    </row>
    <row r="1226" spans="1:18" x14ac:dyDescent="0.2">
      <c r="A1226" s="344" t="s">
        <v>757</v>
      </c>
      <c r="B1226" t="s">
        <v>827</v>
      </c>
      <c r="C1226" t="s">
        <v>823</v>
      </c>
      <c r="D1226" t="s">
        <v>746</v>
      </c>
      <c r="E1226" t="s">
        <v>829</v>
      </c>
      <c r="F1226" t="s">
        <v>803</v>
      </c>
      <c r="G1226" t="s">
        <v>830</v>
      </c>
      <c r="H1226" t="s">
        <v>831</v>
      </c>
      <c r="I1226" t="s">
        <v>722</v>
      </c>
      <c r="J1226" t="s">
        <v>721</v>
      </c>
      <c r="K1226"/>
      <c r="L1226"/>
      <c r="M1226" t="s">
        <v>847</v>
      </c>
      <c r="N1226" t="s">
        <v>848</v>
      </c>
      <c r="O1226"/>
      <c r="P1226" t="e">
        <f>VLOOKUP(N1226,#REF!,2,FALSE)</f>
        <v>#REF!</v>
      </c>
      <c r="Q1226" t="s">
        <v>859</v>
      </c>
      <c r="R1226" s="345">
        <v>-14905.47</v>
      </c>
    </row>
    <row r="1227" spans="1:18" x14ac:dyDescent="0.2">
      <c r="A1227" s="344" t="s">
        <v>758</v>
      </c>
      <c r="B1227" t="s">
        <v>827</v>
      </c>
      <c r="C1227" t="s">
        <v>823</v>
      </c>
      <c r="D1227" t="s">
        <v>746</v>
      </c>
      <c r="E1227" t="s">
        <v>829</v>
      </c>
      <c r="F1227" t="s">
        <v>803</v>
      </c>
      <c r="G1227" t="s">
        <v>830</v>
      </c>
      <c r="H1227" t="s">
        <v>831</v>
      </c>
      <c r="I1227" t="s">
        <v>722</v>
      </c>
      <c r="J1227" t="s">
        <v>721</v>
      </c>
      <c r="K1227"/>
      <c r="L1227"/>
      <c r="M1227" t="s">
        <v>847</v>
      </c>
      <c r="N1227" t="s">
        <v>848</v>
      </c>
      <c r="O1227"/>
      <c r="P1227" t="e">
        <f>VLOOKUP(N1227,#REF!,2,FALSE)</f>
        <v>#REF!</v>
      </c>
      <c r="Q1227" t="s">
        <v>859</v>
      </c>
      <c r="R1227" s="345">
        <v>-13862.83</v>
      </c>
    </row>
    <row r="1228" spans="1:18" x14ac:dyDescent="0.2">
      <c r="A1228" s="344" t="s">
        <v>759</v>
      </c>
      <c r="B1228" t="s">
        <v>827</v>
      </c>
      <c r="C1228" t="s">
        <v>823</v>
      </c>
      <c r="D1228" t="s">
        <v>746</v>
      </c>
      <c r="E1228" t="s">
        <v>829</v>
      </c>
      <c r="F1228" t="s">
        <v>803</v>
      </c>
      <c r="G1228" t="s">
        <v>830</v>
      </c>
      <c r="H1228" t="s">
        <v>831</v>
      </c>
      <c r="I1228" t="s">
        <v>722</v>
      </c>
      <c r="J1228" t="s">
        <v>721</v>
      </c>
      <c r="K1228"/>
      <c r="L1228"/>
      <c r="M1228" t="s">
        <v>847</v>
      </c>
      <c r="N1228" t="s">
        <v>848</v>
      </c>
      <c r="O1228"/>
      <c r="P1228" t="e">
        <f>VLOOKUP(N1228,#REF!,2,FALSE)</f>
        <v>#REF!</v>
      </c>
      <c r="Q1228" t="s">
        <v>859</v>
      </c>
      <c r="R1228" s="345">
        <v>-14679.36</v>
      </c>
    </row>
    <row r="1229" spans="1:18" x14ac:dyDescent="0.2">
      <c r="A1229" s="344" t="s">
        <v>743</v>
      </c>
      <c r="B1229" t="s">
        <v>827</v>
      </c>
      <c r="C1229" t="s">
        <v>823</v>
      </c>
      <c r="D1229" t="s">
        <v>746</v>
      </c>
      <c r="E1229" t="s">
        <v>829</v>
      </c>
      <c r="F1229" t="s">
        <v>803</v>
      </c>
      <c r="G1229" t="s">
        <v>830</v>
      </c>
      <c r="H1229" t="s">
        <v>831</v>
      </c>
      <c r="I1229" t="s">
        <v>722</v>
      </c>
      <c r="J1229" t="s">
        <v>721</v>
      </c>
      <c r="K1229"/>
      <c r="L1229"/>
      <c r="M1229" t="s">
        <v>847</v>
      </c>
      <c r="N1229" t="s">
        <v>848</v>
      </c>
      <c r="O1229"/>
      <c r="P1229" t="e">
        <f>VLOOKUP(N1229,#REF!,2,FALSE)</f>
        <v>#REF!</v>
      </c>
      <c r="Q1229" t="s">
        <v>859</v>
      </c>
      <c r="R1229" s="345">
        <v>0</v>
      </c>
    </row>
    <row r="1230" spans="1:18" x14ac:dyDescent="0.2">
      <c r="A1230" s="344" t="s">
        <v>760</v>
      </c>
      <c r="B1230" t="s">
        <v>827</v>
      </c>
      <c r="C1230" t="s">
        <v>823</v>
      </c>
      <c r="D1230" t="s">
        <v>746</v>
      </c>
      <c r="E1230" t="s">
        <v>829</v>
      </c>
      <c r="F1230" t="s">
        <v>803</v>
      </c>
      <c r="G1230" t="s">
        <v>830</v>
      </c>
      <c r="H1230" t="s">
        <v>831</v>
      </c>
      <c r="I1230" t="s">
        <v>722</v>
      </c>
      <c r="J1230" t="s">
        <v>721</v>
      </c>
      <c r="K1230"/>
      <c r="L1230"/>
      <c r="M1230" t="s">
        <v>847</v>
      </c>
      <c r="N1230" t="s">
        <v>848</v>
      </c>
      <c r="O1230"/>
      <c r="P1230" t="e">
        <f>VLOOKUP(N1230,#REF!,2,FALSE)</f>
        <v>#REF!</v>
      </c>
      <c r="Q1230" t="s">
        <v>859</v>
      </c>
      <c r="R1230" s="345">
        <v>-10.25</v>
      </c>
    </row>
    <row r="1231" spans="1:18" x14ac:dyDescent="0.2">
      <c r="A1231" s="344" t="s">
        <v>745</v>
      </c>
      <c r="B1231" t="s">
        <v>827</v>
      </c>
      <c r="C1231" t="s">
        <v>823</v>
      </c>
      <c r="D1231" t="s">
        <v>746</v>
      </c>
      <c r="E1231" t="s">
        <v>829</v>
      </c>
      <c r="F1231" t="s">
        <v>803</v>
      </c>
      <c r="G1231" t="s">
        <v>830</v>
      </c>
      <c r="H1231" t="s">
        <v>831</v>
      </c>
      <c r="I1231" t="s">
        <v>722</v>
      </c>
      <c r="J1231" t="s">
        <v>721</v>
      </c>
      <c r="K1231"/>
      <c r="L1231"/>
      <c r="M1231" t="s">
        <v>847</v>
      </c>
      <c r="N1231" t="s">
        <v>848</v>
      </c>
      <c r="O1231"/>
      <c r="P1231" t="e">
        <f>VLOOKUP(N1231,#REF!,2,FALSE)</f>
        <v>#REF!</v>
      </c>
      <c r="Q1231" t="s">
        <v>859</v>
      </c>
      <c r="R1231" s="345">
        <v>-2449.12</v>
      </c>
    </row>
    <row r="1232" spans="1:18" x14ac:dyDescent="0.2">
      <c r="A1232" s="344" t="s">
        <v>749</v>
      </c>
      <c r="B1232" t="s">
        <v>827</v>
      </c>
      <c r="C1232" t="s">
        <v>823</v>
      </c>
      <c r="D1232" t="s">
        <v>746</v>
      </c>
      <c r="E1232" t="s">
        <v>829</v>
      </c>
      <c r="F1232" t="s">
        <v>803</v>
      </c>
      <c r="G1232" t="s">
        <v>830</v>
      </c>
      <c r="H1232" t="s">
        <v>831</v>
      </c>
      <c r="I1232" t="s">
        <v>722</v>
      </c>
      <c r="J1232" t="s">
        <v>721</v>
      </c>
      <c r="K1232"/>
      <c r="L1232"/>
      <c r="M1232" t="s">
        <v>847</v>
      </c>
      <c r="N1232" t="s">
        <v>848</v>
      </c>
      <c r="O1232"/>
      <c r="P1232" t="e">
        <f>VLOOKUP(N1232,#REF!,2,FALSE)</f>
        <v>#REF!</v>
      </c>
      <c r="Q1232" t="s">
        <v>875</v>
      </c>
      <c r="R1232" s="345">
        <v>-13120.94</v>
      </c>
    </row>
    <row r="1233" spans="1:18" x14ac:dyDescent="0.2">
      <c r="A1233" s="344" t="s">
        <v>752</v>
      </c>
      <c r="B1233" t="s">
        <v>827</v>
      </c>
      <c r="C1233" t="s">
        <v>823</v>
      </c>
      <c r="D1233" t="s">
        <v>746</v>
      </c>
      <c r="E1233" t="s">
        <v>829</v>
      </c>
      <c r="F1233" t="s">
        <v>803</v>
      </c>
      <c r="G1233" t="s">
        <v>830</v>
      </c>
      <c r="H1233" t="s">
        <v>831</v>
      </c>
      <c r="I1233" t="s">
        <v>722</v>
      </c>
      <c r="J1233" t="s">
        <v>721</v>
      </c>
      <c r="K1233"/>
      <c r="L1233"/>
      <c r="M1233" t="s">
        <v>847</v>
      </c>
      <c r="N1233" t="s">
        <v>848</v>
      </c>
      <c r="O1233"/>
      <c r="P1233" t="e">
        <f>VLOOKUP(N1233,#REF!,2,FALSE)</f>
        <v>#REF!</v>
      </c>
      <c r="Q1233" t="s">
        <v>875</v>
      </c>
      <c r="R1233" s="345">
        <v>-2137.85</v>
      </c>
    </row>
    <row r="1234" spans="1:18" x14ac:dyDescent="0.2">
      <c r="A1234" s="344" t="s">
        <v>753</v>
      </c>
      <c r="B1234" t="s">
        <v>827</v>
      </c>
      <c r="C1234" t="s">
        <v>823</v>
      </c>
      <c r="D1234" t="s">
        <v>746</v>
      </c>
      <c r="E1234" t="s">
        <v>829</v>
      </c>
      <c r="F1234" t="s">
        <v>803</v>
      </c>
      <c r="G1234" t="s">
        <v>830</v>
      </c>
      <c r="H1234" t="s">
        <v>831</v>
      </c>
      <c r="I1234" t="s">
        <v>722</v>
      </c>
      <c r="J1234" t="s">
        <v>721</v>
      </c>
      <c r="K1234"/>
      <c r="L1234"/>
      <c r="M1234" t="s">
        <v>847</v>
      </c>
      <c r="N1234" t="s">
        <v>848</v>
      </c>
      <c r="O1234"/>
      <c r="P1234" t="e">
        <f>VLOOKUP(N1234,#REF!,2,FALSE)</f>
        <v>#REF!</v>
      </c>
      <c r="Q1234" t="s">
        <v>875</v>
      </c>
      <c r="R1234" s="345">
        <v>-3911.33</v>
      </c>
    </row>
    <row r="1235" spans="1:18" x14ac:dyDescent="0.2">
      <c r="A1235" s="344" t="s">
        <v>754</v>
      </c>
      <c r="B1235" t="s">
        <v>827</v>
      </c>
      <c r="C1235" t="s">
        <v>823</v>
      </c>
      <c r="D1235" t="s">
        <v>746</v>
      </c>
      <c r="E1235" t="s">
        <v>829</v>
      </c>
      <c r="F1235" t="s">
        <v>803</v>
      </c>
      <c r="G1235" t="s">
        <v>830</v>
      </c>
      <c r="H1235" t="s">
        <v>831</v>
      </c>
      <c r="I1235" t="s">
        <v>722</v>
      </c>
      <c r="J1235" t="s">
        <v>721</v>
      </c>
      <c r="K1235"/>
      <c r="L1235"/>
      <c r="M1235" t="s">
        <v>847</v>
      </c>
      <c r="N1235" t="s">
        <v>848</v>
      </c>
      <c r="O1235"/>
      <c r="P1235" t="e">
        <f>VLOOKUP(N1235,#REF!,2,FALSE)</f>
        <v>#REF!</v>
      </c>
      <c r="Q1235" t="s">
        <v>875</v>
      </c>
      <c r="R1235" s="345">
        <v>-32668.22</v>
      </c>
    </row>
    <row r="1236" spans="1:18" x14ac:dyDescent="0.2">
      <c r="A1236" s="344" t="s">
        <v>755</v>
      </c>
      <c r="B1236" t="s">
        <v>827</v>
      </c>
      <c r="C1236" t="s">
        <v>823</v>
      </c>
      <c r="D1236" t="s">
        <v>746</v>
      </c>
      <c r="E1236" t="s">
        <v>829</v>
      </c>
      <c r="F1236" t="s">
        <v>803</v>
      </c>
      <c r="G1236" t="s">
        <v>830</v>
      </c>
      <c r="H1236" t="s">
        <v>831</v>
      </c>
      <c r="I1236" t="s">
        <v>722</v>
      </c>
      <c r="J1236" t="s">
        <v>721</v>
      </c>
      <c r="K1236"/>
      <c r="L1236"/>
      <c r="M1236" t="s">
        <v>847</v>
      </c>
      <c r="N1236" t="s">
        <v>848</v>
      </c>
      <c r="O1236"/>
      <c r="P1236" t="e">
        <f>VLOOKUP(N1236,#REF!,2,FALSE)</f>
        <v>#REF!</v>
      </c>
      <c r="Q1236" t="s">
        <v>875</v>
      </c>
      <c r="R1236" s="345">
        <v>-107197.02</v>
      </c>
    </row>
    <row r="1237" spans="1:18" x14ac:dyDescent="0.2">
      <c r="A1237" s="344" t="s">
        <v>756</v>
      </c>
      <c r="B1237" t="s">
        <v>827</v>
      </c>
      <c r="C1237" t="s">
        <v>823</v>
      </c>
      <c r="D1237" t="s">
        <v>746</v>
      </c>
      <c r="E1237" t="s">
        <v>829</v>
      </c>
      <c r="F1237" t="s">
        <v>803</v>
      </c>
      <c r="G1237" t="s">
        <v>830</v>
      </c>
      <c r="H1237" t="s">
        <v>831</v>
      </c>
      <c r="I1237" t="s">
        <v>722</v>
      </c>
      <c r="J1237" t="s">
        <v>721</v>
      </c>
      <c r="K1237"/>
      <c r="L1237"/>
      <c r="M1237" t="s">
        <v>847</v>
      </c>
      <c r="N1237" t="s">
        <v>848</v>
      </c>
      <c r="O1237"/>
      <c r="P1237" t="e">
        <f>VLOOKUP(N1237,#REF!,2,FALSE)</f>
        <v>#REF!</v>
      </c>
      <c r="Q1237" t="s">
        <v>875</v>
      </c>
      <c r="R1237" s="345">
        <v>-84395.41</v>
      </c>
    </row>
    <row r="1238" spans="1:18" x14ac:dyDescent="0.2">
      <c r="A1238" s="344" t="s">
        <v>757</v>
      </c>
      <c r="B1238" t="s">
        <v>827</v>
      </c>
      <c r="C1238" t="s">
        <v>823</v>
      </c>
      <c r="D1238" t="s">
        <v>746</v>
      </c>
      <c r="E1238" t="s">
        <v>829</v>
      </c>
      <c r="F1238" t="s">
        <v>803</v>
      </c>
      <c r="G1238" t="s">
        <v>830</v>
      </c>
      <c r="H1238" t="s">
        <v>831</v>
      </c>
      <c r="I1238" t="s">
        <v>722</v>
      </c>
      <c r="J1238" t="s">
        <v>721</v>
      </c>
      <c r="K1238"/>
      <c r="L1238"/>
      <c r="M1238" t="s">
        <v>847</v>
      </c>
      <c r="N1238" t="s">
        <v>848</v>
      </c>
      <c r="O1238"/>
      <c r="P1238" t="e">
        <f>VLOOKUP(N1238,#REF!,2,FALSE)</f>
        <v>#REF!</v>
      </c>
      <c r="Q1238" t="s">
        <v>875</v>
      </c>
      <c r="R1238" s="345">
        <v>-31801.3</v>
      </c>
    </row>
    <row r="1239" spans="1:18" x14ac:dyDescent="0.2">
      <c r="A1239" s="344" t="s">
        <v>758</v>
      </c>
      <c r="B1239" t="s">
        <v>827</v>
      </c>
      <c r="C1239" t="s">
        <v>823</v>
      </c>
      <c r="D1239" t="s">
        <v>746</v>
      </c>
      <c r="E1239" t="s">
        <v>829</v>
      </c>
      <c r="F1239" t="s">
        <v>803</v>
      </c>
      <c r="G1239" t="s">
        <v>830</v>
      </c>
      <c r="H1239" t="s">
        <v>831</v>
      </c>
      <c r="I1239" t="s">
        <v>722</v>
      </c>
      <c r="J1239" t="s">
        <v>721</v>
      </c>
      <c r="K1239"/>
      <c r="L1239"/>
      <c r="M1239" t="s">
        <v>847</v>
      </c>
      <c r="N1239" t="s">
        <v>848</v>
      </c>
      <c r="O1239"/>
      <c r="P1239" t="e">
        <f>VLOOKUP(N1239,#REF!,2,FALSE)</f>
        <v>#REF!</v>
      </c>
      <c r="Q1239" t="s">
        <v>875</v>
      </c>
      <c r="R1239" s="345">
        <v>-29594.89</v>
      </c>
    </row>
    <row r="1240" spans="1:18" x14ac:dyDescent="0.2">
      <c r="A1240" s="344" t="s">
        <v>759</v>
      </c>
      <c r="B1240" t="s">
        <v>827</v>
      </c>
      <c r="C1240" t="s">
        <v>823</v>
      </c>
      <c r="D1240" t="s">
        <v>746</v>
      </c>
      <c r="E1240" t="s">
        <v>829</v>
      </c>
      <c r="F1240" t="s">
        <v>803</v>
      </c>
      <c r="G1240" t="s">
        <v>830</v>
      </c>
      <c r="H1240" t="s">
        <v>831</v>
      </c>
      <c r="I1240" t="s">
        <v>722</v>
      </c>
      <c r="J1240" t="s">
        <v>721</v>
      </c>
      <c r="K1240"/>
      <c r="L1240"/>
      <c r="M1240" t="s">
        <v>847</v>
      </c>
      <c r="N1240" t="s">
        <v>848</v>
      </c>
      <c r="O1240"/>
      <c r="P1240" t="e">
        <f>VLOOKUP(N1240,#REF!,2,FALSE)</f>
        <v>#REF!</v>
      </c>
      <c r="Q1240" t="s">
        <v>875</v>
      </c>
      <c r="R1240" s="345">
        <v>-49239.03</v>
      </c>
    </row>
    <row r="1241" spans="1:18" x14ac:dyDescent="0.2">
      <c r="A1241" s="344" t="s">
        <v>743</v>
      </c>
      <c r="B1241" t="s">
        <v>827</v>
      </c>
      <c r="C1241" t="s">
        <v>823</v>
      </c>
      <c r="D1241" t="s">
        <v>746</v>
      </c>
      <c r="E1241" t="s">
        <v>829</v>
      </c>
      <c r="F1241" t="s">
        <v>803</v>
      </c>
      <c r="G1241" t="s">
        <v>830</v>
      </c>
      <c r="H1241" t="s">
        <v>831</v>
      </c>
      <c r="I1241" t="s">
        <v>722</v>
      </c>
      <c r="J1241" t="s">
        <v>721</v>
      </c>
      <c r="K1241"/>
      <c r="L1241"/>
      <c r="M1241" t="s">
        <v>847</v>
      </c>
      <c r="N1241" t="s">
        <v>848</v>
      </c>
      <c r="O1241"/>
      <c r="P1241" t="e">
        <f>VLOOKUP(N1241,#REF!,2,FALSE)</f>
        <v>#REF!</v>
      </c>
      <c r="Q1241" t="s">
        <v>875</v>
      </c>
      <c r="R1241" s="345">
        <v>-19869.34</v>
      </c>
    </row>
    <row r="1242" spans="1:18" x14ac:dyDescent="0.2">
      <c r="A1242" s="344" t="s">
        <v>760</v>
      </c>
      <c r="B1242" t="s">
        <v>827</v>
      </c>
      <c r="C1242" t="s">
        <v>823</v>
      </c>
      <c r="D1242" t="s">
        <v>746</v>
      </c>
      <c r="E1242" t="s">
        <v>829</v>
      </c>
      <c r="F1242" t="s">
        <v>803</v>
      </c>
      <c r="G1242" t="s">
        <v>830</v>
      </c>
      <c r="H1242" t="s">
        <v>831</v>
      </c>
      <c r="I1242" t="s">
        <v>722</v>
      </c>
      <c r="J1242" t="s">
        <v>721</v>
      </c>
      <c r="K1242"/>
      <c r="L1242"/>
      <c r="M1242" t="s">
        <v>847</v>
      </c>
      <c r="N1242" t="s">
        <v>848</v>
      </c>
      <c r="O1242"/>
      <c r="P1242" t="e">
        <f>VLOOKUP(N1242,#REF!,2,FALSE)</f>
        <v>#REF!</v>
      </c>
      <c r="Q1242" t="s">
        <v>875</v>
      </c>
      <c r="R1242" s="345">
        <v>-9785.4699999999993</v>
      </c>
    </row>
    <row r="1243" spans="1:18" x14ac:dyDescent="0.2">
      <c r="A1243" s="344" t="s">
        <v>745</v>
      </c>
      <c r="B1243" t="s">
        <v>827</v>
      </c>
      <c r="C1243" t="s">
        <v>823</v>
      </c>
      <c r="D1243" t="s">
        <v>746</v>
      </c>
      <c r="E1243" t="s">
        <v>829</v>
      </c>
      <c r="F1243" t="s">
        <v>803</v>
      </c>
      <c r="G1243" t="s">
        <v>830</v>
      </c>
      <c r="H1243" t="s">
        <v>831</v>
      </c>
      <c r="I1243" t="s">
        <v>722</v>
      </c>
      <c r="J1243" t="s">
        <v>721</v>
      </c>
      <c r="K1243"/>
      <c r="L1243"/>
      <c r="M1243" t="s">
        <v>847</v>
      </c>
      <c r="N1243" t="s">
        <v>848</v>
      </c>
      <c r="O1243"/>
      <c r="P1243" t="e">
        <f>VLOOKUP(N1243,#REF!,2,FALSE)</f>
        <v>#REF!</v>
      </c>
      <c r="Q1243" t="s">
        <v>875</v>
      </c>
      <c r="R1243" s="345">
        <v>-21364.13</v>
      </c>
    </row>
    <row r="1244" spans="1:18" x14ac:dyDescent="0.2">
      <c r="A1244" s="344" t="s">
        <v>749</v>
      </c>
      <c r="B1244" t="s">
        <v>827</v>
      </c>
      <c r="C1244" t="s">
        <v>823</v>
      </c>
      <c r="D1244" t="s">
        <v>746</v>
      </c>
      <c r="E1244" t="s">
        <v>829</v>
      </c>
      <c r="F1244" t="s">
        <v>803</v>
      </c>
      <c r="G1244" t="s">
        <v>830</v>
      </c>
      <c r="H1244" t="s">
        <v>831</v>
      </c>
      <c r="I1244" t="s">
        <v>722</v>
      </c>
      <c r="J1244" t="s">
        <v>721</v>
      </c>
      <c r="K1244"/>
      <c r="L1244"/>
      <c r="M1244" t="s">
        <v>847</v>
      </c>
      <c r="N1244" t="s">
        <v>848</v>
      </c>
      <c r="O1244"/>
      <c r="P1244" t="e">
        <f>VLOOKUP(N1244,#REF!,2,FALSE)</f>
        <v>#REF!</v>
      </c>
      <c r="Q1244" t="s">
        <v>886</v>
      </c>
      <c r="R1244" s="345">
        <v>-1462.84</v>
      </c>
    </row>
    <row r="1245" spans="1:18" x14ac:dyDescent="0.2">
      <c r="A1245" s="344" t="s">
        <v>752</v>
      </c>
      <c r="B1245" t="s">
        <v>827</v>
      </c>
      <c r="C1245" t="s">
        <v>823</v>
      </c>
      <c r="D1245" t="s">
        <v>746</v>
      </c>
      <c r="E1245" t="s">
        <v>829</v>
      </c>
      <c r="F1245" t="s">
        <v>803</v>
      </c>
      <c r="G1245" t="s">
        <v>830</v>
      </c>
      <c r="H1245" t="s">
        <v>831</v>
      </c>
      <c r="I1245" t="s">
        <v>722</v>
      </c>
      <c r="J1245" t="s">
        <v>721</v>
      </c>
      <c r="K1245"/>
      <c r="L1245"/>
      <c r="M1245" t="s">
        <v>847</v>
      </c>
      <c r="N1245" t="s">
        <v>848</v>
      </c>
      <c r="O1245"/>
      <c r="P1245" t="e">
        <f>VLOOKUP(N1245,#REF!,2,FALSE)</f>
        <v>#REF!</v>
      </c>
      <c r="Q1245" t="s">
        <v>886</v>
      </c>
      <c r="R1245" s="345">
        <v>-104.06</v>
      </c>
    </row>
    <row r="1246" spans="1:18" x14ac:dyDescent="0.2">
      <c r="A1246" s="344" t="s">
        <v>753</v>
      </c>
      <c r="B1246" t="s">
        <v>827</v>
      </c>
      <c r="C1246" t="s">
        <v>823</v>
      </c>
      <c r="D1246" t="s">
        <v>746</v>
      </c>
      <c r="E1246" t="s">
        <v>829</v>
      </c>
      <c r="F1246" t="s">
        <v>803</v>
      </c>
      <c r="G1246" t="s">
        <v>830</v>
      </c>
      <c r="H1246" t="s">
        <v>831</v>
      </c>
      <c r="I1246" t="s">
        <v>722</v>
      </c>
      <c r="J1246" t="s">
        <v>721</v>
      </c>
      <c r="K1246"/>
      <c r="L1246"/>
      <c r="M1246" t="s">
        <v>847</v>
      </c>
      <c r="N1246" t="s">
        <v>848</v>
      </c>
      <c r="O1246"/>
      <c r="P1246" t="e">
        <f>VLOOKUP(N1246,#REF!,2,FALSE)</f>
        <v>#REF!</v>
      </c>
      <c r="Q1246" t="s">
        <v>886</v>
      </c>
      <c r="R1246" s="345">
        <v>0</v>
      </c>
    </row>
    <row r="1247" spans="1:18" x14ac:dyDescent="0.2">
      <c r="A1247" s="344" t="s">
        <v>754</v>
      </c>
      <c r="B1247" t="s">
        <v>827</v>
      </c>
      <c r="C1247" t="s">
        <v>823</v>
      </c>
      <c r="D1247" t="s">
        <v>746</v>
      </c>
      <c r="E1247" t="s">
        <v>829</v>
      </c>
      <c r="F1247" t="s">
        <v>803</v>
      </c>
      <c r="G1247" t="s">
        <v>830</v>
      </c>
      <c r="H1247" t="s">
        <v>831</v>
      </c>
      <c r="I1247" t="s">
        <v>722</v>
      </c>
      <c r="J1247" t="s">
        <v>721</v>
      </c>
      <c r="K1247"/>
      <c r="L1247"/>
      <c r="M1247" t="s">
        <v>847</v>
      </c>
      <c r="N1247" t="s">
        <v>848</v>
      </c>
      <c r="O1247"/>
      <c r="P1247" t="e">
        <f>VLOOKUP(N1247,#REF!,2,FALSE)</f>
        <v>#REF!</v>
      </c>
      <c r="Q1247" t="s">
        <v>886</v>
      </c>
      <c r="R1247" s="345">
        <v>-0.2</v>
      </c>
    </row>
    <row r="1248" spans="1:18" x14ac:dyDescent="0.2">
      <c r="A1248" s="344" t="s">
        <v>755</v>
      </c>
      <c r="B1248" t="s">
        <v>827</v>
      </c>
      <c r="C1248" t="s">
        <v>823</v>
      </c>
      <c r="D1248" t="s">
        <v>746</v>
      </c>
      <c r="E1248" t="s">
        <v>829</v>
      </c>
      <c r="F1248" t="s">
        <v>803</v>
      </c>
      <c r="G1248" t="s">
        <v>830</v>
      </c>
      <c r="H1248" t="s">
        <v>831</v>
      </c>
      <c r="I1248" t="s">
        <v>722</v>
      </c>
      <c r="J1248" t="s">
        <v>721</v>
      </c>
      <c r="K1248"/>
      <c r="L1248"/>
      <c r="M1248" t="s">
        <v>847</v>
      </c>
      <c r="N1248" t="s">
        <v>848</v>
      </c>
      <c r="O1248"/>
      <c r="P1248" t="e">
        <f>VLOOKUP(N1248,#REF!,2,FALSE)</f>
        <v>#REF!</v>
      </c>
      <c r="Q1248" t="s">
        <v>886</v>
      </c>
      <c r="R1248" s="345">
        <v>0.2</v>
      </c>
    </row>
    <row r="1249" spans="1:18" x14ac:dyDescent="0.2">
      <c r="A1249" s="344" t="s">
        <v>749</v>
      </c>
      <c r="B1249" t="s">
        <v>827</v>
      </c>
      <c r="C1249" t="s">
        <v>823</v>
      </c>
      <c r="D1249" t="s">
        <v>746</v>
      </c>
      <c r="E1249" t="s">
        <v>829</v>
      </c>
      <c r="F1249" t="s">
        <v>803</v>
      </c>
      <c r="G1249" t="s">
        <v>830</v>
      </c>
      <c r="H1249" t="s">
        <v>831</v>
      </c>
      <c r="I1249" t="s">
        <v>722</v>
      </c>
      <c r="J1249" t="s">
        <v>721</v>
      </c>
      <c r="K1249"/>
      <c r="L1249"/>
      <c r="M1249" t="s">
        <v>847</v>
      </c>
      <c r="N1249" t="s">
        <v>848</v>
      </c>
      <c r="O1249"/>
      <c r="P1249" t="e">
        <f>VLOOKUP(N1249,#REF!,2,FALSE)</f>
        <v>#REF!</v>
      </c>
      <c r="Q1249" t="s">
        <v>878</v>
      </c>
      <c r="R1249" s="345">
        <v>-5754.58</v>
      </c>
    </row>
    <row r="1250" spans="1:18" x14ac:dyDescent="0.2">
      <c r="A1250" s="344" t="s">
        <v>752</v>
      </c>
      <c r="B1250" t="s">
        <v>827</v>
      </c>
      <c r="C1250" t="s">
        <v>823</v>
      </c>
      <c r="D1250" t="s">
        <v>746</v>
      </c>
      <c r="E1250" t="s">
        <v>829</v>
      </c>
      <c r="F1250" t="s">
        <v>803</v>
      </c>
      <c r="G1250" t="s">
        <v>830</v>
      </c>
      <c r="H1250" t="s">
        <v>831</v>
      </c>
      <c r="I1250" t="s">
        <v>722</v>
      </c>
      <c r="J1250" t="s">
        <v>721</v>
      </c>
      <c r="K1250"/>
      <c r="L1250"/>
      <c r="M1250" t="s">
        <v>847</v>
      </c>
      <c r="N1250" t="s">
        <v>848</v>
      </c>
      <c r="O1250"/>
      <c r="P1250" t="e">
        <f>VLOOKUP(N1250,#REF!,2,FALSE)</f>
        <v>#REF!</v>
      </c>
      <c r="Q1250" t="s">
        <v>878</v>
      </c>
      <c r="R1250" s="345">
        <v>-4672.43</v>
      </c>
    </row>
    <row r="1251" spans="1:18" x14ac:dyDescent="0.2">
      <c r="A1251" s="344" t="s">
        <v>753</v>
      </c>
      <c r="B1251" t="s">
        <v>827</v>
      </c>
      <c r="C1251" t="s">
        <v>823</v>
      </c>
      <c r="D1251" t="s">
        <v>746</v>
      </c>
      <c r="E1251" t="s">
        <v>829</v>
      </c>
      <c r="F1251" t="s">
        <v>803</v>
      </c>
      <c r="G1251" t="s">
        <v>830</v>
      </c>
      <c r="H1251" t="s">
        <v>831</v>
      </c>
      <c r="I1251" t="s">
        <v>722</v>
      </c>
      <c r="J1251" t="s">
        <v>721</v>
      </c>
      <c r="K1251"/>
      <c r="L1251"/>
      <c r="M1251" t="s">
        <v>847</v>
      </c>
      <c r="N1251" t="s">
        <v>848</v>
      </c>
      <c r="O1251"/>
      <c r="P1251" t="e">
        <f>VLOOKUP(N1251,#REF!,2,FALSE)</f>
        <v>#REF!</v>
      </c>
      <c r="Q1251" t="s">
        <v>878</v>
      </c>
      <c r="R1251" s="345">
        <v>-598.99</v>
      </c>
    </row>
    <row r="1252" spans="1:18" x14ac:dyDescent="0.2">
      <c r="A1252" s="344" t="s">
        <v>754</v>
      </c>
      <c r="B1252" t="s">
        <v>827</v>
      </c>
      <c r="C1252" t="s">
        <v>823</v>
      </c>
      <c r="D1252" t="s">
        <v>746</v>
      </c>
      <c r="E1252" t="s">
        <v>829</v>
      </c>
      <c r="F1252" t="s">
        <v>803</v>
      </c>
      <c r="G1252" t="s">
        <v>830</v>
      </c>
      <c r="H1252" t="s">
        <v>831</v>
      </c>
      <c r="I1252" t="s">
        <v>722</v>
      </c>
      <c r="J1252" t="s">
        <v>721</v>
      </c>
      <c r="K1252"/>
      <c r="L1252"/>
      <c r="M1252" t="s">
        <v>847</v>
      </c>
      <c r="N1252" t="s">
        <v>848</v>
      </c>
      <c r="O1252"/>
      <c r="P1252" t="e">
        <f>VLOOKUP(N1252,#REF!,2,FALSE)</f>
        <v>#REF!</v>
      </c>
      <c r="Q1252" t="s">
        <v>878</v>
      </c>
      <c r="R1252" s="345">
        <v>-346.1</v>
      </c>
    </row>
    <row r="1253" spans="1:18" x14ac:dyDescent="0.2">
      <c r="A1253" s="344" t="s">
        <v>755</v>
      </c>
      <c r="B1253" t="s">
        <v>827</v>
      </c>
      <c r="C1253" t="s">
        <v>823</v>
      </c>
      <c r="D1253" t="s">
        <v>746</v>
      </c>
      <c r="E1253" t="s">
        <v>829</v>
      </c>
      <c r="F1253" t="s">
        <v>803</v>
      </c>
      <c r="G1253" t="s">
        <v>830</v>
      </c>
      <c r="H1253" t="s">
        <v>831</v>
      </c>
      <c r="I1253" t="s">
        <v>722</v>
      </c>
      <c r="J1253" t="s">
        <v>721</v>
      </c>
      <c r="K1253"/>
      <c r="L1253"/>
      <c r="M1253" t="s">
        <v>847</v>
      </c>
      <c r="N1253" t="s">
        <v>848</v>
      </c>
      <c r="O1253"/>
      <c r="P1253" t="e">
        <f>VLOOKUP(N1253,#REF!,2,FALSE)</f>
        <v>#REF!</v>
      </c>
      <c r="Q1253" t="s">
        <v>878</v>
      </c>
      <c r="R1253" s="345">
        <v>-146.86000000000001</v>
      </c>
    </row>
    <row r="1254" spans="1:18" x14ac:dyDescent="0.2">
      <c r="A1254" s="344" t="s">
        <v>756</v>
      </c>
      <c r="B1254" t="s">
        <v>827</v>
      </c>
      <c r="C1254" t="s">
        <v>823</v>
      </c>
      <c r="D1254" t="s">
        <v>746</v>
      </c>
      <c r="E1254" t="s">
        <v>829</v>
      </c>
      <c r="F1254" t="s">
        <v>803</v>
      </c>
      <c r="G1254" t="s">
        <v>830</v>
      </c>
      <c r="H1254" t="s">
        <v>831</v>
      </c>
      <c r="I1254" t="s">
        <v>722</v>
      </c>
      <c r="J1254" t="s">
        <v>721</v>
      </c>
      <c r="K1254"/>
      <c r="L1254"/>
      <c r="M1254" t="s">
        <v>847</v>
      </c>
      <c r="N1254" t="s">
        <v>848</v>
      </c>
      <c r="O1254"/>
      <c r="P1254" t="e">
        <f>VLOOKUP(N1254,#REF!,2,FALSE)</f>
        <v>#REF!</v>
      </c>
      <c r="Q1254" t="s">
        <v>878</v>
      </c>
      <c r="R1254" s="345">
        <v>-59.3</v>
      </c>
    </row>
    <row r="1255" spans="1:18" x14ac:dyDescent="0.2">
      <c r="A1255" s="344" t="s">
        <v>757</v>
      </c>
      <c r="B1255" t="s">
        <v>827</v>
      </c>
      <c r="C1255" t="s">
        <v>823</v>
      </c>
      <c r="D1255" t="s">
        <v>746</v>
      </c>
      <c r="E1255" t="s">
        <v>829</v>
      </c>
      <c r="F1255" t="s">
        <v>803</v>
      </c>
      <c r="G1255" t="s">
        <v>830</v>
      </c>
      <c r="H1255" t="s">
        <v>831</v>
      </c>
      <c r="I1255" t="s">
        <v>722</v>
      </c>
      <c r="J1255" t="s">
        <v>721</v>
      </c>
      <c r="K1255"/>
      <c r="L1255"/>
      <c r="M1255" t="s">
        <v>847</v>
      </c>
      <c r="N1255" t="s">
        <v>848</v>
      </c>
      <c r="O1255"/>
      <c r="P1255" t="e">
        <f>VLOOKUP(N1255,#REF!,2,FALSE)</f>
        <v>#REF!</v>
      </c>
      <c r="Q1255" t="s">
        <v>878</v>
      </c>
      <c r="R1255" s="345">
        <v>-325.26</v>
      </c>
    </row>
    <row r="1256" spans="1:18" x14ac:dyDescent="0.2">
      <c r="A1256" s="344" t="s">
        <v>758</v>
      </c>
      <c r="B1256" t="s">
        <v>827</v>
      </c>
      <c r="C1256" t="s">
        <v>823</v>
      </c>
      <c r="D1256" t="s">
        <v>746</v>
      </c>
      <c r="E1256" t="s">
        <v>829</v>
      </c>
      <c r="F1256" t="s">
        <v>803</v>
      </c>
      <c r="G1256" t="s">
        <v>830</v>
      </c>
      <c r="H1256" t="s">
        <v>831</v>
      </c>
      <c r="I1256" t="s">
        <v>722</v>
      </c>
      <c r="J1256" t="s">
        <v>721</v>
      </c>
      <c r="K1256"/>
      <c r="L1256"/>
      <c r="M1256" t="s">
        <v>847</v>
      </c>
      <c r="N1256" t="s">
        <v>848</v>
      </c>
      <c r="O1256"/>
      <c r="P1256" t="e">
        <f>VLOOKUP(N1256,#REF!,2,FALSE)</f>
        <v>#REF!</v>
      </c>
      <c r="Q1256" t="s">
        <v>878</v>
      </c>
      <c r="R1256" s="345">
        <v>-639.03</v>
      </c>
    </row>
    <row r="1257" spans="1:18" x14ac:dyDescent="0.2">
      <c r="A1257" s="344" t="s">
        <v>759</v>
      </c>
      <c r="B1257" t="s">
        <v>827</v>
      </c>
      <c r="C1257" t="s">
        <v>823</v>
      </c>
      <c r="D1257" t="s">
        <v>746</v>
      </c>
      <c r="E1257" t="s">
        <v>829</v>
      </c>
      <c r="F1257" t="s">
        <v>803</v>
      </c>
      <c r="G1257" t="s">
        <v>830</v>
      </c>
      <c r="H1257" t="s">
        <v>831</v>
      </c>
      <c r="I1257" t="s">
        <v>722</v>
      </c>
      <c r="J1257" t="s">
        <v>721</v>
      </c>
      <c r="K1257"/>
      <c r="L1257"/>
      <c r="M1257" t="s">
        <v>847</v>
      </c>
      <c r="N1257" t="s">
        <v>848</v>
      </c>
      <c r="O1257"/>
      <c r="P1257" t="e">
        <f>VLOOKUP(N1257,#REF!,2,FALSE)</f>
        <v>#REF!</v>
      </c>
      <c r="Q1257" t="s">
        <v>878</v>
      </c>
      <c r="R1257" s="345">
        <v>-17.63</v>
      </c>
    </row>
    <row r="1258" spans="1:18" x14ac:dyDescent="0.2">
      <c r="A1258" s="344" t="s">
        <v>743</v>
      </c>
      <c r="B1258" t="s">
        <v>827</v>
      </c>
      <c r="C1258" t="s">
        <v>823</v>
      </c>
      <c r="D1258" t="s">
        <v>746</v>
      </c>
      <c r="E1258" t="s">
        <v>829</v>
      </c>
      <c r="F1258" t="s">
        <v>803</v>
      </c>
      <c r="G1258" t="s">
        <v>830</v>
      </c>
      <c r="H1258" t="s">
        <v>831</v>
      </c>
      <c r="I1258" t="s">
        <v>722</v>
      </c>
      <c r="J1258" t="s">
        <v>721</v>
      </c>
      <c r="K1258"/>
      <c r="L1258"/>
      <c r="M1258" t="s">
        <v>847</v>
      </c>
      <c r="N1258" t="s">
        <v>848</v>
      </c>
      <c r="O1258"/>
      <c r="P1258" t="e">
        <f>VLOOKUP(N1258,#REF!,2,FALSE)</f>
        <v>#REF!</v>
      </c>
      <c r="Q1258" t="s">
        <v>878</v>
      </c>
      <c r="R1258" s="345">
        <v>-369.23</v>
      </c>
    </row>
    <row r="1259" spans="1:18" x14ac:dyDescent="0.2">
      <c r="A1259" s="344" t="s">
        <v>760</v>
      </c>
      <c r="B1259" t="s">
        <v>827</v>
      </c>
      <c r="C1259" t="s">
        <v>823</v>
      </c>
      <c r="D1259" t="s">
        <v>746</v>
      </c>
      <c r="E1259" t="s">
        <v>829</v>
      </c>
      <c r="F1259" t="s">
        <v>803</v>
      </c>
      <c r="G1259" t="s">
        <v>830</v>
      </c>
      <c r="H1259" t="s">
        <v>831</v>
      </c>
      <c r="I1259" t="s">
        <v>722</v>
      </c>
      <c r="J1259" t="s">
        <v>721</v>
      </c>
      <c r="K1259"/>
      <c r="L1259"/>
      <c r="M1259" t="s">
        <v>847</v>
      </c>
      <c r="N1259" t="s">
        <v>848</v>
      </c>
      <c r="O1259"/>
      <c r="P1259" t="e">
        <f>VLOOKUP(N1259,#REF!,2,FALSE)</f>
        <v>#REF!</v>
      </c>
      <c r="Q1259" t="s">
        <v>878</v>
      </c>
      <c r="R1259" s="345">
        <v>-892.76</v>
      </c>
    </row>
    <row r="1260" spans="1:18" x14ac:dyDescent="0.2">
      <c r="A1260" s="344" t="s">
        <v>745</v>
      </c>
      <c r="B1260" t="s">
        <v>827</v>
      </c>
      <c r="C1260" t="s">
        <v>823</v>
      </c>
      <c r="D1260" t="s">
        <v>746</v>
      </c>
      <c r="E1260" t="s">
        <v>829</v>
      </c>
      <c r="F1260" t="s">
        <v>803</v>
      </c>
      <c r="G1260" t="s">
        <v>830</v>
      </c>
      <c r="H1260" t="s">
        <v>831</v>
      </c>
      <c r="I1260" t="s">
        <v>722</v>
      </c>
      <c r="J1260" t="s">
        <v>721</v>
      </c>
      <c r="K1260"/>
      <c r="L1260"/>
      <c r="M1260" t="s">
        <v>847</v>
      </c>
      <c r="N1260" t="s">
        <v>848</v>
      </c>
      <c r="O1260"/>
      <c r="P1260" t="e">
        <f>VLOOKUP(N1260,#REF!,2,FALSE)</f>
        <v>#REF!</v>
      </c>
      <c r="Q1260" t="s">
        <v>878</v>
      </c>
      <c r="R1260" s="345">
        <v>-2363.64</v>
      </c>
    </row>
    <row r="1261" spans="1:18" x14ac:dyDescent="0.2">
      <c r="A1261" s="344" t="s">
        <v>754</v>
      </c>
      <c r="B1261" t="s">
        <v>827</v>
      </c>
      <c r="C1261" t="s">
        <v>823</v>
      </c>
      <c r="D1261" t="s">
        <v>746</v>
      </c>
      <c r="E1261" t="s">
        <v>829</v>
      </c>
      <c r="F1261" t="s">
        <v>803</v>
      </c>
      <c r="G1261" t="s">
        <v>830</v>
      </c>
      <c r="H1261" t="s">
        <v>831</v>
      </c>
      <c r="I1261" t="s">
        <v>722</v>
      </c>
      <c r="J1261" t="s">
        <v>721</v>
      </c>
      <c r="K1261"/>
      <c r="L1261"/>
      <c r="M1261" t="s">
        <v>847</v>
      </c>
      <c r="N1261" t="s">
        <v>848</v>
      </c>
      <c r="O1261"/>
      <c r="P1261" t="e">
        <f>VLOOKUP(N1261,#REF!,2,FALSE)</f>
        <v>#REF!</v>
      </c>
      <c r="Q1261" t="s">
        <v>892</v>
      </c>
      <c r="R1261" s="345">
        <v>-197.75</v>
      </c>
    </row>
    <row r="1262" spans="1:18" x14ac:dyDescent="0.2">
      <c r="A1262" s="344" t="s">
        <v>755</v>
      </c>
      <c r="B1262" t="s">
        <v>827</v>
      </c>
      <c r="C1262" t="s">
        <v>823</v>
      </c>
      <c r="D1262" t="s">
        <v>746</v>
      </c>
      <c r="E1262" t="s">
        <v>829</v>
      </c>
      <c r="F1262" t="s">
        <v>803</v>
      </c>
      <c r="G1262" t="s">
        <v>830</v>
      </c>
      <c r="H1262" t="s">
        <v>831</v>
      </c>
      <c r="I1262" t="s">
        <v>722</v>
      </c>
      <c r="J1262" t="s">
        <v>721</v>
      </c>
      <c r="K1262"/>
      <c r="L1262"/>
      <c r="M1262" t="s">
        <v>847</v>
      </c>
      <c r="N1262" t="s">
        <v>848</v>
      </c>
      <c r="O1262"/>
      <c r="P1262" t="e">
        <f>VLOOKUP(N1262,#REF!,2,FALSE)</f>
        <v>#REF!</v>
      </c>
      <c r="Q1262" t="s">
        <v>892</v>
      </c>
      <c r="R1262" s="345">
        <v>0</v>
      </c>
    </row>
    <row r="1263" spans="1:18" x14ac:dyDescent="0.2">
      <c r="A1263" s="344" t="s">
        <v>749</v>
      </c>
      <c r="B1263" t="s">
        <v>827</v>
      </c>
      <c r="C1263" t="s">
        <v>823</v>
      </c>
      <c r="D1263" t="s">
        <v>746</v>
      </c>
      <c r="E1263" t="s">
        <v>829</v>
      </c>
      <c r="F1263" t="s">
        <v>803</v>
      </c>
      <c r="G1263" t="s">
        <v>830</v>
      </c>
      <c r="H1263" t="s">
        <v>831</v>
      </c>
      <c r="I1263" t="s">
        <v>722</v>
      </c>
      <c r="J1263" t="s">
        <v>721</v>
      </c>
      <c r="K1263"/>
      <c r="L1263"/>
      <c r="M1263" t="s">
        <v>847</v>
      </c>
      <c r="N1263" t="s">
        <v>848</v>
      </c>
      <c r="O1263"/>
      <c r="P1263" t="e">
        <f>VLOOKUP(N1263,#REF!,2,FALSE)</f>
        <v>#REF!</v>
      </c>
      <c r="Q1263" t="s">
        <v>879</v>
      </c>
      <c r="R1263" s="345">
        <v>-1850.99</v>
      </c>
    </row>
    <row r="1264" spans="1:18" x14ac:dyDescent="0.2">
      <c r="A1264" s="344" t="s">
        <v>752</v>
      </c>
      <c r="B1264" t="s">
        <v>827</v>
      </c>
      <c r="C1264" t="s">
        <v>823</v>
      </c>
      <c r="D1264" t="s">
        <v>746</v>
      </c>
      <c r="E1264" t="s">
        <v>829</v>
      </c>
      <c r="F1264" t="s">
        <v>803</v>
      </c>
      <c r="G1264" t="s">
        <v>830</v>
      </c>
      <c r="H1264" t="s">
        <v>831</v>
      </c>
      <c r="I1264" t="s">
        <v>722</v>
      </c>
      <c r="J1264" t="s">
        <v>721</v>
      </c>
      <c r="K1264"/>
      <c r="L1264"/>
      <c r="M1264" t="s">
        <v>847</v>
      </c>
      <c r="N1264" t="s">
        <v>848</v>
      </c>
      <c r="O1264"/>
      <c r="P1264" t="e">
        <f>VLOOKUP(N1264,#REF!,2,FALSE)</f>
        <v>#REF!</v>
      </c>
      <c r="Q1264" t="s">
        <v>879</v>
      </c>
      <c r="R1264" s="345">
        <v>-505.33</v>
      </c>
    </row>
    <row r="1265" spans="1:18" x14ac:dyDescent="0.2">
      <c r="A1265" s="344" t="s">
        <v>753</v>
      </c>
      <c r="B1265" t="s">
        <v>827</v>
      </c>
      <c r="C1265" t="s">
        <v>823</v>
      </c>
      <c r="D1265" t="s">
        <v>746</v>
      </c>
      <c r="E1265" t="s">
        <v>829</v>
      </c>
      <c r="F1265" t="s">
        <v>803</v>
      </c>
      <c r="G1265" t="s">
        <v>830</v>
      </c>
      <c r="H1265" t="s">
        <v>831</v>
      </c>
      <c r="I1265" t="s">
        <v>722</v>
      </c>
      <c r="J1265" t="s">
        <v>721</v>
      </c>
      <c r="K1265"/>
      <c r="L1265"/>
      <c r="M1265" t="s">
        <v>847</v>
      </c>
      <c r="N1265" t="s">
        <v>848</v>
      </c>
      <c r="O1265"/>
      <c r="P1265" t="e">
        <f>VLOOKUP(N1265,#REF!,2,FALSE)</f>
        <v>#REF!</v>
      </c>
      <c r="Q1265" t="s">
        <v>879</v>
      </c>
      <c r="R1265" s="345">
        <v>-242.92</v>
      </c>
    </row>
    <row r="1266" spans="1:18" x14ac:dyDescent="0.2">
      <c r="A1266" s="344" t="s">
        <v>754</v>
      </c>
      <c r="B1266" t="s">
        <v>827</v>
      </c>
      <c r="C1266" t="s">
        <v>823</v>
      </c>
      <c r="D1266" t="s">
        <v>746</v>
      </c>
      <c r="E1266" t="s">
        <v>829</v>
      </c>
      <c r="F1266" t="s">
        <v>803</v>
      </c>
      <c r="G1266" t="s">
        <v>830</v>
      </c>
      <c r="H1266" t="s">
        <v>831</v>
      </c>
      <c r="I1266" t="s">
        <v>722</v>
      </c>
      <c r="J1266" t="s">
        <v>721</v>
      </c>
      <c r="K1266"/>
      <c r="L1266"/>
      <c r="M1266" t="s">
        <v>847</v>
      </c>
      <c r="N1266" t="s">
        <v>848</v>
      </c>
      <c r="O1266"/>
      <c r="P1266" t="e">
        <f>VLOOKUP(N1266,#REF!,2,FALSE)</f>
        <v>#REF!</v>
      </c>
      <c r="Q1266" t="s">
        <v>879</v>
      </c>
      <c r="R1266" s="345">
        <v>0</v>
      </c>
    </row>
    <row r="1267" spans="1:18" x14ac:dyDescent="0.2">
      <c r="A1267" s="344" t="s">
        <v>755</v>
      </c>
      <c r="B1267" t="s">
        <v>827</v>
      </c>
      <c r="C1267" t="s">
        <v>823</v>
      </c>
      <c r="D1267" t="s">
        <v>746</v>
      </c>
      <c r="E1267" t="s">
        <v>829</v>
      </c>
      <c r="F1267" t="s">
        <v>803</v>
      </c>
      <c r="G1267" t="s">
        <v>830</v>
      </c>
      <c r="H1267" t="s">
        <v>831</v>
      </c>
      <c r="I1267" t="s">
        <v>722</v>
      </c>
      <c r="J1267" t="s">
        <v>721</v>
      </c>
      <c r="K1267"/>
      <c r="L1267"/>
      <c r="M1267" t="s">
        <v>847</v>
      </c>
      <c r="N1267" t="s">
        <v>848</v>
      </c>
      <c r="O1267"/>
      <c r="P1267" t="e">
        <f>VLOOKUP(N1267,#REF!,2,FALSE)</f>
        <v>#REF!</v>
      </c>
      <c r="Q1267" t="s">
        <v>879</v>
      </c>
      <c r="R1267" s="345">
        <v>-255.46</v>
      </c>
    </row>
    <row r="1268" spans="1:18" x14ac:dyDescent="0.2">
      <c r="A1268" s="344" t="s">
        <v>756</v>
      </c>
      <c r="B1268" t="s">
        <v>827</v>
      </c>
      <c r="C1268" t="s">
        <v>823</v>
      </c>
      <c r="D1268" t="s">
        <v>746</v>
      </c>
      <c r="E1268" t="s">
        <v>829</v>
      </c>
      <c r="F1268" t="s">
        <v>803</v>
      </c>
      <c r="G1268" t="s">
        <v>830</v>
      </c>
      <c r="H1268" t="s">
        <v>831</v>
      </c>
      <c r="I1268" t="s">
        <v>722</v>
      </c>
      <c r="J1268" t="s">
        <v>721</v>
      </c>
      <c r="K1268"/>
      <c r="L1268"/>
      <c r="M1268" t="s">
        <v>847</v>
      </c>
      <c r="N1268" t="s">
        <v>848</v>
      </c>
      <c r="O1268"/>
      <c r="P1268" t="e">
        <f>VLOOKUP(N1268,#REF!,2,FALSE)</f>
        <v>#REF!</v>
      </c>
      <c r="Q1268" t="s">
        <v>879</v>
      </c>
      <c r="R1268" s="345">
        <v>-187.8</v>
      </c>
    </row>
    <row r="1269" spans="1:18" x14ac:dyDescent="0.2">
      <c r="A1269" s="344" t="s">
        <v>757</v>
      </c>
      <c r="B1269" t="s">
        <v>827</v>
      </c>
      <c r="C1269" t="s">
        <v>823</v>
      </c>
      <c r="D1269" t="s">
        <v>746</v>
      </c>
      <c r="E1269" t="s">
        <v>829</v>
      </c>
      <c r="F1269" t="s">
        <v>803</v>
      </c>
      <c r="G1269" t="s">
        <v>830</v>
      </c>
      <c r="H1269" t="s">
        <v>831</v>
      </c>
      <c r="I1269" t="s">
        <v>722</v>
      </c>
      <c r="J1269" t="s">
        <v>721</v>
      </c>
      <c r="K1269"/>
      <c r="L1269"/>
      <c r="M1269" t="s">
        <v>847</v>
      </c>
      <c r="N1269" t="s">
        <v>848</v>
      </c>
      <c r="O1269"/>
      <c r="P1269" t="e">
        <f>VLOOKUP(N1269,#REF!,2,FALSE)</f>
        <v>#REF!</v>
      </c>
      <c r="Q1269" t="s">
        <v>879</v>
      </c>
      <c r="R1269" s="345">
        <v>0</v>
      </c>
    </row>
    <row r="1270" spans="1:18" x14ac:dyDescent="0.2">
      <c r="A1270" s="344" t="s">
        <v>758</v>
      </c>
      <c r="B1270" t="s">
        <v>827</v>
      </c>
      <c r="C1270" t="s">
        <v>823</v>
      </c>
      <c r="D1270" t="s">
        <v>746</v>
      </c>
      <c r="E1270" t="s">
        <v>829</v>
      </c>
      <c r="F1270" t="s">
        <v>803</v>
      </c>
      <c r="G1270" t="s">
        <v>830</v>
      </c>
      <c r="H1270" t="s">
        <v>831</v>
      </c>
      <c r="I1270" t="s">
        <v>722</v>
      </c>
      <c r="J1270" t="s">
        <v>721</v>
      </c>
      <c r="K1270"/>
      <c r="L1270"/>
      <c r="M1270" t="s">
        <v>847</v>
      </c>
      <c r="N1270" t="s">
        <v>848</v>
      </c>
      <c r="O1270"/>
      <c r="P1270" t="e">
        <f>VLOOKUP(N1270,#REF!,2,FALSE)</f>
        <v>#REF!</v>
      </c>
      <c r="Q1270" t="s">
        <v>879</v>
      </c>
      <c r="R1270" s="345">
        <v>-9.91</v>
      </c>
    </row>
    <row r="1271" spans="1:18" x14ac:dyDescent="0.2">
      <c r="A1271" s="344" t="s">
        <v>759</v>
      </c>
      <c r="B1271" t="s">
        <v>827</v>
      </c>
      <c r="C1271" t="s">
        <v>823</v>
      </c>
      <c r="D1271" t="s">
        <v>746</v>
      </c>
      <c r="E1271" t="s">
        <v>829</v>
      </c>
      <c r="F1271" t="s">
        <v>803</v>
      </c>
      <c r="G1271" t="s">
        <v>830</v>
      </c>
      <c r="H1271" t="s">
        <v>831</v>
      </c>
      <c r="I1271" t="s">
        <v>722</v>
      </c>
      <c r="J1271" t="s">
        <v>721</v>
      </c>
      <c r="K1271"/>
      <c r="L1271"/>
      <c r="M1271" t="s">
        <v>847</v>
      </c>
      <c r="N1271" t="s">
        <v>848</v>
      </c>
      <c r="O1271"/>
      <c r="P1271" t="e">
        <f>VLOOKUP(N1271,#REF!,2,FALSE)</f>
        <v>#REF!</v>
      </c>
      <c r="Q1271" t="s">
        <v>879</v>
      </c>
      <c r="R1271" s="345">
        <v>-658.77</v>
      </c>
    </row>
    <row r="1272" spans="1:18" x14ac:dyDescent="0.2">
      <c r="A1272" s="344" t="s">
        <v>743</v>
      </c>
      <c r="B1272" t="s">
        <v>827</v>
      </c>
      <c r="C1272" t="s">
        <v>823</v>
      </c>
      <c r="D1272" t="s">
        <v>746</v>
      </c>
      <c r="E1272" t="s">
        <v>829</v>
      </c>
      <c r="F1272" t="s">
        <v>803</v>
      </c>
      <c r="G1272" t="s">
        <v>830</v>
      </c>
      <c r="H1272" t="s">
        <v>831</v>
      </c>
      <c r="I1272" t="s">
        <v>722</v>
      </c>
      <c r="J1272" t="s">
        <v>721</v>
      </c>
      <c r="K1272"/>
      <c r="L1272"/>
      <c r="M1272" t="s">
        <v>847</v>
      </c>
      <c r="N1272" t="s">
        <v>848</v>
      </c>
      <c r="O1272"/>
      <c r="P1272" t="e">
        <f>VLOOKUP(N1272,#REF!,2,FALSE)</f>
        <v>#REF!</v>
      </c>
      <c r="Q1272" t="s">
        <v>879</v>
      </c>
      <c r="R1272" s="345">
        <v>-1199.9100000000001</v>
      </c>
    </row>
    <row r="1273" spans="1:18" x14ac:dyDescent="0.2">
      <c r="A1273" s="344" t="s">
        <v>760</v>
      </c>
      <c r="B1273" t="s">
        <v>827</v>
      </c>
      <c r="C1273" t="s">
        <v>823</v>
      </c>
      <c r="D1273" t="s">
        <v>746</v>
      </c>
      <c r="E1273" t="s">
        <v>829</v>
      </c>
      <c r="F1273" t="s">
        <v>803</v>
      </c>
      <c r="G1273" t="s">
        <v>830</v>
      </c>
      <c r="H1273" t="s">
        <v>831</v>
      </c>
      <c r="I1273" t="s">
        <v>722</v>
      </c>
      <c r="J1273" t="s">
        <v>721</v>
      </c>
      <c r="K1273"/>
      <c r="L1273"/>
      <c r="M1273" t="s">
        <v>847</v>
      </c>
      <c r="N1273" t="s">
        <v>848</v>
      </c>
      <c r="O1273"/>
      <c r="P1273" t="e">
        <f>VLOOKUP(N1273,#REF!,2,FALSE)</f>
        <v>#REF!</v>
      </c>
      <c r="Q1273" t="s">
        <v>879</v>
      </c>
      <c r="R1273" s="345">
        <v>-896.57</v>
      </c>
    </row>
    <row r="1274" spans="1:18" x14ac:dyDescent="0.2">
      <c r="A1274" s="344" t="s">
        <v>745</v>
      </c>
      <c r="B1274" t="s">
        <v>827</v>
      </c>
      <c r="C1274" t="s">
        <v>823</v>
      </c>
      <c r="D1274" t="s">
        <v>746</v>
      </c>
      <c r="E1274" t="s">
        <v>829</v>
      </c>
      <c r="F1274" t="s">
        <v>803</v>
      </c>
      <c r="G1274" t="s">
        <v>830</v>
      </c>
      <c r="H1274" t="s">
        <v>831</v>
      </c>
      <c r="I1274" t="s">
        <v>722</v>
      </c>
      <c r="J1274" t="s">
        <v>721</v>
      </c>
      <c r="K1274"/>
      <c r="L1274"/>
      <c r="M1274" t="s">
        <v>847</v>
      </c>
      <c r="N1274" t="s">
        <v>848</v>
      </c>
      <c r="O1274"/>
      <c r="P1274" t="e">
        <f>VLOOKUP(N1274,#REF!,2,FALSE)</f>
        <v>#REF!</v>
      </c>
      <c r="Q1274" t="s">
        <v>879</v>
      </c>
      <c r="R1274" s="345">
        <v>-1507.3</v>
      </c>
    </row>
    <row r="1275" spans="1:18" x14ac:dyDescent="0.2">
      <c r="A1275" s="344" t="s">
        <v>749</v>
      </c>
      <c r="B1275" t="s">
        <v>827</v>
      </c>
      <c r="C1275" t="s">
        <v>823</v>
      </c>
      <c r="D1275" t="s">
        <v>746</v>
      </c>
      <c r="E1275" t="s">
        <v>829</v>
      </c>
      <c r="F1275" t="s">
        <v>803</v>
      </c>
      <c r="G1275" t="s">
        <v>830</v>
      </c>
      <c r="H1275" t="s">
        <v>831</v>
      </c>
      <c r="I1275" t="s">
        <v>722</v>
      </c>
      <c r="J1275" t="s">
        <v>721</v>
      </c>
      <c r="K1275"/>
      <c r="L1275"/>
      <c r="M1275" t="s">
        <v>847</v>
      </c>
      <c r="N1275" t="s">
        <v>848</v>
      </c>
      <c r="O1275"/>
      <c r="P1275" t="e">
        <f>VLOOKUP(N1275,#REF!,2,FALSE)</f>
        <v>#REF!</v>
      </c>
      <c r="Q1275" t="s">
        <v>880</v>
      </c>
      <c r="R1275" s="345">
        <v>-1116.74</v>
      </c>
    </row>
    <row r="1276" spans="1:18" x14ac:dyDescent="0.2">
      <c r="A1276" s="344" t="s">
        <v>752</v>
      </c>
      <c r="B1276" t="s">
        <v>827</v>
      </c>
      <c r="C1276" t="s">
        <v>823</v>
      </c>
      <c r="D1276" t="s">
        <v>746</v>
      </c>
      <c r="E1276" t="s">
        <v>829</v>
      </c>
      <c r="F1276" t="s">
        <v>803</v>
      </c>
      <c r="G1276" t="s">
        <v>830</v>
      </c>
      <c r="H1276" t="s">
        <v>831</v>
      </c>
      <c r="I1276" t="s">
        <v>722</v>
      </c>
      <c r="J1276" t="s">
        <v>721</v>
      </c>
      <c r="K1276"/>
      <c r="L1276"/>
      <c r="M1276" t="s">
        <v>847</v>
      </c>
      <c r="N1276" t="s">
        <v>848</v>
      </c>
      <c r="O1276"/>
      <c r="P1276" t="e">
        <f>VLOOKUP(N1276,#REF!,2,FALSE)</f>
        <v>#REF!</v>
      </c>
      <c r="Q1276" t="s">
        <v>880</v>
      </c>
      <c r="R1276" s="345">
        <v>0</v>
      </c>
    </row>
    <row r="1277" spans="1:18" x14ac:dyDescent="0.2">
      <c r="A1277" s="344" t="s">
        <v>755</v>
      </c>
      <c r="B1277" t="s">
        <v>827</v>
      </c>
      <c r="C1277" t="s">
        <v>823</v>
      </c>
      <c r="D1277" t="s">
        <v>746</v>
      </c>
      <c r="E1277" t="s">
        <v>829</v>
      </c>
      <c r="F1277" t="s">
        <v>803</v>
      </c>
      <c r="G1277" t="s">
        <v>830</v>
      </c>
      <c r="H1277" t="s">
        <v>831</v>
      </c>
      <c r="I1277" t="s">
        <v>722</v>
      </c>
      <c r="J1277" t="s">
        <v>721</v>
      </c>
      <c r="K1277"/>
      <c r="L1277"/>
      <c r="M1277" t="s">
        <v>847</v>
      </c>
      <c r="N1277" t="s">
        <v>848</v>
      </c>
      <c r="O1277"/>
      <c r="P1277" t="e">
        <f>VLOOKUP(N1277,#REF!,2,FALSE)</f>
        <v>#REF!</v>
      </c>
      <c r="Q1277" t="s">
        <v>907</v>
      </c>
      <c r="R1277" s="345">
        <v>-10588.35</v>
      </c>
    </row>
    <row r="1278" spans="1:18" x14ac:dyDescent="0.2">
      <c r="A1278" s="344" t="s">
        <v>756</v>
      </c>
      <c r="B1278" t="s">
        <v>827</v>
      </c>
      <c r="C1278" t="s">
        <v>823</v>
      </c>
      <c r="D1278" t="s">
        <v>746</v>
      </c>
      <c r="E1278" t="s">
        <v>829</v>
      </c>
      <c r="F1278" t="s">
        <v>803</v>
      </c>
      <c r="G1278" t="s">
        <v>830</v>
      </c>
      <c r="H1278" t="s">
        <v>831</v>
      </c>
      <c r="I1278" t="s">
        <v>722</v>
      </c>
      <c r="J1278" t="s">
        <v>721</v>
      </c>
      <c r="K1278"/>
      <c r="L1278"/>
      <c r="M1278" t="s">
        <v>847</v>
      </c>
      <c r="N1278" t="s">
        <v>848</v>
      </c>
      <c r="O1278"/>
      <c r="P1278" t="e">
        <f>VLOOKUP(N1278,#REF!,2,FALSE)</f>
        <v>#REF!</v>
      </c>
      <c r="Q1278" t="s">
        <v>907</v>
      </c>
      <c r="R1278" s="345">
        <v>-2198.21</v>
      </c>
    </row>
    <row r="1279" spans="1:18" x14ac:dyDescent="0.2">
      <c r="A1279" s="344" t="s">
        <v>757</v>
      </c>
      <c r="B1279" t="s">
        <v>827</v>
      </c>
      <c r="C1279" t="s">
        <v>823</v>
      </c>
      <c r="D1279" t="s">
        <v>746</v>
      </c>
      <c r="E1279" t="s">
        <v>829</v>
      </c>
      <c r="F1279" t="s">
        <v>803</v>
      </c>
      <c r="G1279" t="s">
        <v>830</v>
      </c>
      <c r="H1279" t="s">
        <v>831</v>
      </c>
      <c r="I1279" t="s">
        <v>722</v>
      </c>
      <c r="J1279" t="s">
        <v>721</v>
      </c>
      <c r="K1279"/>
      <c r="L1279"/>
      <c r="M1279" t="s">
        <v>847</v>
      </c>
      <c r="N1279" t="s">
        <v>848</v>
      </c>
      <c r="O1279"/>
      <c r="P1279" t="e">
        <f>VLOOKUP(N1279,#REF!,2,FALSE)</f>
        <v>#REF!</v>
      </c>
      <c r="Q1279" t="s">
        <v>907</v>
      </c>
      <c r="R1279" s="345">
        <v>-252.48</v>
      </c>
    </row>
    <row r="1280" spans="1:18" x14ac:dyDescent="0.2">
      <c r="A1280" s="344" t="s">
        <v>758</v>
      </c>
      <c r="B1280" t="s">
        <v>827</v>
      </c>
      <c r="C1280" t="s">
        <v>823</v>
      </c>
      <c r="D1280" t="s">
        <v>746</v>
      </c>
      <c r="E1280" t="s">
        <v>829</v>
      </c>
      <c r="F1280" t="s">
        <v>803</v>
      </c>
      <c r="G1280" t="s">
        <v>830</v>
      </c>
      <c r="H1280" t="s">
        <v>831</v>
      </c>
      <c r="I1280" t="s">
        <v>722</v>
      </c>
      <c r="J1280" t="s">
        <v>721</v>
      </c>
      <c r="K1280"/>
      <c r="L1280"/>
      <c r="M1280" t="s">
        <v>847</v>
      </c>
      <c r="N1280" t="s">
        <v>848</v>
      </c>
      <c r="O1280"/>
      <c r="P1280" t="e">
        <f>VLOOKUP(N1280,#REF!,2,FALSE)</f>
        <v>#REF!</v>
      </c>
      <c r="Q1280" t="s">
        <v>907</v>
      </c>
      <c r="R1280" s="345">
        <v>-967.43</v>
      </c>
    </row>
    <row r="1281" spans="1:18" x14ac:dyDescent="0.2">
      <c r="A1281" s="344" t="s">
        <v>759</v>
      </c>
      <c r="B1281" t="s">
        <v>827</v>
      </c>
      <c r="C1281" t="s">
        <v>823</v>
      </c>
      <c r="D1281" t="s">
        <v>746</v>
      </c>
      <c r="E1281" t="s">
        <v>829</v>
      </c>
      <c r="F1281" t="s">
        <v>803</v>
      </c>
      <c r="G1281" t="s">
        <v>830</v>
      </c>
      <c r="H1281" t="s">
        <v>831</v>
      </c>
      <c r="I1281" t="s">
        <v>722</v>
      </c>
      <c r="J1281" t="s">
        <v>721</v>
      </c>
      <c r="K1281"/>
      <c r="L1281"/>
      <c r="M1281" t="s">
        <v>847</v>
      </c>
      <c r="N1281" t="s">
        <v>848</v>
      </c>
      <c r="O1281"/>
      <c r="P1281" t="e">
        <f>VLOOKUP(N1281,#REF!,2,FALSE)</f>
        <v>#REF!</v>
      </c>
      <c r="Q1281" t="s">
        <v>907</v>
      </c>
      <c r="R1281" s="345">
        <v>-615.45000000000005</v>
      </c>
    </row>
    <row r="1282" spans="1:18" x14ac:dyDescent="0.2">
      <c r="A1282" s="344" t="s">
        <v>743</v>
      </c>
      <c r="B1282" t="s">
        <v>827</v>
      </c>
      <c r="C1282" t="s">
        <v>823</v>
      </c>
      <c r="D1282" t="s">
        <v>746</v>
      </c>
      <c r="E1282" t="s">
        <v>829</v>
      </c>
      <c r="F1282" t="s">
        <v>803</v>
      </c>
      <c r="G1282" t="s">
        <v>830</v>
      </c>
      <c r="H1282" t="s">
        <v>831</v>
      </c>
      <c r="I1282" t="s">
        <v>722</v>
      </c>
      <c r="J1282" t="s">
        <v>721</v>
      </c>
      <c r="K1282"/>
      <c r="L1282"/>
      <c r="M1282" t="s">
        <v>847</v>
      </c>
      <c r="N1282" t="s">
        <v>848</v>
      </c>
      <c r="O1282"/>
      <c r="P1282" t="e">
        <f>VLOOKUP(N1282,#REF!,2,FALSE)</f>
        <v>#REF!</v>
      </c>
      <c r="Q1282" t="s">
        <v>907</v>
      </c>
      <c r="R1282" s="345">
        <v>-2251.71</v>
      </c>
    </row>
    <row r="1283" spans="1:18" x14ac:dyDescent="0.2">
      <c r="A1283" s="344" t="s">
        <v>760</v>
      </c>
      <c r="B1283" t="s">
        <v>827</v>
      </c>
      <c r="C1283" t="s">
        <v>823</v>
      </c>
      <c r="D1283" t="s">
        <v>746</v>
      </c>
      <c r="E1283" t="s">
        <v>829</v>
      </c>
      <c r="F1283" t="s">
        <v>803</v>
      </c>
      <c r="G1283" t="s">
        <v>830</v>
      </c>
      <c r="H1283" t="s">
        <v>831</v>
      </c>
      <c r="I1283" t="s">
        <v>722</v>
      </c>
      <c r="J1283" t="s">
        <v>721</v>
      </c>
      <c r="K1283"/>
      <c r="L1283"/>
      <c r="M1283" t="s">
        <v>847</v>
      </c>
      <c r="N1283" t="s">
        <v>848</v>
      </c>
      <c r="O1283"/>
      <c r="P1283" t="e">
        <f>VLOOKUP(N1283,#REF!,2,FALSE)</f>
        <v>#REF!</v>
      </c>
      <c r="Q1283" t="s">
        <v>907</v>
      </c>
      <c r="R1283" s="345">
        <v>-2593.7399999999998</v>
      </c>
    </row>
    <row r="1284" spans="1:18" x14ac:dyDescent="0.2">
      <c r="A1284" s="344" t="s">
        <v>745</v>
      </c>
      <c r="B1284" t="s">
        <v>827</v>
      </c>
      <c r="C1284" t="s">
        <v>823</v>
      </c>
      <c r="D1284" t="s">
        <v>746</v>
      </c>
      <c r="E1284" t="s">
        <v>829</v>
      </c>
      <c r="F1284" t="s">
        <v>803</v>
      </c>
      <c r="G1284" t="s">
        <v>830</v>
      </c>
      <c r="H1284" t="s">
        <v>831</v>
      </c>
      <c r="I1284" t="s">
        <v>722</v>
      </c>
      <c r="J1284" t="s">
        <v>721</v>
      </c>
      <c r="K1284"/>
      <c r="L1284"/>
      <c r="M1284" t="s">
        <v>847</v>
      </c>
      <c r="N1284" t="s">
        <v>848</v>
      </c>
      <c r="O1284"/>
      <c r="P1284" t="e">
        <f>VLOOKUP(N1284,#REF!,2,FALSE)</f>
        <v>#REF!</v>
      </c>
      <c r="Q1284" t="s">
        <v>907</v>
      </c>
      <c r="R1284" s="345">
        <v>-4432.12</v>
      </c>
    </row>
    <row r="1285" spans="1:18" x14ac:dyDescent="0.2">
      <c r="A1285" s="344" t="s">
        <v>749</v>
      </c>
      <c r="B1285" t="s">
        <v>827</v>
      </c>
      <c r="C1285" t="s">
        <v>823</v>
      </c>
      <c r="D1285" t="s">
        <v>746</v>
      </c>
      <c r="E1285" t="s">
        <v>829</v>
      </c>
      <c r="F1285" t="s">
        <v>803</v>
      </c>
      <c r="G1285" t="s">
        <v>830</v>
      </c>
      <c r="H1285" t="s">
        <v>831</v>
      </c>
      <c r="I1285" t="s">
        <v>722</v>
      </c>
      <c r="J1285" t="s">
        <v>721</v>
      </c>
      <c r="K1285"/>
      <c r="L1285"/>
      <c r="M1285" t="s">
        <v>847</v>
      </c>
      <c r="N1285" t="s">
        <v>848</v>
      </c>
      <c r="O1285"/>
      <c r="P1285" t="e">
        <f>VLOOKUP(N1285,#REF!,2,FALSE)</f>
        <v>#REF!</v>
      </c>
      <c r="Q1285" t="s">
        <v>867</v>
      </c>
      <c r="R1285" s="345">
        <v>-14995.48</v>
      </c>
    </row>
    <row r="1286" spans="1:18" x14ac:dyDescent="0.2">
      <c r="A1286" s="344" t="s">
        <v>752</v>
      </c>
      <c r="B1286" t="s">
        <v>827</v>
      </c>
      <c r="C1286" t="s">
        <v>823</v>
      </c>
      <c r="D1286" t="s">
        <v>746</v>
      </c>
      <c r="E1286" t="s">
        <v>829</v>
      </c>
      <c r="F1286" t="s">
        <v>803</v>
      </c>
      <c r="G1286" t="s">
        <v>830</v>
      </c>
      <c r="H1286" t="s">
        <v>831</v>
      </c>
      <c r="I1286" t="s">
        <v>722</v>
      </c>
      <c r="J1286" t="s">
        <v>721</v>
      </c>
      <c r="K1286"/>
      <c r="L1286"/>
      <c r="M1286" t="s">
        <v>847</v>
      </c>
      <c r="N1286" t="s">
        <v>848</v>
      </c>
      <c r="O1286"/>
      <c r="P1286" t="e">
        <f>VLOOKUP(N1286,#REF!,2,FALSE)</f>
        <v>#REF!</v>
      </c>
      <c r="Q1286" t="s">
        <v>867</v>
      </c>
      <c r="R1286" s="345">
        <v>14995.48</v>
      </c>
    </row>
    <row r="1287" spans="1:18" x14ac:dyDescent="0.2">
      <c r="A1287" s="344" t="s">
        <v>753</v>
      </c>
      <c r="B1287" t="s">
        <v>827</v>
      </c>
      <c r="C1287" t="s">
        <v>823</v>
      </c>
      <c r="D1287" t="s">
        <v>746</v>
      </c>
      <c r="E1287" t="s">
        <v>829</v>
      </c>
      <c r="F1287" t="s">
        <v>803</v>
      </c>
      <c r="G1287" t="s">
        <v>830</v>
      </c>
      <c r="H1287" t="s">
        <v>831</v>
      </c>
      <c r="I1287" t="s">
        <v>722</v>
      </c>
      <c r="J1287" t="s">
        <v>721</v>
      </c>
      <c r="K1287"/>
      <c r="L1287"/>
      <c r="M1287" t="s">
        <v>847</v>
      </c>
      <c r="N1287" t="s">
        <v>848</v>
      </c>
      <c r="O1287"/>
      <c r="P1287" t="e">
        <f>VLOOKUP(N1287,#REF!,2,FALSE)</f>
        <v>#REF!</v>
      </c>
      <c r="Q1287" t="s">
        <v>870</v>
      </c>
      <c r="R1287" s="345">
        <v>-49.45</v>
      </c>
    </row>
    <row r="1288" spans="1:18" x14ac:dyDescent="0.2">
      <c r="A1288" s="344" t="s">
        <v>754</v>
      </c>
      <c r="B1288" t="s">
        <v>827</v>
      </c>
      <c r="C1288" t="s">
        <v>823</v>
      </c>
      <c r="D1288" t="s">
        <v>746</v>
      </c>
      <c r="E1288" t="s">
        <v>829</v>
      </c>
      <c r="F1288" t="s">
        <v>803</v>
      </c>
      <c r="G1288" t="s">
        <v>830</v>
      </c>
      <c r="H1288" t="s">
        <v>831</v>
      </c>
      <c r="I1288" t="s">
        <v>722</v>
      </c>
      <c r="J1288" t="s">
        <v>721</v>
      </c>
      <c r="K1288"/>
      <c r="L1288"/>
      <c r="M1288" t="s">
        <v>847</v>
      </c>
      <c r="N1288" t="s">
        <v>848</v>
      </c>
      <c r="O1288"/>
      <c r="P1288" t="e">
        <f>VLOOKUP(N1288,#REF!,2,FALSE)</f>
        <v>#REF!</v>
      </c>
      <c r="Q1288" t="s">
        <v>870</v>
      </c>
      <c r="R1288" s="345">
        <v>0</v>
      </c>
    </row>
    <row r="1289" spans="1:18" ht="13.5" thickBot="1" x14ac:dyDescent="0.25">
      <c r="A1289" s="346" t="s">
        <v>756</v>
      </c>
      <c r="B1289" s="347" t="s">
        <v>827</v>
      </c>
      <c r="C1289" s="347" t="s">
        <v>823</v>
      </c>
      <c r="D1289" s="347" t="s">
        <v>746</v>
      </c>
      <c r="E1289" s="347" t="s">
        <v>829</v>
      </c>
      <c r="F1289" s="347" t="s">
        <v>803</v>
      </c>
      <c r="G1289" s="347" t="s">
        <v>830</v>
      </c>
      <c r="H1289" s="347" t="s">
        <v>831</v>
      </c>
      <c r="I1289" s="347" t="s">
        <v>722</v>
      </c>
      <c r="J1289" s="347" t="s">
        <v>721</v>
      </c>
      <c r="K1289" s="347"/>
      <c r="L1289" s="347"/>
      <c r="M1289" s="347" t="s">
        <v>847</v>
      </c>
      <c r="N1289" s="347" t="s">
        <v>848</v>
      </c>
      <c r="O1289" s="347"/>
      <c r="P1289" t="e">
        <f>VLOOKUP(N1289,#REF!,2,FALSE)</f>
        <v>#REF!</v>
      </c>
      <c r="Q1289" s="347" t="s">
        <v>870</v>
      </c>
      <c r="R1289" s="348">
        <v>8.61</v>
      </c>
    </row>
  </sheetData>
  <hyperlinks>
    <hyperlink ref="B10" r:id="rId1" display="C:\Users\:x:\r\sites\RegulatoryReportingTeam\Shared Documents\Part 10\1. FY25\Non-scheme pipelines\1. AER Annual Reporting Template\7. RCWP\Support\RCWP AER Part 10 Workings.xlsx?d=w590bb89f11bd48dcb36f9ff679b8dba3&amp;csf=1&amp;web=1&amp;e=5Cqkci" xr:uid="{89F3B6B0-591F-4A76-AC7F-4BEADFDAD75B}"/>
  </hyperlinks>
  <pageMargins left="0.7" right="0.7" top="0.75" bottom="0.75" header="0.3" footer="0.3"/>
  <headerFooter>
    <oddFooter>&amp;C_x000D_&amp;1#&amp;"Aptos"&amp;10&amp;K008000 APA-INTERNAL</oddFooter>
  </headerFooter>
  <legacyDrawing r:id="rId2"/>
  <tableParts count="1">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272B5-D38B-4061-AF29-F3F93E292F93}">
  <sheetPr>
    <tabColor theme="1"/>
  </sheetPr>
  <dimension ref="A1:H42"/>
  <sheetViews>
    <sheetView topLeftCell="A6" workbookViewId="0">
      <selection activeCell="B38" sqref="B38"/>
    </sheetView>
  </sheetViews>
  <sheetFormatPr defaultColWidth="12.5703125" defaultRowHeight="12.75" x14ac:dyDescent="0.2"/>
  <cols>
    <col min="1" max="1" width="27.7109375" customWidth="1"/>
    <col min="3" max="3" width="22" customWidth="1"/>
    <col min="4" max="4" width="20.5703125" customWidth="1"/>
    <col min="5" max="5" width="23.7109375" customWidth="1"/>
    <col min="6" max="6" width="55.28515625" customWidth="1"/>
    <col min="7" max="7" width="39.28515625" customWidth="1"/>
    <col min="8" max="8" width="14.85546875" customWidth="1"/>
  </cols>
  <sheetData>
    <row r="1" spans="1:8" ht="16.149999999999999" customHeight="1" x14ac:dyDescent="0.2">
      <c r="A1" s="333" t="s">
        <v>700</v>
      </c>
      <c r="B1" s="334" t="s">
        <v>701</v>
      </c>
    </row>
    <row r="2" spans="1:8" ht="16.149999999999999" customHeight="1" x14ac:dyDescent="0.2">
      <c r="A2" s="333" t="s">
        <v>702</v>
      </c>
      <c r="B2" s="334" t="s">
        <v>821</v>
      </c>
    </row>
    <row r="3" spans="1:8" ht="16.149999999999999" customHeight="1" x14ac:dyDescent="0.2">
      <c r="A3" s="333" t="s">
        <v>703</v>
      </c>
      <c r="B3" s="334" t="s">
        <v>704</v>
      </c>
    </row>
    <row r="4" spans="1:8" ht="16.149999999999999" customHeight="1" x14ac:dyDescent="0.2">
      <c r="A4" s="333" t="s">
        <v>705</v>
      </c>
      <c r="B4" s="334" t="s">
        <v>980</v>
      </c>
    </row>
    <row r="5" spans="1:8" ht="16.149999999999999" customHeight="1" x14ac:dyDescent="0.2">
      <c r="A5" s="333" t="s">
        <v>706</v>
      </c>
      <c r="B5" s="334" t="s">
        <v>707</v>
      </c>
    </row>
    <row r="6" spans="1:8" ht="16.149999999999999" customHeight="1" x14ac:dyDescent="0.2">
      <c r="A6" s="333" t="s">
        <v>708</v>
      </c>
      <c r="B6" s="334" t="s">
        <v>709</v>
      </c>
    </row>
    <row r="7" spans="1:8" ht="16.149999999999999" customHeight="1" x14ac:dyDescent="0.2">
      <c r="A7" s="333" t="s">
        <v>710</v>
      </c>
      <c r="B7" s="334" t="s">
        <v>826</v>
      </c>
    </row>
    <row r="8" spans="1:8" ht="16.149999999999999" customHeight="1" x14ac:dyDescent="0.2">
      <c r="A8" s="333" t="s">
        <v>711</v>
      </c>
      <c r="B8" s="334" t="s">
        <v>822</v>
      </c>
    </row>
    <row r="9" spans="1:8" ht="16.149999999999999" customHeight="1" x14ac:dyDescent="0.2">
      <c r="A9" s="333" t="s">
        <v>712</v>
      </c>
      <c r="B9" s="336">
        <v>45964</v>
      </c>
    </row>
    <row r="10" spans="1:8" ht="16.149999999999999" customHeight="1" x14ac:dyDescent="0.2">
      <c r="A10" s="333" t="s">
        <v>698</v>
      </c>
      <c r="B10" s="335"/>
    </row>
    <row r="11" spans="1:8" ht="16.149999999999999" customHeight="1" thickBot="1" x14ac:dyDescent="0.25"/>
    <row r="12" spans="1:8" ht="16.149999999999999" customHeight="1" x14ac:dyDescent="0.2">
      <c r="C12" s="349"/>
      <c r="D12" s="350"/>
      <c r="E12" s="350"/>
      <c r="F12" s="350"/>
      <c r="G12" s="350" t="s">
        <v>823</v>
      </c>
      <c r="H12" s="351"/>
    </row>
    <row r="13" spans="1:8" ht="16.149999999999999" customHeight="1" x14ac:dyDescent="0.2">
      <c r="A13" s="333" t="s">
        <v>713</v>
      </c>
      <c r="B13" s="333" t="s">
        <v>714</v>
      </c>
      <c r="C13" s="352" t="s">
        <v>715</v>
      </c>
      <c r="D13" s="337" t="s">
        <v>716</v>
      </c>
      <c r="E13" s="337" t="s">
        <v>717</v>
      </c>
      <c r="F13" s="337" t="s">
        <v>909</v>
      </c>
      <c r="G13" s="337" t="s">
        <v>803</v>
      </c>
      <c r="H13" s="353" t="s">
        <v>718</v>
      </c>
    </row>
    <row r="14" spans="1:8" ht="16.149999999999999" customHeight="1" x14ac:dyDescent="0.2">
      <c r="A14" s="339" t="s">
        <v>519</v>
      </c>
      <c r="C14" s="354" t="s">
        <v>721</v>
      </c>
      <c r="D14" s="355">
        <v>4000</v>
      </c>
      <c r="E14" s="355" t="s">
        <v>723</v>
      </c>
      <c r="F14" s="355" t="s">
        <v>748</v>
      </c>
      <c r="G14" s="338">
        <v>-351840.53</v>
      </c>
      <c r="H14" s="356">
        <v>-351840.53</v>
      </c>
    </row>
    <row r="15" spans="1:8" ht="16.149999999999999" customHeight="1" x14ac:dyDescent="0.2">
      <c r="A15" s="339" t="s">
        <v>571</v>
      </c>
      <c r="C15" s="354" t="s">
        <v>721</v>
      </c>
      <c r="D15" s="355">
        <v>4000</v>
      </c>
      <c r="E15" s="355" t="s">
        <v>723</v>
      </c>
      <c r="F15" s="355" t="s">
        <v>751</v>
      </c>
      <c r="G15" s="338">
        <v>-119429615.04000001</v>
      </c>
      <c r="H15" s="356">
        <v>-119429615.04000001</v>
      </c>
    </row>
    <row r="16" spans="1:8" ht="16.149999999999999" customHeight="1" x14ac:dyDescent="0.2">
      <c r="A16" s="339" t="s">
        <v>571</v>
      </c>
      <c r="C16" s="354" t="s">
        <v>721</v>
      </c>
      <c r="D16" s="355">
        <v>4000</v>
      </c>
      <c r="E16" s="355" t="s">
        <v>723</v>
      </c>
      <c r="F16" s="355" t="s">
        <v>885</v>
      </c>
      <c r="G16" s="338">
        <v>-14298041.85</v>
      </c>
      <c r="H16" s="356">
        <v>-14298041.85</v>
      </c>
    </row>
    <row r="17" spans="1:8" ht="16.149999999999999" customHeight="1" x14ac:dyDescent="0.2">
      <c r="A17" s="339" t="s">
        <v>519</v>
      </c>
      <c r="C17" s="354" t="s">
        <v>721</v>
      </c>
      <c r="D17" s="355">
        <v>4000</v>
      </c>
      <c r="E17" s="355" t="s">
        <v>723</v>
      </c>
      <c r="F17" s="355" t="s">
        <v>838</v>
      </c>
      <c r="G17" s="338">
        <v>-2110.6999999999998</v>
      </c>
      <c r="H17" s="356">
        <v>-2110.6999999999998</v>
      </c>
    </row>
    <row r="18" spans="1:8" ht="16.149999999999999" customHeight="1" x14ac:dyDescent="0.2">
      <c r="A18" s="339" t="s">
        <v>577</v>
      </c>
      <c r="C18" s="354" t="s">
        <v>721</v>
      </c>
      <c r="D18" s="355">
        <v>4000</v>
      </c>
      <c r="E18" s="355" t="s">
        <v>723</v>
      </c>
      <c r="F18" s="355" t="s">
        <v>889</v>
      </c>
      <c r="G18" s="338">
        <v>-9493378.1799999997</v>
      </c>
      <c r="H18" s="356">
        <v>-9493378.1799999997</v>
      </c>
    </row>
    <row r="19" spans="1:8" ht="16.149999999999999" customHeight="1" x14ac:dyDescent="0.2">
      <c r="A19" s="339" t="s">
        <v>577</v>
      </c>
      <c r="C19" s="354" t="s">
        <v>721</v>
      </c>
      <c r="D19" s="355">
        <v>4000</v>
      </c>
      <c r="E19" s="355" t="s">
        <v>723</v>
      </c>
      <c r="F19" s="355" t="s">
        <v>894</v>
      </c>
      <c r="G19" s="338">
        <v>-13543.74</v>
      </c>
      <c r="H19" s="356">
        <v>-13543.74</v>
      </c>
    </row>
    <row r="20" spans="1:8" ht="16.149999999999999" customHeight="1" x14ac:dyDescent="0.2">
      <c r="A20" s="339" t="s">
        <v>578</v>
      </c>
      <c r="C20" s="354" t="s">
        <v>721</v>
      </c>
      <c r="D20" s="355">
        <v>4000</v>
      </c>
      <c r="E20" s="355" t="s">
        <v>723</v>
      </c>
      <c r="F20" s="355" t="s">
        <v>762</v>
      </c>
      <c r="G20" s="338">
        <v>-121891.36</v>
      </c>
      <c r="H20" s="356">
        <v>-121891.36</v>
      </c>
    </row>
    <row r="21" spans="1:8" ht="16.149999999999999" customHeight="1" x14ac:dyDescent="0.2">
      <c r="A21" s="339" t="s">
        <v>578</v>
      </c>
      <c r="C21" s="354" t="s">
        <v>721</v>
      </c>
      <c r="D21" s="355">
        <v>4000</v>
      </c>
      <c r="E21" s="355" t="s">
        <v>723</v>
      </c>
      <c r="F21" s="355" t="s">
        <v>900</v>
      </c>
      <c r="G21" s="338">
        <v>-654669.55000000005</v>
      </c>
      <c r="H21" s="356">
        <v>-654669.55000000005</v>
      </c>
    </row>
    <row r="22" spans="1:8" ht="16.149999999999999" customHeight="1" x14ac:dyDescent="0.2">
      <c r="A22" s="339" t="s">
        <v>519</v>
      </c>
      <c r="C22" s="354" t="s">
        <v>721</v>
      </c>
      <c r="D22" s="355">
        <v>4000</v>
      </c>
      <c r="E22" s="355" t="s">
        <v>723</v>
      </c>
      <c r="F22" s="355" t="s">
        <v>840</v>
      </c>
      <c r="G22" s="338">
        <v>-14126.55</v>
      </c>
      <c r="H22" s="356">
        <v>-14126.55</v>
      </c>
    </row>
    <row r="23" spans="1:8" ht="16.149999999999999" customHeight="1" x14ac:dyDescent="0.2">
      <c r="A23" s="339" t="s">
        <v>519</v>
      </c>
      <c r="C23" s="354" t="s">
        <v>721</v>
      </c>
      <c r="D23" s="355">
        <v>4000</v>
      </c>
      <c r="E23" s="355" t="s">
        <v>723</v>
      </c>
      <c r="F23" s="355" t="s">
        <v>842</v>
      </c>
      <c r="G23" s="338">
        <v>-1318576.1100000001</v>
      </c>
      <c r="H23" s="356">
        <v>-1318576.1100000001</v>
      </c>
    </row>
    <row r="24" spans="1:8" ht="16.149999999999999" customHeight="1" x14ac:dyDescent="0.2">
      <c r="A24" s="339" t="s">
        <v>519</v>
      </c>
      <c r="C24" s="354" t="s">
        <v>721</v>
      </c>
      <c r="D24" s="355">
        <v>4000</v>
      </c>
      <c r="E24" s="355" t="s">
        <v>723</v>
      </c>
      <c r="F24" s="355" t="s">
        <v>764</v>
      </c>
      <c r="G24" s="338">
        <v>-456419.53</v>
      </c>
      <c r="H24" s="356">
        <v>-456419.53</v>
      </c>
    </row>
    <row r="25" spans="1:8" ht="16.149999999999999" customHeight="1" x14ac:dyDescent="0.2">
      <c r="A25" s="339" t="s">
        <v>579</v>
      </c>
      <c r="C25" s="354" t="s">
        <v>721</v>
      </c>
      <c r="D25" s="355">
        <v>4000</v>
      </c>
      <c r="E25" s="355" t="s">
        <v>723</v>
      </c>
      <c r="F25" s="355" t="s">
        <v>766</v>
      </c>
      <c r="G25" s="338">
        <v>-134821.38</v>
      </c>
      <c r="H25" s="356">
        <v>-134821.38</v>
      </c>
    </row>
    <row r="26" spans="1:8" ht="16.149999999999999" customHeight="1" x14ac:dyDescent="0.2">
      <c r="A26" s="339" t="s">
        <v>519</v>
      </c>
      <c r="C26" s="354" t="s">
        <v>721</v>
      </c>
      <c r="D26" s="355">
        <v>4000</v>
      </c>
      <c r="E26" s="355" t="s">
        <v>723</v>
      </c>
      <c r="F26" s="355" t="s">
        <v>768</v>
      </c>
      <c r="G26" s="338">
        <v>60.65</v>
      </c>
      <c r="H26" s="356">
        <v>60.65</v>
      </c>
    </row>
    <row r="27" spans="1:8" ht="16.149999999999999" customHeight="1" x14ac:dyDescent="0.2">
      <c r="A27" s="339" t="s">
        <v>519</v>
      </c>
      <c r="C27" s="354" t="s">
        <v>721</v>
      </c>
      <c r="D27" s="355">
        <v>4000</v>
      </c>
      <c r="E27" s="355" t="s">
        <v>723</v>
      </c>
      <c r="F27" s="355" t="s">
        <v>904</v>
      </c>
      <c r="G27" s="338">
        <v>-241026.26</v>
      </c>
      <c r="H27" s="356">
        <v>-241026.26</v>
      </c>
    </row>
    <row r="28" spans="1:8" ht="16.149999999999999" customHeight="1" x14ac:dyDescent="0.2">
      <c r="A28" s="339" t="s">
        <v>519</v>
      </c>
      <c r="C28" s="354" t="s">
        <v>721</v>
      </c>
      <c r="D28" s="355">
        <v>4000</v>
      </c>
      <c r="E28" s="355" t="s">
        <v>723</v>
      </c>
      <c r="F28" s="355" t="s">
        <v>906</v>
      </c>
      <c r="G28" s="338">
        <v>-234826.39</v>
      </c>
      <c r="H28" s="356">
        <v>-234826.39</v>
      </c>
    </row>
    <row r="29" spans="1:8" ht="16.149999999999999" customHeight="1" x14ac:dyDescent="0.2">
      <c r="A29" s="339" t="s">
        <v>573</v>
      </c>
      <c r="C29" s="354" t="s">
        <v>721</v>
      </c>
      <c r="D29" s="355">
        <v>4000</v>
      </c>
      <c r="E29" s="355" t="s">
        <v>723</v>
      </c>
      <c r="F29" s="355" t="s">
        <v>770</v>
      </c>
      <c r="G29" s="338">
        <v>-74949.100000000006</v>
      </c>
      <c r="H29" s="356">
        <v>-74949.100000000006</v>
      </c>
    </row>
    <row r="30" spans="1:8" ht="16.149999999999999" customHeight="1" x14ac:dyDescent="0.2">
      <c r="A30" s="339" t="s">
        <v>577</v>
      </c>
      <c r="C30" s="354" t="s">
        <v>721</v>
      </c>
      <c r="D30" s="355">
        <v>4000</v>
      </c>
      <c r="E30" s="355" t="s">
        <v>723</v>
      </c>
      <c r="F30" s="355" t="s">
        <v>844</v>
      </c>
      <c r="G30" s="338">
        <v>-809718.64</v>
      </c>
      <c r="H30" s="356">
        <v>-809718.64</v>
      </c>
    </row>
    <row r="31" spans="1:8" ht="16.149999999999999" customHeight="1" x14ac:dyDescent="0.2">
      <c r="A31" s="339" t="s">
        <v>577</v>
      </c>
      <c r="C31" s="354" t="s">
        <v>721</v>
      </c>
      <c r="D31" s="355">
        <v>4000</v>
      </c>
      <c r="E31" s="355" t="s">
        <v>723</v>
      </c>
      <c r="F31" s="355" t="s">
        <v>846</v>
      </c>
      <c r="G31" s="338">
        <v>-609968.59</v>
      </c>
      <c r="H31" s="356">
        <v>-609968.59</v>
      </c>
    </row>
    <row r="32" spans="1:8" ht="16.149999999999999" customHeight="1" x14ac:dyDescent="0.2">
      <c r="A32" s="339" t="s">
        <v>575</v>
      </c>
      <c r="C32" s="354" t="s">
        <v>721</v>
      </c>
      <c r="D32" s="355">
        <v>4000</v>
      </c>
      <c r="E32" s="355" t="s">
        <v>723</v>
      </c>
      <c r="F32" s="355" t="s">
        <v>910</v>
      </c>
      <c r="G32" s="338">
        <v>-4043.31</v>
      </c>
      <c r="H32" s="356">
        <v>-4043.31</v>
      </c>
    </row>
    <row r="33" spans="1:8" ht="16.149999999999999" customHeight="1" x14ac:dyDescent="0.2">
      <c r="A33" s="339" t="s">
        <v>519</v>
      </c>
      <c r="C33" s="354" t="s">
        <v>721</v>
      </c>
      <c r="D33" s="355">
        <v>4000</v>
      </c>
      <c r="E33" s="355" t="s">
        <v>723</v>
      </c>
      <c r="F33" s="355" t="s">
        <v>848</v>
      </c>
      <c r="G33" s="338">
        <v>-445306.37</v>
      </c>
      <c r="H33" s="356">
        <v>-445306.37</v>
      </c>
    </row>
    <row r="34" spans="1:8" ht="16.149999999999999" customHeight="1" x14ac:dyDescent="0.2">
      <c r="A34" s="339" t="s">
        <v>33</v>
      </c>
      <c r="C34" s="354" t="s">
        <v>721</v>
      </c>
      <c r="D34" s="355">
        <v>4000</v>
      </c>
      <c r="E34" s="355" t="s">
        <v>723</v>
      </c>
      <c r="F34" s="355" t="s">
        <v>850</v>
      </c>
      <c r="G34" s="338">
        <v>-90911</v>
      </c>
      <c r="H34" s="356">
        <v>-90911</v>
      </c>
    </row>
    <row r="35" spans="1:8" ht="16.149999999999999" customHeight="1" x14ac:dyDescent="0.2">
      <c r="A35" s="339" t="s">
        <v>34</v>
      </c>
      <c r="C35" s="354" t="s">
        <v>824</v>
      </c>
      <c r="D35" s="355">
        <v>4002</v>
      </c>
      <c r="E35" s="355" t="s">
        <v>825</v>
      </c>
      <c r="F35" s="355" t="s">
        <v>834</v>
      </c>
      <c r="G35" s="338">
        <v>-6411376</v>
      </c>
      <c r="H35" s="356">
        <v>-6411376</v>
      </c>
    </row>
    <row r="36" spans="1:8" ht="16.149999999999999" customHeight="1" x14ac:dyDescent="0.2">
      <c r="A36" s="339" t="s">
        <v>519</v>
      </c>
      <c r="C36" s="354" t="s">
        <v>824</v>
      </c>
      <c r="D36" s="355">
        <v>4002</v>
      </c>
      <c r="E36" s="355" t="s">
        <v>825</v>
      </c>
      <c r="F36" s="355" t="s">
        <v>853</v>
      </c>
      <c r="G36" s="338">
        <v>-170900.08</v>
      </c>
      <c r="H36" s="356">
        <v>-170900.08</v>
      </c>
    </row>
    <row r="37" spans="1:8" ht="16.149999999999999" customHeight="1" thickBot="1" x14ac:dyDescent="0.25">
      <c r="A37" s="339"/>
      <c r="C37" s="357" t="s">
        <v>18</v>
      </c>
      <c r="D37" s="347"/>
      <c r="E37" s="347"/>
      <c r="F37" s="347"/>
      <c r="G37" s="358">
        <v>-155381999.61000001</v>
      </c>
      <c r="H37" s="359">
        <v>-155381999.61000001</v>
      </c>
    </row>
    <row r="38" spans="1:8" ht="16.149999999999999" customHeight="1" x14ac:dyDescent="0.2">
      <c r="A38" s="339"/>
    </row>
    <row r="39" spans="1:8" ht="16.149999999999999" customHeight="1" x14ac:dyDescent="0.2">
      <c r="H39" s="328"/>
    </row>
    <row r="40" spans="1:8" ht="16.149999999999999" customHeight="1" x14ac:dyDescent="0.2">
      <c r="H40" s="328"/>
    </row>
    <row r="41" spans="1:8" ht="16.149999999999999" customHeight="1" x14ac:dyDescent="0.2">
      <c r="H41" s="328"/>
    </row>
    <row r="42" spans="1:8" ht="16.149999999999999" customHeight="1" x14ac:dyDescent="0.2">
      <c r="H42" s="360"/>
    </row>
  </sheetData>
  <pageMargins left="0.7" right="0.7" top="0.75" bottom="0.75" header="0.3" footer="0.3"/>
  <headerFooter>
    <oddFooter>&amp;C_x000D_&amp;1#&amp;"Aptos"&amp;10&amp;K008000 APA-INTERNAL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6E2A2-CFB3-4B37-AC67-53FEB07BB5E4}">
  <sheetPr>
    <tabColor rgb="FF92D050"/>
  </sheetPr>
  <dimension ref="A1:CK63"/>
  <sheetViews>
    <sheetView showGridLines="0" topLeftCell="A13" zoomScale="80" zoomScaleNormal="80" workbookViewId="0">
      <selection activeCell="A46" sqref="A46:IV46"/>
    </sheetView>
  </sheetViews>
  <sheetFormatPr defaultColWidth="8.7109375" defaultRowHeight="12.75" x14ac:dyDescent="0.2"/>
  <cols>
    <col min="1" max="1" width="21.7109375" style="15" customWidth="1"/>
    <col min="2" max="2" width="44" style="15" customWidth="1"/>
    <col min="3" max="3" width="7.42578125" style="15" bestFit="1" customWidth="1"/>
    <col min="4" max="13" width="20.5703125" style="15" customWidth="1"/>
    <col min="14" max="14" width="16.5703125" style="15" customWidth="1"/>
    <col min="15" max="15" width="11.7109375" style="15" bestFit="1" customWidth="1"/>
    <col min="16" max="16384" width="8.7109375" style="15"/>
  </cols>
  <sheetData>
    <row r="1" spans="1:14" x14ac:dyDescent="0.2">
      <c r="A1" s="317" t="s">
        <v>974</v>
      </c>
    </row>
    <row r="2" spans="1:14" x14ac:dyDescent="0.2">
      <c r="A2" s="15" t="s">
        <v>975</v>
      </c>
    </row>
    <row r="3" spans="1:14" x14ac:dyDescent="0.2">
      <c r="B3" s="15" t="s">
        <v>781</v>
      </c>
    </row>
    <row r="6" spans="1:14" x14ac:dyDescent="0.2">
      <c r="B6" s="15" t="s">
        <v>782</v>
      </c>
    </row>
    <row r="8" spans="1:14" x14ac:dyDescent="0.2">
      <c r="B8" s="327" t="s">
        <v>783</v>
      </c>
    </row>
    <row r="9" spans="1:14" x14ac:dyDescent="0.2">
      <c r="B9" s="15" t="s">
        <v>784</v>
      </c>
    </row>
    <row r="10" spans="1:14" x14ac:dyDescent="0.2">
      <c r="B10" s="15" t="s">
        <v>785</v>
      </c>
    </row>
    <row r="11" spans="1:14" x14ac:dyDescent="0.2">
      <c r="B11" s="15" t="s">
        <v>786</v>
      </c>
    </row>
    <row r="13" spans="1:14" s="13" customFormat="1" x14ac:dyDescent="0.2">
      <c r="A13" s="321" t="s">
        <v>974</v>
      </c>
    </row>
    <row r="14" spans="1:14" s="13" customFormat="1" x14ac:dyDescent="0.2">
      <c r="A14" s="321" t="s">
        <v>975</v>
      </c>
    </row>
    <row r="15" spans="1:14" s="13" customFormat="1" x14ac:dyDescent="0.2">
      <c r="G15" s="361" t="str">
        <f>$A$49</f>
        <v>Other depreciable pipeline assets</v>
      </c>
    </row>
    <row r="16" spans="1:14" s="13" customFormat="1" ht="13.5" thickBot="1" x14ac:dyDescent="0.25">
      <c r="A16" s="321" t="s">
        <v>917</v>
      </c>
      <c r="B16" s="362" t="s">
        <v>918</v>
      </c>
      <c r="C16" s="362" t="s">
        <v>789</v>
      </c>
      <c r="D16" s="363" t="s">
        <v>771</v>
      </c>
      <c r="E16" s="363" t="s">
        <v>52</v>
      </c>
      <c r="F16" s="363" t="s">
        <v>919</v>
      </c>
      <c r="G16" s="363" t="s">
        <v>920</v>
      </c>
      <c r="H16" s="363" t="s">
        <v>772</v>
      </c>
      <c r="I16" s="363" t="s">
        <v>773</v>
      </c>
      <c r="J16" s="363" t="s">
        <v>793</v>
      </c>
      <c r="K16" s="363" t="s">
        <v>724</v>
      </c>
      <c r="L16" s="363" t="s">
        <v>921</v>
      </c>
      <c r="M16" s="363" t="s">
        <v>796</v>
      </c>
      <c r="N16" s="363" t="s">
        <v>797</v>
      </c>
    </row>
    <row r="17" spans="1:89" s="13" customFormat="1" x14ac:dyDescent="0.2">
      <c r="B17" s="364" t="s">
        <v>922</v>
      </c>
      <c r="C17" s="364" t="s">
        <v>729</v>
      </c>
      <c r="D17" s="365"/>
      <c r="E17" s="365"/>
      <c r="F17" s="364"/>
      <c r="G17" s="364"/>
      <c r="H17" s="365"/>
      <c r="I17" s="365"/>
      <c r="J17" s="365"/>
      <c r="K17" s="365"/>
      <c r="L17" s="364"/>
      <c r="M17" s="365"/>
      <c r="N17" s="365"/>
    </row>
    <row r="18" spans="1:89" s="10" customFormat="1" x14ac:dyDescent="0.2">
      <c r="A18" s="13" t="str">
        <f t="shared" ref="A18:A28" si="0">B18</f>
        <v>Buildings</v>
      </c>
      <c r="B18" s="364" t="s">
        <v>774</v>
      </c>
      <c r="C18" s="364" t="s">
        <v>827</v>
      </c>
      <c r="D18" s="365">
        <v>6508408.75</v>
      </c>
      <c r="E18" s="365">
        <v>82760</v>
      </c>
      <c r="F18" s="365">
        <v>0</v>
      </c>
      <c r="G18" s="365">
        <v>0</v>
      </c>
      <c r="H18" s="365">
        <v>0</v>
      </c>
      <c r="I18" s="365">
        <v>6591168.75</v>
      </c>
      <c r="J18" s="365">
        <v>1644398.4499999997</v>
      </c>
      <c r="K18" s="365">
        <v>200995.95</v>
      </c>
      <c r="L18" s="365">
        <v>0</v>
      </c>
      <c r="M18" s="365">
        <v>1845394.4</v>
      </c>
      <c r="N18" s="365">
        <v>4745774.3500000006</v>
      </c>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row>
    <row r="19" spans="1:89" s="10" customFormat="1" x14ac:dyDescent="0.2">
      <c r="A19" s="13" t="str">
        <f t="shared" si="0"/>
        <v>Capitalised maintenance</v>
      </c>
      <c r="B19" s="364" t="s">
        <v>923</v>
      </c>
      <c r="C19" s="364" t="s">
        <v>827</v>
      </c>
      <c r="D19" s="365">
        <v>0</v>
      </c>
      <c r="E19" s="365">
        <v>2631798.17</v>
      </c>
      <c r="F19" s="365">
        <v>3503.66</v>
      </c>
      <c r="G19" s="365">
        <v>0</v>
      </c>
      <c r="H19" s="365">
        <v>0</v>
      </c>
      <c r="I19" s="365">
        <v>2635301.83</v>
      </c>
      <c r="J19" s="365">
        <v>0</v>
      </c>
      <c r="K19" s="365">
        <v>54902.12</v>
      </c>
      <c r="L19" s="365">
        <v>0</v>
      </c>
      <c r="M19" s="365">
        <v>54902.12</v>
      </c>
      <c r="N19" s="365">
        <v>2580399.71</v>
      </c>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row>
    <row r="20" spans="1:89" s="10" customFormat="1" x14ac:dyDescent="0.2">
      <c r="A20" s="13" t="str">
        <f t="shared" si="0"/>
        <v>City Gates, supply regulators and valve stations</v>
      </c>
      <c r="B20" s="364" t="s">
        <v>775</v>
      </c>
      <c r="C20" s="364" t="s">
        <v>827</v>
      </c>
      <c r="D20" s="365">
        <v>27483569.309999995</v>
      </c>
      <c r="E20" s="365">
        <v>0</v>
      </c>
      <c r="F20" s="365">
        <v>0</v>
      </c>
      <c r="G20" s="365">
        <v>2420303.5300000003</v>
      </c>
      <c r="H20" s="365">
        <v>0</v>
      </c>
      <c r="I20" s="365">
        <v>29903872.840000004</v>
      </c>
      <c r="J20" s="365">
        <v>5546633.4300000016</v>
      </c>
      <c r="K20" s="365">
        <v>1426284.9300000009</v>
      </c>
      <c r="L20" s="365">
        <v>0</v>
      </c>
      <c r="M20" s="365">
        <v>6972918.3600000003</v>
      </c>
      <c r="N20" s="365">
        <v>22930954.479999997</v>
      </c>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row>
    <row r="21" spans="1:89" s="10" customFormat="1" x14ac:dyDescent="0.2">
      <c r="A21" s="13" t="str">
        <f t="shared" si="0"/>
        <v>Compressors</v>
      </c>
      <c r="B21" s="364" t="s">
        <v>776</v>
      </c>
      <c r="C21" s="364" t="s">
        <v>827</v>
      </c>
      <c r="D21" s="365">
        <v>209991649.13000003</v>
      </c>
      <c r="E21" s="365">
        <v>12606885.639999999</v>
      </c>
      <c r="F21" s="365">
        <v>0.01</v>
      </c>
      <c r="G21" s="365">
        <v>86536035.479999989</v>
      </c>
      <c r="H21" s="365">
        <v>0</v>
      </c>
      <c r="I21" s="365">
        <v>309134570.26000005</v>
      </c>
      <c r="J21" s="365">
        <v>79337258.999999985</v>
      </c>
      <c r="K21" s="365">
        <v>14590838.780000001</v>
      </c>
      <c r="L21" s="365">
        <v>0</v>
      </c>
      <c r="M21" s="365">
        <v>93928097.780000001</v>
      </c>
      <c r="N21" s="365">
        <v>215206472.47999984</v>
      </c>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row>
    <row r="22" spans="1:89" s="10" customFormat="1" x14ac:dyDescent="0.2">
      <c r="A22" s="13" t="str">
        <f t="shared" si="0"/>
        <v>Land and easements</v>
      </c>
      <c r="B22" s="364" t="s">
        <v>90</v>
      </c>
      <c r="C22" s="364" t="s">
        <v>827</v>
      </c>
      <c r="D22" s="365">
        <v>1702290.0200000009</v>
      </c>
      <c r="E22" s="365">
        <v>6346459</v>
      </c>
      <c r="F22" s="365">
        <v>0</v>
      </c>
      <c r="G22" s="365">
        <v>0</v>
      </c>
      <c r="H22" s="365">
        <v>0</v>
      </c>
      <c r="I22" s="365">
        <v>8048749.0199999986</v>
      </c>
      <c r="J22" s="365">
        <v>77293.489999999991</v>
      </c>
      <c r="K22" s="365">
        <v>6401.72</v>
      </c>
      <c r="L22" s="365">
        <v>0</v>
      </c>
      <c r="M22" s="365">
        <v>83695.209999999992</v>
      </c>
      <c r="N22" s="365">
        <v>7965053.8099999987</v>
      </c>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row>
    <row r="23" spans="1:89" s="10" customFormat="1" x14ac:dyDescent="0.2">
      <c r="A23" s="13" t="str">
        <f t="shared" si="0"/>
        <v>Metering</v>
      </c>
      <c r="B23" s="364" t="s">
        <v>778</v>
      </c>
      <c r="C23" s="364" t="s">
        <v>827</v>
      </c>
      <c r="D23" s="365">
        <v>7892152.6399999997</v>
      </c>
      <c r="E23" s="365">
        <v>0</v>
      </c>
      <c r="F23" s="365">
        <v>0</v>
      </c>
      <c r="G23" s="365">
        <v>584595.20000000007</v>
      </c>
      <c r="H23" s="365">
        <v>0</v>
      </c>
      <c r="I23" s="365">
        <v>8476747.839999998</v>
      </c>
      <c r="J23" s="365">
        <v>2885006.5699999994</v>
      </c>
      <c r="K23" s="365">
        <v>399871.7699999999</v>
      </c>
      <c r="L23" s="365">
        <v>0</v>
      </c>
      <c r="M23" s="365">
        <v>3284878.3400000003</v>
      </c>
      <c r="N23" s="365">
        <v>5191869.5</v>
      </c>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row>
    <row r="24" spans="1:89" s="10" customFormat="1" x14ac:dyDescent="0.2">
      <c r="A24" s="13" t="str">
        <f t="shared" si="0"/>
        <v>Odourant plants</v>
      </c>
      <c r="B24" s="364" t="s">
        <v>777</v>
      </c>
      <c r="C24" s="364" t="s">
        <v>827</v>
      </c>
      <c r="D24" s="365">
        <v>906504.53</v>
      </c>
      <c r="E24" s="365">
        <v>0</v>
      </c>
      <c r="F24" s="365">
        <v>0</v>
      </c>
      <c r="G24" s="365">
        <v>0</v>
      </c>
      <c r="H24" s="365">
        <v>0</v>
      </c>
      <c r="I24" s="365">
        <v>906504.53</v>
      </c>
      <c r="J24" s="365">
        <v>456301.55</v>
      </c>
      <c r="K24" s="365">
        <v>44919.68</v>
      </c>
      <c r="L24" s="365">
        <v>0</v>
      </c>
      <c r="M24" s="365">
        <v>501221.23</v>
      </c>
      <c r="N24" s="365">
        <v>405283.30000000005</v>
      </c>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row>
    <row r="25" spans="1:89" s="13" customFormat="1" x14ac:dyDescent="0.2">
      <c r="A25" s="13" t="str">
        <f t="shared" si="0"/>
        <v>Other depreciable pipeline assets</v>
      </c>
      <c r="B25" s="364" t="s">
        <v>132</v>
      </c>
      <c r="C25" s="364" t="s">
        <v>827</v>
      </c>
      <c r="D25" s="365">
        <v>24190515.619999994</v>
      </c>
      <c r="E25" s="365">
        <v>17465195.229999997</v>
      </c>
      <c r="F25" s="365">
        <v>0</v>
      </c>
      <c r="G25" s="365">
        <v>976682.39999999979</v>
      </c>
      <c r="H25" s="365">
        <v>0</v>
      </c>
      <c r="I25" s="365">
        <v>42632393.060000002</v>
      </c>
      <c r="J25" s="365">
        <v>17904161.439999983</v>
      </c>
      <c r="K25" s="365">
        <v>3632803.340000005</v>
      </c>
      <c r="L25" s="365">
        <v>0</v>
      </c>
      <c r="M25" s="365">
        <v>21536964.779999986</v>
      </c>
      <c r="N25" s="365">
        <v>21095428.279999971</v>
      </c>
    </row>
    <row r="26" spans="1:89" s="13" customFormat="1" x14ac:dyDescent="0.2">
      <c r="A26" s="13" t="str">
        <f t="shared" si="0"/>
        <v>Pipelines</v>
      </c>
      <c r="B26" s="364" t="s">
        <v>779</v>
      </c>
      <c r="C26" s="364" t="s">
        <v>827</v>
      </c>
      <c r="D26" s="365">
        <v>1048449135.1899978</v>
      </c>
      <c r="E26" s="365">
        <v>1132830.76</v>
      </c>
      <c r="F26" s="365">
        <v>24443314.43</v>
      </c>
      <c r="G26" s="365">
        <v>0</v>
      </c>
      <c r="H26" s="365">
        <v>0</v>
      </c>
      <c r="I26" s="365">
        <v>1074025280.3799977</v>
      </c>
      <c r="J26" s="365">
        <v>431838392.38999802</v>
      </c>
      <c r="K26" s="365">
        <v>27157450.730000023</v>
      </c>
      <c r="L26" s="365">
        <v>0</v>
      </c>
      <c r="M26" s="365">
        <v>458995843.11999905</v>
      </c>
      <c r="N26" s="365">
        <v>615029437.26000035</v>
      </c>
    </row>
    <row r="27" spans="1:89" s="13" customFormat="1" x14ac:dyDescent="0.2">
      <c r="A27" s="13" t="str">
        <f t="shared" si="0"/>
        <v>Pipelines</v>
      </c>
      <c r="B27" s="364" t="s">
        <v>779</v>
      </c>
      <c r="C27" s="364" t="s">
        <v>924</v>
      </c>
      <c r="D27" s="365">
        <v>313423723</v>
      </c>
      <c r="E27" s="365">
        <v>0</v>
      </c>
      <c r="F27" s="365">
        <v>0</v>
      </c>
      <c r="G27" s="365">
        <v>0</v>
      </c>
      <c r="H27" s="365">
        <v>0</v>
      </c>
      <c r="I27" s="365">
        <v>313423723</v>
      </c>
      <c r="J27" s="365">
        <v>147366508.56999999</v>
      </c>
      <c r="K27" s="365">
        <v>7548055.21</v>
      </c>
      <c r="L27" s="365">
        <v>0</v>
      </c>
      <c r="M27" s="365">
        <v>154914563.78</v>
      </c>
      <c r="N27" s="365">
        <v>158509159.22</v>
      </c>
    </row>
    <row r="28" spans="1:89" s="13" customFormat="1" x14ac:dyDescent="0.2">
      <c r="A28" s="13" t="str">
        <f t="shared" si="0"/>
        <v>SCADA (Communications)</v>
      </c>
      <c r="B28" s="364" t="s">
        <v>780</v>
      </c>
      <c r="C28" s="364" t="s">
        <v>827</v>
      </c>
      <c r="D28" s="365">
        <v>5133276.0199999977</v>
      </c>
      <c r="E28" s="365">
        <v>268778.25</v>
      </c>
      <c r="F28" s="365">
        <v>0</v>
      </c>
      <c r="G28" s="365">
        <v>58052.67</v>
      </c>
      <c r="H28" s="365">
        <v>0</v>
      </c>
      <c r="I28" s="365">
        <v>5460106.9399999976</v>
      </c>
      <c r="J28" s="365">
        <v>3215848.2999999993</v>
      </c>
      <c r="K28" s="365">
        <v>384155.72</v>
      </c>
      <c r="L28" s="365">
        <v>0</v>
      </c>
      <c r="M28" s="365">
        <v>3600004.0199999991</v>
      </c>
      <c r="N28" s="365">
        <v>1860102.92</v>
      </c>
    </row>
    <row r="29" spans="1:89" s="13" customFormat="1" x14ac:dyDescent="0.2">
      <c r="A29" s="321" t="s">
        <v>18</v>
      </c>
      <c r="B29" s="364" t="s">
        <v>799</v>
      </c>
      <c r="C29" s="364" t="s">
        <v>799</v>
      </c>
      <c r="D29" s="365">
        <v>1645681224.21</v>
      </c>
      <c r="E29" s="365">
        <v>40534707.049999997</v>
      </c>
      <c r="F29" s="365">
        <v>24446818.100000001</v>
      </c>
      <c r="G29" s="365">
        <v>90575669.280000001</v>
      </c>
      <c r="H29" s="365">
        <v>0</v>
      </c>
      <c r="I29" s="365">
        <v>1801238418.45</v>
      </c>
      <c r="J29" s="365">
        <v>690271803.19000006</v>
      </c>
      <c r="K29" s="365">
        <v>55446679.950000003</v>
      </c>
      <c r="L29" s="365">
        <v>0</v>
      </c>
      <c r="M29" s="365">
        <v>745718483.13999999</v>
      </c>
      <c r="N29" s="365">
        <v>1055519935.3099999</v>
      </c>
    </row>
    <row r="30" spans="1:89" s="13" customFormat="1" x14ac:dyDescent="0.2">
      <c r="A30" s="321"/>
      <c r="B30" s="366"/>
      <c r="C30" s="366"/>
      <c r="D30" s="367"/>
      <c r="E30" s="367"/>
      <c r="F30" s="366"/>
      <c r="G30" s="367"/>
      <c r="H30" s="367"/>
      <c r="I30" s="367"/>
      <c r="J30" s="367"/>
      <c r="K30" s="366"/>
      <c r="L30" s="367"/>
      <c r="M30" s="367"/>
    </row>
    <row r="31" spans="1:89" s="13" customFormat="1" x14ac:dyDescent="0.2">
      <c r="A31" s="13" t="s">
        <v>779</v>
      </c>
      <c r="B31" s="13" t="s">
        <v>719</v>
      </c>
      <c r="C31" s="13" t="s">
        <v>827</v>
      </c>
      <c r="D31" s="368">
        <v>0</v>
      </c>
      <c r="E31" s="368">
        <v>0</v>
      </c>
      <c r="F31" s="368">
        <v>0</v>
      </c>
      <c r="G31" s="368">
        <v>0</v>
      </c>
      <c r="H31" s="368">
        <v>0</v>
      </c>
      <c r="I31" s="368">
        <v>0</v>
      </c>
      <c r="J31" s="368"/>
      <c r="K31" s="368"/>
      <c r="L31" s="368"/>
      <c r="M31" s="368">
        <f>SUM(J31:L31)</f>
        <v>0</v>
      </c>
      <c r="N31" s="368">
        <f>SUM(I31,M31)</f>
        <v>0</v>
      </c>
    </row>
    <row r="32" spans="1:89" s="13" customFormat="1" x14ac:dyDescent="0.2">
      <c r="A32" s="13" t="s">
        <v>779</v>
      </c>
      <c r="B32" s="13" t="s">
        <v>720</v>
      </c>
      <c r="C32" s="13" t="s">
        <v>827</v>
      </c>
      <c r="D32" s="369"/>
      <c r="E32" s="369"/>
      <c r="F32" s="369"/>
      <c r="G32" s="369"/>
      <c r="H32" s="369"/>
      <c r="I32" s="369"/>
      <c r="J32" s="369" t="e">
        <v>#VALUE!</v>
      </c>
      <c r="K32" s="369">
        <v>-494143.46000000008</v>
      </c>
      <c r="L32" s="369"/>
      <c r="M32" s="369" t="e">
        <f>SUM(J32:L32)</f>
        <v>#VALUE!</v>
      </c>
      <c r="N32" s="369" t="e">
        <f>SUM(I32,M32)</f>
        <v>#VALUE!</v>
      </c>
    </row>
    <row r="33" spans="1:89" s="13" customFormat="1" x14ac:dyDescent="0.2">
      <c r="A33" s="13" t="s">
        <v>925</v>
      </c>
      <c r="B33" s="13" t="s">
        <v>926</v>
      </c>
      <c r="C33" s="13" t="s">
        <v>827</v>
      </c>
      <c r="D33" s="369"/>
      <c r="E33" s="369"/>
      <c r="F33" s="369"/>
      <c r="G33" s="369">
        <v>2519647.5700000003</v>
      </c>
      <c r="H33" s="369"/>
      <c r="I33" s="369">
        <f>SUM(D33:H33)</f>
        <v>2519647.5700000003</v>
      </c>
      <c r="J33" s="369"/>
      <c r="K33" s="369"/>
      <c r="L33" s="369"/>
      <c r="M33" s="369">
        <f>SUM(J33:L33)</f>
        <v>0</v>
      </c>
      <c r="N33" s="369">
        <f>SUM(I33,M33)</f>
        <v>2519647.5700000003</v>
      </c>
    </row>
    <row r="34" spans="1:89" s="13" customFormat="1" x14ac:dyDescent="0.2">
      <c r="D34" s="369"/>
      <c r="E34" s="369"/>
      <c r="F34" s="369"/>
      <c r="G34" s="369"/>
      <c r="H34" s="369"/>
      <c r="I34" s="369"/>
      <c r="J34" s="369"/>
      <c r="K34" s="369"/>
      <c r="L34" s="369"/>
      <c r="M34" s="369"/>
      <c r="N34" s="369"/>
    </row>
    <row r="35" spans="1:89" s="13" customFormat="1" ht="13.5" thickBot="1" x14ac:dyDescent="0.25">
      <c r="B35" s="321" t="s">
        <v>927</v>
      </c>
      <c r="C35" s="321"/>
      <c r="D35" s="370">
        <f t="shared" ref="D35:N35" si="1">SUM(D29,D31,D32,D33)</f>
        <v>1645681224.21</v>
      </c>
      <c r="E35" s="370">
        <f t="shared" si="1"/>
        <v>40534707.049999997</v>
      </c>
      <c r="F35" s="370">
        <f t="shared" si="1"/>
        <v>24446818.100000001</v>
      </c>
      <c r="G35" s="370">
        <f t="shared" si="1"/>
        <v>93095316.849999994</v>
      </c>
      <c r="H35" s="370">
        <f t="shared" si="1"/>
        <v>0</v>
      </c>
      <c r="I35" s="370">
        <f t="shared" si="1"/>
        <v>1803758066.02</v>
      </c>
      <c r="J35" s="370" t="e">
        <f t="shared" si="1"/>
        <v>#VALUE!</v>
      </c>
      <c r="K35" s="370">
        <f t="shared" si="1"/>
        <v>54952536.490000002</v>
      </c>
      <c r="L35" s="370">
        <f t="shared" si="1"/>
        <v>0</v>
      </c>
      <c r="M35" s="370" t="e">
        <f t="shared" si="1"/>
        <v>#VALUE!</v>
      </c>
      <c r="N35" s="370" t="e">
        <f t="shared" si="1"/>
        <v>#VALUE!</v>
      </c>
    </row>
    <row r="36" spans="1:89" s="319" customFormat="1" ht="13.5" thickTop="1" x14ac:dyDescent="0.2">
      <c r="B36" s="319" t="s">
        <v>928</v>
      </c>
      <c r="D36" s="371" t="e">
        <f>#REF!+#REF!-D35</f>
        <v>#REF!</v>
      </c>
      <c r="E36" s="320"/>
      <c r="F36" s="320"/>
      <c r="G36" s="320"/>
      <c r="I36" s="371" t="e">
        <f>#REF!+#REF!+#REF!-I35</f>
        <v>#REF!</v>
      </c>
      <c r="J36" s="371" t="e">
        <f>(#REF!+#REF!+#REF!)+J35</f>
        <v>#REF!</v>
      </c>
      <c r="K36" s="320"/>
      <c r="M36" s="371" t="e">
        <f>SUM(#REF!+#REF!+#REF!)+M35</f>
        <v>#REF!</v>
      </c>
      <c r="N36" s="371" t="e">
        <f>(SUM(#REF!)+SUM(#REF!)-#REF!)-N35</f>
        <v>#REF!</v>
      </c>
    </row>
    <row r="37" spans="1:89" s="10" customFormat="1" x14ac:dyDescent="0.2">
      <c r="A37" s="13"/>
      <c r="B37" s="13"/>
      <c r="C37" s="13"/>
      <c r="D37" s="13"/>
      <c r="E37" s="13"/>
      <c r="F37" s="13"/>
      <c r="G37" s="13"/>
      <c r="H37" s="13"/>
      <c r="I37" s="13"/>
      <c r="J37" s="13"/>
      <c r="K37" s="13"/>
      <c r="L37" s="13"/>
      <c r="M37" s="13"/>
      <c r="N37" s="369"/>
    </row>
    <row r="38" spans="1:89" s="13" customFormat="1" x14ac:dyDescent="0.2">
      <c r="A38" s="321" t="s">
        <v>787</v>
      </c>
      <c r="E38" s="369"/>
      <c r="K38" s="369"/>
      <c r="M38" s="369"/>
    </row>
    <row r="39" spans="1:89" s="13" customFormat="1" x14ac:dyDescent="0.2">
      <c r="A39" s="321" t="s">
        <v>788</v>
      </c>
    </row>
    <row r="40" spans="1:89" s="13" customFormat="1" x14ac:dyDescent="0.2">
      <c r="A40" s="321"/>
    </row>
    <row r="41" spans="1:89" s="13" customFormat="1" ht="13.5" thickBot="1" x14ac:dyDescent="0.25">
      <c r="A41" s="321" t="s">
        <v>917</v>
      </c>
      <c r="B41" s="362" t="s">
        <v>918</v>
      </c>
      <c r="C41" s="362" t="s">
        <v>789</v>
      </c>
      <c r="D41" s="363" t="s">
        <v>790</v>
      </c>
      <c r="E41" s="363" t="s">
        <v>52</v>
      </c>
      <c r="F41" s="363" t="s">
        <v>791</v>
      </c>
      <c r="G41" s="363" t="s">
        <v>929</v>
      </c>
      <c r="H41" s="363" t="s">
        <v>772</v>
      </c>
      <c r="I41" s="363" t="s">
        <v>792</v>
      </c>
      <c r="J41" s="363" t="s">
        <v>793</v>
      </c>
      <c r="K41" s="363" t="s">
        <v>794</v>
      </c>
      <c r="L41" s="363" t="s">
        <v>795</v>
      </c>
      <c r="M41" s="363" t="s">
        <v>796</v>
      </c>
      <c r="N41" s="363" t="s">
        <v>797</v>
      </c>
    </row>
    <row r="42" spans="1:89" s="13" customFormat="1" x14ac:dyDescent="0.2">
      <c r="A42" s="13" t="str">
        <f t="shared" ref="A42:A52" si="2">B42</f>
        <v>Buildings</v>
      </c>
      <c r="B42" s="364" t="s">
        <v>774</v>
      </c>
      <c r="C42" s="364" t="s">
        <v>827</v>
      </c>
      <c r="D42" s="375">
        <v>2970347.16</v>
      </c>
      <c r="E42" s="375">
        <v>3538061.59</v>
      </c>
      <c r="F42" s="375">
        <v>0</v>
      </c>
      <c r="G42" s="375">
        <v>0</v>
      </c>
      <c r="H42" s="375">
        <v>0</v>
      </c>
      <c r="I42" s="375">
        <v>6508408.75</v>
      </c>
      <c r="J42" s="375">
        <v>1447703.1700000002</v>
      </c>
      <c r="K42" s="375">
        <v>196695.27999999997</v>
      </c>
      <c r="L42" s="375">
        <v>0</v>
      </c>
      <c r="M42" s="375">
        <v>1644398.4499999997</v>
      </c>
      <c r="N42" s="376">
        <v>4864010.3000000007</v>
      </c>
      <c r="O42" s="369"/>
      <c r="P42" s="369"/>
      <c r="Q42" s="369"/>
      <c r="R42" s="369"/>
      <c r="S42" s="369"/>
      <c r="T42" s="369"/>
      <c r="U42" s="369"/>
      <c r="V42" s="369"/>
      <c r="W42" s="369"/>
      <c r="X42" s="369"/>
      <c r="Y42" s="369"/>
      <c r="Z42" s="369"/>
      <c r="AA42" s="369"/>
      <c r="AB42" s="369"/>
      <c r="AC42" s="369"/>
      <c r="AD42" s="369"/>
      <c r="AE42" s="369"/>
      <c r="AF42" s="369"/>
      <c r="AG42" s="369"/>
      <c r="AH42" s="369"/>
      <c r="AI42" s="369"/>
      <c r="AJ42" s="369"/>
      <c r="AK42" s="369"/>
      <c r="AL42" s="369"/>
      <c r="AM42" s="369"/>
      <c r="AN42" s="369"/>
      <c r="AO42" s="369"/>
      <c r="AP42" s="369"/>
      <c r="AQ42" s="369"/>
      <c r="AR42" s="369"/>
      <c r="AS42" s="369"/>
      <c r="AT42" s="369"/>
      <c r="AU42" s="369"/>
      <c r="AV42" s="369"/>
      <c r="AW42" s="369"/>
      <c r="AX42" s="369"/>
      <c r="AY42" s="369"/>
      <c r="AZ42" s="369"/>
      <c r="BA42" s="369"/>
      <c r="BB42" s="369"/>
      <c r="BC42" s="369"/>
      <c r="BD42" s="369"/>
      <c r="BE42" s="369"/>
      <c r="BF42" s="369"/>
      <c r="BG42" s="369"/>
      <c r="BH42" s="369"/>
      <c r="BI42" s="369"/>
      <c r="BJ42" s="369"/>
      <c r="BK42" s="369"/>
      <c r="BL42" s="369"/>
      <c r="BM42" s="369"/>
      <c r="BN42" s="369"/>
      <c r="BO42" s="369"/>
      <c r="BP42" s="369"/>
      <c r="BQ42" s="369"/>
      <c r="BR42" s="369"/>
      <c r="BS42" s="369"/>
      <c r="BT42" s="369"/>
      <c r="BU42" s="369"/>
      <c r="BV42" s="369"/>
      <c r="BW42" s="369"/>
      <c r="BX42" s="369"/>
      <c r="BY42" s="369"/>
      <c r="BZ42" s="369"/>
      <c r="CA42" s="369"/>
      <c r="CB42" s="369"/>
      <c r="CC42" s="369"/>
      <c r="CD42" s="369"/>
      <c r="CE42" s="369"/>
      <c r="CF42" s="369"/>
      <c r="CG42" s="369"/>
      <c r="CH42" s="369"/>
      <c r="CI42" s="369"/>
      <c r="CJ42" s="369"/>
      <c r="CK42" s="369"/>
    </row>
    <row r="43" spans="1:89" s="13" customFormat="1" x14ac:dyDescent="0.2">
      <c r="A43" s="13" t="str">
        <f t="shared" si="2"/>
        <v>Capitalised maintenance</v>
      </c>
      <c r="B43" s="364" t="s">
        <v>923</v>
      </c>
      <c r="C43" s="364" t="s">
        <v>827</v>
      </c>
      <c r="D43" s="375">
        <v>0</v>
      </c>
      <c r="E43" s="375">
        <v>0</v>
      </c>
      <c r="F43" s="375">
        <v>0</v>
      </c>
      <c r="G43" s="375">
        <v>0</v>
      </c>
      <c r="H43" s="375">
        <v>0</v>
      </c>
      <c r="I43" s="375">
        <v>0</v>
      </c>
      <c r="J43" s="375">
        <v>0</v>
      </c>
      <c r="K43" s="375">
        <v>0</v>
      </c>
      <c r="L43" s="375">
        <v>0</v>
      </c>
      <c r="M43" s="375">
        <v>0</v>
      </c>
      <c r="N43" s="375">
        <v>0</v>
      </c>
      <c r="O43" s="369"/>
      <c r="P43" s="369"/>
      <c r="Q43" s="369"/>
      <c r="R43" s="369"/>
      <c r="S43" s="369"/>
      <c r="T43" s="369"/>
      <c r="U43" s="369"/>
      <c r="V43" s="369"/>
      <c r="W43" s="369"/>
      <c r="X43" s="369"/>
      <c r="Y43" s="369"/>
      <c r="Z43" s="369"/>
      <c r="AA43" s="369"/>
      <c r="AB43" s="369"/>
      <c r="AC43" s="369"/>
      <c r="AD43" s="369"/>
      <c r="AE43" s="369"/>
      <c r="AF43" s="369"/>
      <c r="AG43" s="369"/>
      <c r="AH43" s="369"/>
      <c r="AI43" s="369"/>
      <c r="AJ43" s="369"/>
      <c r="AK43" s="369"/>
      <c r="AL43" s="369"/>
      <c r="AM43" s="369"/>
      <c r="AN43" s="369"/>
      <c r="AO43" s="369"/>
      <c r="AP43" s="369"/>
      <c r="AQ43" s="369"/>
      <c r="AR43" s="369"/>
      <c r="AS43" s="369"/>
      <c r="AT43" s="369"/>
      <c r="AU43" s="369"/>
      <c r="AV43" s="369"/>
      <c r="AW43" s="369"/>
      <c r="AX43" s="369"/>
      <c r="AY43" s="369"/>
      <c r="AZ43" s="369"/>
      <c r="BA43" s="369"/>
      <c r="BB43" s="369"/>
      <c r="BC43" s="369"/>
      <c r="BD43" s="369"/>
      <c r="BE43" s="369"/>
      <c r="BF43" s="369"/>
      <c r="BG43" s="369"/>
      <c r="BH43" s="369"/>
      <c r="BI43" s="369"/>
      <c r="BJ43" s="369"/>
      <c r="BK43" s="369"/>
      <c r="BL43" s="369"/>
      <c r="BM43" s="369"/>
      <c r="BN43" s="369"/>
      <c r="BO43" s="369"/>
      <c r="BP43" s="369"/>
      <c r="BQ43" s="369"/>
      <c r="BR43" s="369"/>
      <c r="BS43" s="369"/>
      <c r="BT43" s="369"/>
      <c r="BU43" s="369"/>
      <c r="BV43" s="369"/>
      <c r="BW43" s="369"/>
      <c r="BX43" s="369"/>
      <c r="BY43" s="369"/>
      <c r="BZ43" s="369"/>
      <c r="CA43" s="369"/>
      <c r="CB43" s="369"/>
      <c r="CC43" s="369"/>
      <c r="CD43" s="369"/>
      <c r="CE43" s="369"/>
      <c r="CF43" s="369"/>
      <c r="CG43" s="369"/>
      <c r="CH43" s="369"/>
      <c r="CI43" s="369"/>
      <c r="CJ43" s="369"/>
      <c r="CK43" s="369"/>
    </row>
    <row r="44" spans="1:89" s="13" customFormat="1" x14ac:dyDescent="0.2">
      <c r="A44" s="13" t="str">
        <f t="shared" si="2"/>
        <v>City Gates, supply regulators and valve stations</v>
      </c>
      <c r="B44" s="364" t="s">
        <v>775</v>
      </c>
      <c r="C44" s="364" t="s">
        <v>827</v>
      </c>
      <c r="D44" s="375">
        <v>27483569.309999995</v>
      </c>
      <c r="E44" s="375">
        <v>0</v>
      </c>
      <c r="F44" s="375">
        <v>0</v>
      </c>
      <c r="G44" s="375">
        <v>0</v>
      </c>
      <c r="H44" s="375">
        <v>0</v>
      </c>
      <c r="I44" s="375">
        <v>27483569.309999995</v>
      </c>
      <c r="J44" s="375">
        <v>4438405.7500000009</v>
      </c>
      <c r="K44" s="375">
        <v>1108227.6800000002</v>
      </c>
      <c r="L44" s="375">
        <v>0</v>
      </c>
      <c r="M44" s="375">
        <v>5546633.4300000016</v>
      </c>
      <c r="N44" s="376">
        <v>21936935.880000003</v>
      </c>
      <c r="O44" s="369"/>
      <c r="P44" s="369"/>
      <c r="Q44" s="369"/>
      <c r="R44" s="369"/>
      <c r="S44" s="369"/>
      <c r="T44" s="369"/>
      <c r="U44" s="369"/>
      <c r="V44" s="369"/>
      <c r="W44" s="369"/>
      <c r="X44" s="369"/>
      <c r="Y44" s="369"/>
      <c r="Z44" s="369"/>
      <c r="AA44" s="369"/>
      <c r="AB44" s="369"/>
      <c r="AC44" s="369"/>
      <c r="AD44" s="369"/>
      <c r="AE44" s="369"/>
      <c r="AF44" s="369"/>
      <c r="AG44" s="369"/>
      <c r="AH44" s="369"/>
      <c r="AI44" s="369"/>
      <c r="AJ44" s="369"/>
      <c r="AK44" s="369"/>
      <c r="AL44" s="369"/>
      <c r="AM44" s="369"/>
      <c r="AN44" s="369"/>
      <c r="AO44" s="369"/>
      <c r="AP44" s="369"/>
      <c r="AQ44" s="369"/>
      <c r="AR44" s="369"/>
      <c r="AS44" s="369"/>
      <c r="AT44" s="369"/>
      <c r="AU44" s="369"/>
      <c r="AV44" s="369"/>
      <c r="AW44" s="369"/>
      <c r="AX44" s="369"/>
      <c r="AY44" s="369"/>
      <c r="AZ44" s="369"/>
      <c r="BA44" s="369"/>
      <c r="BB44" s="369"/>
      <c r="BC44" s="369"/>
      <c r="BD44" s="369"/>
      <c r="BE44" s="369"/>
      <c r="BF44" s="369"/>
      <c r="BG44" s="369"/>
      <c r="BH44" s="369"/>
      <c r="BI44" s="369"/>
      <c r="BJ44" s="369"/>
      <c r="BK44" s="369"/>
      <c r="BL44" s="369"/>
      <c r="BM44" s="369"/>
      <c r="BN44" s="369"/>
      <c r="BO44" s="369"/>
      <c r="BP44" s="369"/>
      <c r="BQ44" s="369"/>
      <c r="BR44" s="369"/>
      <c r="BS44" s="369"/>
      <c r="BT44" s="369"/>
      <c r="BU44" s="369"/>
      <c r="BV44" s="369"/>
      <c r="BW44" s="369"/>
      <c r="BX44" s="369"/>
      <c r="BY44" s="369"/>
      <c r="BZ44" s="369"/>
      <c r="CA44" s="369"/>
      <c r="CB44" s="369"/>
      <c r="CC44" s="369"/>
      <c r="CD44" s="369"/>
      <c r="CE44" s="369"/>
      <c r="CF44" s="369"/>
      <c r="CG44" s="369"/>
      <c r="CH44" s="369"/>
      <c r="CI44" s="369"/>
      <c r="CJ44" s="369"/>
      <c r="CK44" s="369"/>
    </row>
    <row r="45" spans="1:89" s="13" customFormat="1" x14ac:dyDescent="0.2">
      <c r="A45" s="13" t="str">
        <f t="shared" si="2"/>
        <v>Compressors</v>
      </c>
      <c r="B45" s="364" t="s">
        <v>776</v>
      </c>
      <c r="C45" s="364" t="s">
        <v>827</v>
      </c>
      <c r="D45" s="375">
        <v>209849552.95000002</v>
      </c>
      <c r="E45" s="375">
        <v>156016.72999999998</v>
      </c>
      <c r="F45" s="375">
        <v>-13920.55</v>
      </c>
      <c r="G45" s="375">
        <v>0</v>
      </c>
      <c r="H45" s="375">
        <v>0</v>
      </c>
      <c r="I45" s="375">
        <v>209991649.13000003</v>
      </c>
      <c r="J45" s="375">
        <v>70400839.950000018</v>
      </c>
      <c r="K45" s="375">
        <v>8936419.0500000007</v>
      </c>
      <c r="L45" s="375">
        <v>0</v>
      </c>
      <c r="M45" s="375">
        <v>79337258.999999985</v>
      </c>
      <c r="N45" s="376">
        <v>130654390.13</v>
      </c>
      <c r="O45" s="369"/>
      <c r="P45" s="369"/>
      <c r="Q45" s="369"/>
      <c r="R45" s="369"/>
      <c r="S45" s="369"/>
      <c r="T45" s="369"/>
      <c r="U45" s="369"/>
      <c r="V45" s="369"/>
      <c r="W45" s="369"/>
      <c r="X45" s="369"/>
      <c r="Y45" s="369"/>
      <c r="Z45" s="369"/>
      <c r="AA45" s="369"/>
      <c r="AB45" s="369"/>
      <c r="AC45" s="369"/>
      <c r="AD45" s="369"/>
      <c r="AE45" s="369"/>
      <c r="AF45" s="369"/>
      <c r="AG45" s="369"/>
      <c r="AH45" s="369"/>
      <c r="AI45" s="369"/>
      <c r="AJ45" s="369"/>
      <c r="AK45" s="369"/>
      <c r="AL45" s="369"/>
      <c r="AM45" s="369"/>
      <c r="AN45" s="369"/>
      <c r="AO45" s="369"/>
      <c r="AP45" s="369"/>
      <c r="AQ45" s="369"/>
      <c r="AR45" s="369"/>
      <c r="AS45" s="369"/>
      <c r="AT45" s="369"/>
      <c r="AU45" s="369"/>
      <c r="AV45" s="369"/>
      <c r="AW45" s="369"/>
      <c r="AX45" s="369"/>
      <c r="AY45" s="369"/>
      <c r="AZ45" s="369"/>
      <c r="BA45" s="369"/>
      <c r="BB45" s="369"/>
      <c r="BC45" s="369"/>
      <c r="BD45" s="369"/>
      <c r="BE45" s="369"/>
      <c r="BF45" s="369"/>
      <c r="BG45" s="369"/>
      <c r="BH45" s="369"/>
      <c r="BI45" s="369"/>
      <c r="BJ45" s="369"/>
      <c r="BK45" s="369"/>
      <c r="BL45" s="369"/>
      <c r="BM45" s="369"/>
      <c r="BN45" s="369"/>
      <c r="BO45" s="369"/>
      <c r="BP45" s="369"/>
      <c r="BQ45" s="369"/>
      <c r="BR45" s="369"/>
      <c r="BS45" s="369"/>
      <c r="BT45" s="369"/>
      <c r="BU45" s="369"/>
      <c r="BV45" s="369"/>
      <c r="BW45" s="369"/>
      <c r="BX45" s="369"/>
      <c r="BY45" s="369"/>
      <c r="BZ45" s="369"/>
      <c r="CA45" s="369"/>
      <c r="CB45" s="369"/>
      <c r="CC45" s="369"/>
      <c r="CD45" s="369"/>
      <c r="CE45" s="369"/>
      <c r="CF45" s="369"/>
      <c r="CG45" s="369"/>
      <c r="CH45" s="369"/>
      <c r="CI45" s="369"/>
      <c r="CJ45" s="369"/>
      <c r="CK45" s="369"/>
    </row>
    <row r="46" spans="1:89" s="13" customFormat="1" x14ac:dyDescent="0.2">
      <c r="A46" s="13" t="str">
        <f t="shared" si="2"/>
        <v>Land and easements</v>
      </c>
      <c r="B46" s="364" t="s">
        <v>90</v>
      </c>
      <c r="C46" s="364" t="s">
        <v>827</v>
      </c>
      <c r="D46" s="375">
        <v>1215942.4700000002</v>
      </c>
      <c r="E46" s="375">
        <v>0</v>
      </c>
      <c r="F46" s="375">
        <v>0</v>
      </c>
      <c r="G46" s="375">
        <v>0</v>
      </c>
      <c r="H46" s="375">
        <v>0</v>
      </c>
      <c r="I46" s="375">
        <v>1215942.4700000002</v>
      </c>
      <c r="J46" s="375">
        <v>0</v>
      </c>
      <c r="K46" s="375">
        <v>0</v>
      </c>
      <c r="L46" s="375">
        <v>0</v>
      </c>
      <c r="M46" s="375">
        <v>0</v>
      </c>
      <c r="N46" s="376">
        <v>1215942.4700000002</v>
      </c>
      <c r="O46" s="369"/>
      <c r="P46" s="369"/>
      <c r="Q46" s="369"/>
      <c r="R46" s="369"/>
      <c r="S46" s="369"/>
      <c r="T46" s="369"/>
      <c r="U46" s="369"/>
      <c r="V46" s="369"/>
      <c r="W46" s="369"/>
      <c r="X46" s="369"/>
      <c r="Y46" s="369"/>
      <c r="Z46" s="369"/>
      <c r="AA46" s="369"/>
      <c r="AB46" s="369"/>
      <c r="AC46" s="369"/>
      <c r="AD46" s="369"/>
      <c r="AE46" s="369"/>
      <c r="AF46" s="369"/>
      <c r="AG46" s="369"/>
      <c r="AH46" s="369"/>
      <c r="AI46" s="369"/>
      <c r="AJ46" s="369"/>
      <c r="AK46" s="369"/>
      <c r="AL46" s="369"/>
      <c r="AM46" s="369"/>
      <c r="AN46" s="369"/>
      <c r="AO46" s="369"/>
      <c r="AP46" s="369"/>
      <c r="AQ46" s="369"/>
      <c r="AR46" s="369"/>
      <c r="AS46" s="369"/>
      <c r="AT46" s="369"/>
      <c r="AU46" s="369"/>
      <c r="AV46" s="369"/>
      <c r="AW46" s="369"/>
      <c r="AX46" s="369"/>
      <c r="AY46" s="369"/>
      <c r="AZ46" s="369"/>
      <c r="BA46" s="369"/>
      <c r="BB46" s="369"/>
      <c r="BC46" s="369"/>
      <c r="BD46" s="369"/>
      <c r="BE46" s="369"/>
      <c r="BF46" s="369"/>
      <c r="BG46" s="369"/>
      <c r="BH46" s="369"/>
      <c r="BI46" s="369"/>
      <c r="BJ46" s="369"/>
      <c r="BK46" s="369"/>
      <c r="BL46" s="369"/>
      <c r="BM46" s="369"/>
      <c r="BN46" s="369"/>
      <c r="BO46" s="369"/>
      <c r="BP46" s="369"/>
      <c r="BQ46" s="369"/>
      <c r="BR46" s="369"/>
      <c r="BS46" s="369"/>
      <c r="BT46" s="369"/>
      <c r="BU46" s="369"/>
      <c r="BV46" s="369"/>
      <c r="BW46" s="369"/>
      <c r="BX46" s="369"/>
      <c r="BY46" s="369"/>
      <c r="BZ46" s="369"/>
      <c r="CA46" s="369"/>
      <c r="CB46" s="369"/>
      <c r="CC46" s="369"/>
      <c r="CD46" s="369"/>
      <c r="CE46" s="369"/>
      <c r="CF46" s="369"/>
      <c r="CG46" s="369"/>
      <c r="CH46" s="369"/>
      <c r="CI46" s="369"/>
      <c r="CJ46" s="369"/>
      <c r="CK46" s="369"/>
    </row>
    <row r="47" spans="1:89" s="13" customFormat="1" x14ac:dyDescent="0.2">
      <c r="A47" s="13" t="str">
        <f t="shared" si="2"/>
        <v>Metering</v>
      </c>
      <c r="B47" s="364" t="s">
        <v>778</v>
      </c>
      <c r="C47" s="364" t="s">
        <v>827</v>
      </c>
      <c r="D47" s="375">
        <v>7892152.6399999997</v>
      </c>
      <c r="E47" s="375">
        <v>0</v>
      </c>
      <c r="F47" s="375">
        <v>0</v>
      </c>
      <c r="G47" s="375">
        <v>0</v>
      </c>
      <c r="H47" s="375">
        <v>0</v>
      </c>
      <c r="I47" s="375">
        <v>7892152.6399999997</v>
      </c>
      <c r="J47" s="375">
        <v>2432748.8699999992</v>
      </c>
      <c r="K47" s="375">
        <v>452257.70000000007</v>
      </c>
      <c r="L47" s="375">
        <v>0</v>
      </c>
      <c r="M47" s="375">
        <v>2885006.5699999994</v>
      </c>
      <c r="N47" s="376">
        <v>5007146.0699999994</v>
      </c>
      <c r="O47" s="369"/>
      <c r="P47" s="369"/>
      <c r="Q47" s="369"/>
      <c r="R47" s="369"/>
      <c r="S47" s="369"/>
      <c r="T47" s="369"/>
      <c r="U47" s="369"/>
      <c r="V47" s="369"/>
      <c r="W47" s="369"/>
      <c r="X47" s="369"/>
      <c r="Y47" s="369"/>
      <c r="Z47" s="369"/>
      <c r="AA47" s="369"/>
      <c r="AB47" s="369"/>
      <c r="AC47" s="369"/>
      <c r="AD47" s="369"/>
      <c r="AE47" s="369"/>
      <c r="AF47" s="369"/>
      <c r="AG47" s="369"/>
      <c r="AH47" s="369"/>
      <c r="AI47" s="369"/>
      <c r="AJ47" s="369"/>
      <c r="AK47" s="369"/>
      <c r="AL47" s="369"/>
      <c r="AM47" s="369"/>
      <c r="AN47" s="369"/>
      <c r="AO47" s="369"/>
      <c r="AP47" s="369"/>
      <c r="AQ47" s="369"/>
      <c r="AR47" s="369"/>
      <c r="AS47" s="369"/>
      <c r="AT47" s="369"/>
      <c r="AU47" s="369"/>
      <c r="AV47" s="369"/>
      <c r="AW47" s="369"/>
      <c r="AX47" s="369"/>
      <c r="AY47" s="369"/>
      <c r="AZ47" s="369"/>
      <c r="BA47" s="369"/>
      <c r="BB47" s="369"/>
      <c r="BC47" s="369"/>
      <c r="BD47" s="369"/>
      <c r="BE47" s="369"/>
      <c r="BF47" s="369"/>
      <c r="BG47" s="369"/>
      <c r="BH47" s="369"/>
      <c r="BI47" s="369"/>
      <c r="BJ47" s="369"/>
      <c r="BK47" s="369"/>
      <c r="BL47" s="369"/>
      <c r="BM47" s="369"/>
      <c r="BN47" s="369"/>
      <c r="BO47" s="369"/>
      <c r="BP47" s="369"/>
      <c r="BQ47" s="369"/>
      <c r="BR47" s="369"/>
      <c r="BS47" s="369"/>
      <c r="BT47" s="369"/>
      <c r="BU47" s="369"/>
      <c r="BV47" s="369"/>
      <c r="BW47" s="369"/>
      <c r="BX47" s="369"/>
      <c r="BY47" s="369"/>
      <c r="BZ47" s="369"/>
      <c r="CA47" s="369"/>
      <c r="CB47" s="369"/>
      <c r="CC47" s="369"/>
      <c r="CD47" s="369"/>
      <c r="CE47" s="369"/>
      <c r="CF47" s="369"/>
      <c r="CG47" s="369"/>
      <c r="CH47" s="369"/>
      <c r="CI47" s="369"/>
      <c r="CJ47" s="369"/>
      <c r="CK47" s="369"/>
    </row>
    <row r="48" spans="1:89" s="13" customFormat="1" x14ac:dyDescent="0.2">
      <c r="A48" s="13" t="str">
        <f t="shared" si="2"/>
        <v>Odourant plants</v>
      </c>
      <c r="B48" s="364" t="s">
        <v>777</v>
      </c>
      <c r="C48" s="364" t="s">
        <v>827</v>
      </c>
      <c r="D48" s="375">
        <v>906504.53</v>
      </c>
      <c r="E48" s="375">
        <v>0</v>
      </c>
      <c r="F48" s="375">
        <v>0</v>
      </c>
      <c r="G48" s="375">
        <v>0</v>
      </c>
      <c r="H48" s="375">
        <v>0</v>
      </c>
      <c r="I48" s="375">
        <v>906504.53</v>
      </c>
      <c r="J48" s="375">
        <v>411077.82</v>
      </c>
      <c r="K48" s="375">
        <v>45223.729999999996</v>
      </c>
      <c r="L48" s="375">
        <v>0</v>
      </c>
      <c r="M48" s="375">
        <v>456301.55</v>
      </c>
      <c r="N48" s="376">
        <v>450202.98</v>
      </c>
      <c r="O48" s="369"/>
      <c r="P48" s="369"/>
      <c r="Q48" s="369"/>
      <c r="R48" s="369"/>
      <c r="S48" s="369"/>
      <c r="T48" s="369"/>
      <c r="U48" s="369"/>
      <c r="V48" s="369"/>
      <c r="W48" s="369"/>
      <c r="X48" s="369"/>
      <c r="Y48" s="369"/>
      <c r="Z48" s="369"/>
      <c r="AA48" s="369"/>
      <c r="AB48" s="369"/>
      <c r="AC48" s="369"/>
      <c r="AD48" s="369"/>
      <c r="AE48" s="369"/>
      <c r="AF48" s="369"/>
      <c r="AG48" s="369"/>
      <c r="AH48" s="369"/>
      <c r="AI48" s="369"/>
      <c r="AJ48" s="369"/>
      <c r="AK48" s="369"/>
      <c r="AL48" s="369"/>
      <c r="AM48" s="369"/>
      <c r="AN48" s="369"/>
      <c r="AO48" s="369"/>
      <c r="AP48" s="369"/>
      <c r="AQ48" s="369"/>
      <c r="AR48" s="369"/>
      <c r="AS48" s="369"/>
      <c r="AT48" s="369"/>
      <c r="AU48" s="369"/>
      <c r="AV48" s="369"/>
      <c r="AW48" s="369"/>
      <c r="AX48" s="369"/>
      <c r="AY48" s="369"/>
      <c r="AZ48" s="369"/>
      <c r="BA48" s="369"/>
      <c r="BB48" s="369"/>
      <c r="BC48" s="369"/>
      <c r="BD48" s="369"/>
      <c r="BE48" s="369"/>
      <c r="BF48" s="369"/>
      <c r="BG48" s="369"/>
      <c r="BH48" s="369"/>
      <c r="BI48" s="369"/>
      <c r="BJ48" s="369"/>
      <c r="BK48" s="369"/>
      <c r="BL48" s="369"/>
      <c r="BM48" s="369"/>
      <c r="BN48" s="369"/>
      <c r="BO48" s="369"/>
      <c r="BP48" s="369"/>
      <c r="BQ48" s="369"/>
      <c r="BR48" s="369"/>
      <c r="BS48" s="369"/>
      <c r="BT48" s="369"/>
      <c r="BU48" s="369"/>
      <c r="BV48" s="369"/>
      <c r="BW48" s="369"/>
      <c r="BX48" s="369"/>
      <c r="BY48" s="369"/>
      <c r="BZ48" s="369"/>
      <c r="CA48" s="369"/>
      <c r="CB48" s="369"/>
      <c r="CC48" s="369"/>
      <c r="CD48" s="369"/>
      <c r="CE48" s="369"/>
      <c r="CF48" s="369"/>
      <c r="CG48" s="369"/>
      <c r="CH48" s="369"/>
      <c r="CI48" s="369"/>
      <c r="CJ48" s="369"/>
      <c r="CK48" s="369"/>
    </row>
    <row r="49" spans="1:15" s="13" customFormat="1" x14ac:dyDescent="0.2">
      <c r="A49" s="13" t="str">
        <f t="shared" si="2"/>
        <v>Other depreciable pipeline assets</v>
      </c>
      <c r="B49" s="364" t="s">
        <v>132</v>
      </c>
      <c r="C49" s="364" t="s">
        <v>827</v>
      </c>
      <c r="D49" s="375">
        <v>24007172.849999998</v>
      </c>
      <c r="E49" s="375">
        <v>183332.18</v>
      </c>
      <c r="F49" s="375">
        <v>10.59</v>
      </c>
      <c r="G49" s="375">
        <v>0</v>
      </c>
      <c r="H49" s="375">
        <v>0</v>
      </c>
      <c r="I49" s="375">
        <v>24190515.619999994</v>
      </c>
      <c r="J49" s="375">
        <v>16108754.789999992</v>
      </c>
      <c r="K49" s="375">
        <v>1795406.6500000018</v>
      </c>
      <c r="L49" s="375">
        <v>0</v>
      </c>
      <c r="M49" s="375">
        <v>17904161.439999983</v>
      </c>
      <c r="N49" s="376">
        <v>6286354.1799999997</v>
      </c>
      <c r="O49" s="369"/>
    </row>
    <row r="50" spans="1:15" s="13" customFormat="1" x14ac:dyDescent="0.2">
      <c r="A50" s="377" t="str">
        <f t="shared" si="2"/>
        <v>Pipelines</v>
      </c>
      <c r="B50" s="378" t="s">
        <v>779</v>
      </c>
      <c r="C50" s="378" t="s">
        <v>827</v>
      </c>
      <c r="D50" s="376">
        <v>1031330894.0499979</v>
      </c>
      <c r="E50" s="376">
        <v>33606648.31000001</v>
      </c>
      <c r="F50" s="376">
        <v>-16002059.620000001</v>
      </c>
      <c r="G50" s="376">
        <v>0</v>
      </c>
      <c r="H50" s="376">
        <v>0</v>
      </c>
      <c r="I50" s="376">
        <v>1048935482.7399977</v>
      </c>
      <c r="J50" s="376">
        <v>405295071.12999892</v>
      </c>
      <c r="K50" s="376">
        <v>26620614.750000093</v>
      </c>
      <c r="L50" s="376">
        <v>0</v>
      </c>
      <c r="M50" s="376">
        <v>431915685.87999803</v>
      </c>
      <c r="N50" s="376">
        <v>617019796.86000037</v>
      </c>
      <c r="O50" s="369"/>
    </row>
    <row r="51" spans="1:15" s="13" customFormat="1" x14ac:dyDescent="0.2">
      <c r="A51" s="377" t="str">
        <f t="shared" si="2"/>
        <v>Pipelines</v>
      </c>
      <c r="B51" s="378" t="s">
        <v>779</v>
      </c>
      <c r="C51" s="378" t="s">
        <v>924</v>
      </c>
      <c r="D51" s="376">
        <v>313423723</v>
      </c>
      <c r="E51" s="376">
        <v>0</v>
      </c>
      <c r="F51" s="376">
        <v>0</v>
      </c>
      <c r="G51" s="376">
        <v>0</v>
      </c>
      <c r="H51" s="376">
        <v>0</v>
      </c>
      <c r="I51" s="376">
        <v>313423723</v>
      </c>
      <c r="J51" s="376">
        <v>139818357.06999999</v>
      </c>
      <c r="K51" s="376">
        <v>7548151.5</v>
      </c>
      <c r="L51" s="376">
        <v>0</v>
      </c>
      <c r="M51" s="376">
        <v>147366508.56999999</v>
      </c>
      <c r="N51" s="376">
        <v>166057214.43000001</v>
      </c>
      <c r="O51" s="369"/>
    </row>
    <row r="52" spans="1:15" s="13" customFormat="1" x14ac:dyDescent="0.2">
      <c r="A52" s="13" t="str">
        <f t="shared" si="2"/>
        <v>SCADA (Communications)</v>
      </c>
      <c r="B52" s="364" t="s">
        <v>780</v>
      </c>
      <c r="C52" s="364" t="s">
        <v>827</v>
      </c>
      <c r="D52" s="375">
        <v>5133276.0199999977</v>
      </c>
      <c r="E52" s="375">
        <v>0</v>
      </c>
      <c r="F52" s="375">
        <v>0</v>
      </c>
      <c r="G52" s="375">
        <v>0</v>
      </c>
      <c r="H52" s="375">
        <v>0</v>
      </c>
      <c r="I52" s="375">
        <v>5133276.0199999977</v>
      </c>
      <c r="J52" s="375">
        <v>2855108.2000000016</v>
      </c>
      <c r="K52" s="375">
        <v>360740.10000000015</v>
      </c>
      <c r="L52" s="375">
        <v>0</v>
      </c>
      <c r="M52" s="375">
        <v>3215848.2999999993</v>
      </c>
      <c r="N52" s="376">
        <v>1917427.72</v>
      </c>
      <c r="O52" s="369"/>
    </row>
    <row r="53" spans="1:15" s="13" customFormat="1" x14ac:dyDescent="0.2">
      <c r="A53" s="321" t="s">
        <v>18</v>
      </c>
      <c r="B53" s="364" t="s">
        <v>799</v>
      </c>
      <c r="C53" s="364" t="s">
        <v>799</v>
      </c>
      <c r="D53" s="375">
        <v>1624213134.98</v>
      </c>
      <c r="E53" s="375">
        <v>37484058.810000002</v>
      </c>
      <c r="F53" s="375">
        <v>-16015969.58</v>
      </c>
      <c r="G53" s="375">
        <v>0</v>
      </c>
      <c r="H53" s="375">
        <v>0</v>
      </c>
      <c r="I53" s="375">
        <v>1645681224.21</v>
      </c>
      <c r="J53" s="375">
        <v>643208066.75</v>
      </c>
      <c r="K53" s="375">
        <v>47063736.439999998</v>
      </c>
      <c r="L53" s="375">
        <v>0</v>
      </c>
      <c r="M53" s="375">
        <v>690271803.19000006</v>
      </c>
      <c r="N53" s="375">
        <v>955409421.01999998</v>
      </c>
      <c r="O53" s="369"/>
    </row>
    <row r="54" spans="1:15" s="13" customFormat="1" x14ac:dyDescent="0.2">
      <c r="B54" s="366"/>
      <c r="C54" s="366"/>
      <c r="D54" s="366"/>
      <c r="E54" s="366"/>
      <c r="F54" s="366"/>
      <c r="G54" s="366"/>
      <c r="H54" s="366"/>
      <c r="I54" s="366"/>
      <c r="J54" s="366"/>
      <c r="K54" s="366"/>
      <c r="L54" s="366"/>
      <c r="M54" s="366"/>
    </row>
    <row r="55" spans="1:15" s="377" customFormat="1" x14ac:dyDescent="0.2">
      <c r="A55" s="377" t="s">
        <v>779</v>
      </c>
      <c r="B55" s="377" t="s">
        <v>719</v>
      </c>
      <c r="C55" s="377" t="s">
        <v>827</v>
      </c>
      <c r="D55" s="379">
        <v>0</v>
      </c>
      <c r="E55" s="379">
        <v>0</v>
      </c>
      <c r="F55" s="379"/>
      <c r="G55" s="379"/>
      <c r="H55" s="379"/>
      <c r="I55" s="379">
        <f>SUM(D55:G55)</f>
        <v>0</v>
      </c>
      <c r="J55" s="379"/>
      <c r="K55" s="379"/>
      <c r="L55" s="379"/>
      <c r="M55" s="379">
        <f>SUM(J55:L55)</f>
        <v>0</v>
      </c>
      <c r="N55" s="379">
        <f>SUM(I55,M55)</f>
        <v>0</v>
      </c>
      <c r="O55" s="381">
        <f>N55-N56</f>
        <v>-583239.56000000006</v>
      </c>
    </row>
    <row r="56" spans="1:15" s="377" customFormat="1" x14ac:dyDescent="0.2">
      <c r="A56" s="377" t="s">
        <v>779</v>
      </c>
      <c r="B56" s="380" t="s">
        <v>720</v>
      </c>
      <c r="C56" s="377" t="s">
        <v>827</v>
      </c>
      <c r="D56" s="381"/>
      <c r="E56" s="381"/>
      <c r="F56" s="381"/>
      <c r="G56" s="381"/>
      <c r="H56" s="381"/>
      <c r="I56" s="381"/>
      <c r="J56" s="381"/>
      <c r="K56" s="381">
        <v>583239.56000000006</v>
      </c>
      <c r="L56" s="381"/>
      <c r="M56" s="381">
        <f>SUM(J56:L56)</f>
        <v>583239.56000000006</v>
      </c>
      <c r="N56" s="381">
        <f>SUM(I56,M56)</f>
        <v>583239.56000000006</v>
      </c>
      <c r="O56" s="381"/>
    </row>
    <row r="57" spans="1:15" s="10" customFormat="1" x14ac:dyDescent="0.2">
      <c r="A57" s="13"/>
      <c r="B57" s="13"/>
      <c r="C57" s="13"/>
      <c r="D57" s="369"/>
      <c r="E57" s="369"/>
      <c r="F57" s="369"/>
      <c r="G57" s="369"/>
      <c r="H57" s="369"/>
      <c r="I57" s="369"/>
      <c r="J57" s="369"/>
      <c r="K57" s="369"/>
      <c r="L57" s="369"/>
      <c r="M57" s="369"/>
      <c r="N57" s="369"/>
    </row>
    <row r="58" spans="1:15" s="321" customFormat="1" ht="13.5" thickBot="1" x14ac:dyDescent="0.25">
      <c r="B58" s="321" t="s">
        <v>800</v>
      </c>
      <c r="D58" s="370">
        <f t="shared" ref="D58:M58" si="3">SUM(D53,D55,D56)</f>
        <v>1624213134.98</v>
      </c>
      <c r="E58" s="370">
        <f t="shared" si="3"/>
        <v>37484058.810000002</v>
      </c>
      <c r="F58" s="370">
        <f t="shared" si="3"/>
        <v>-16015969.58</v>
      </c>
      <c r="G58" s="370">
        <f t="shared" si="3"/>
        <v>0</v>
      </c>
      <c r="H58" s="370">
        <f t="shared" si="3"/>
        <v>0</v>
      </c>
      <c r="I58" s="370">
        <f t="shared" si="3"/>
        <v>1645681224.21</v>
      </c>
      <c r="J58" s="370">
        <f t="shared" si="3"/>
        <v>643208066.75</v>
      </c>
      <c r="K58" s="370">
        <f t="shared" si="3"/>
        <v>47646976</v>
      </c>
      <c r="L58" s="370">
        <f t="shared" si="3"/>
        <v>0</v>
      </c>
      <c r="M58" s="370">
        <f t="shared" si="3"/>
        <v>690855042.75</v>
      </c>
      <c r="N58" s="370">
        <f>SUM(N53,N55,-N56)</f>
        <v>954826181.46000004</v>
      </c>
      <c r="O58" s="374"/>
    </row>
    <row r="59" spans="1:15" s="319" customFormat="1" ht="13.5" thickTop="1" x14ac:dyDescent="0.2">
      <c r="D59" s="320"/>
      <c r="E59" s="320"/>
      <c r="F59" s="320"/>
      <c r="G59" s="320"/>
      <c r="I59" s="371" t="e">
        <f>#REF!+#REF!-I58</f>
        <v>#REF!</v>
      </c>
      <c r="J59" s="320"/>
      <c r="K59" s="320"/>
      <c r="M59" s="371" t="e">
        <f>#REF!+#REF!+#REF!+M58</f>
        <v>#REF!</v>
      </c>
      <c r="N59" s="371" t="e">
        <f>SUM(#REF!)+#REF!+#REF!-N58</f>
        <v>#REF!</v>
      </c>
    </row>
    <row r="60" spans="1:15" s="10" customFormat="1" x14ac:dyDescent="0.2">
      <c r="A60" s="13"/>
      <c r="B60" s="13"/>
      <c r="C60" s="13"/>
      <c r="D60" s="13"/>
      <c r="E60" s="13"/>
      <c r="F60" s="13"/>
      <c r="G60" s="13"/>
      <c r="H60" s="13"/>
      <c r="I60" s="13"/>
      <c r="J60" s="13"/>
      <c r="K60" s="13"/>
      <c r="L60" s="13"/>
      <c r="M60" s="13"/>
      <c r="N60" s="369"/>
    </row>
    <row r="61" spans="1:15" s="10" customFormat="1" x14ac:dyDescent="0.2">
      <c r="A61" s="361" t="s">
        <v>930</v>
      </c>
      <c r="B61" s="13"/>
      <c r="C61" s="13"/>
      <c r="D61" s="13"/>
      <c r="E61" s="369"/>
      <c r="F61" s="369"/>
      <c r="G61" s="13"/>
      <c r="H61" s="13"/>
      <c r="I61" s="369"/>
      <c r="J61" s="13"/>
      <c r="K61" s="369"/>
      <c r="L61" s="13"/>
      <c r="M61" s="369"/>
      <c r="N61" s="369"/>
      <c r="O61" s="369"/>
    </row>
    <row r="62" spans="1:15" s="10" customFormat="1" x14ac:dyDescent="0.2">
      <c r="A62" s="13" t="s">
        <v>931</v>
      </c>
      <c r="B62" s="13"/>
      <c r="C62" s="13"/>
      <c r="D62" s="13"/>
      <c r="E62" s="13"/>
      <c r="F62" s="13"/>
      <c r="G62" s="13"/>
      <c r="H62" s="13"/>
      <c r="I62" s="13"/>
      <c r="J62" s="13"/>
      <c r="K62" s="13"/>
      <c r="L62" s="13"/>
      <c r="M62" s="13"/>
      <c r="N62" s="13"/>
    </row>
    <row r="63" spans="1:15" s="10" customFormat="1" x14ac:dyDescent="0.2">
      <c r="A63" s="13"/>
      <c r="B63" s="13"/>
      <c r="C63" s="13"/>
      <c r="D63" s="13"/>
      <c r="E63" s="13"/>
      <c r="F63" s="13"/>
      <c r="G63" s="13"/>
      <c r="H63" s="13"/>
      <c r="I63" s="13"/>
      <c r="J63" s="13"/>
      <c r="K63" s="13"/>
      <c r="L63" s="13"/>
      <c r="M63" s="13"/>
      <c r="N63" s="13"/>
    </row>
  </sheetData>
  <pageMargins left="0.7" right="0.7" top="0.75" bottom="0.75" header="0.3" footer="0.3"/>
  <headerFooter>
    <oddFooter>&amp;C_x000D_&amp;1#&amp;"Aptos"&amp;10&amp;K008000 APA-INTERNAL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D01F2-AF65-43E7-8908-2639F014DB2F}">
  <sheetPr codeName="Sheet6">
    <pageSetUpPr fitToPage="1"/>
  </sheetPr>
  <dimension ref="A1:H17"/>
  <sheetViews>
    <sheetView workbookViewId="0"/>
  </sheetViews>
  <sheetFormatPr defaultColWidth="9.28515625" defaultRowHeight="15" customHeight="1" x14ac:dyDescent="0.2"/>
  <cols>
    <col min="1" max="6" width="9.28515625" style="170"/>
    <col min="7" max="7" width="28" style="170" bestFit="1" customWidth="1"/>
    <col min="8" max="8" width="18.28515625" style="170" bestFit="1" customWidth="1"/>
    <col min="9" max="16384" width="9.28515625" style="170"/>
  </cols>
  <sheetData>
    <row r="1" spans="1:8" ht="15" customHeight="1" x14ac:dyDescent="0.2">
      <c r="A1" s="170" t="s">
        <v>547</v>
      </c>
      <c r="G1" s="170" t="s">
        <v>680</v>
      </c>
      <c r="H1" s="170" t="s">
        <v>680</v>
      </c>
    </row>
    <row r="3" spans="1:8" ht="15" customHeight="1" x14ac:dyDescent="0.2">
      <c r="A3" s="171" t="s">
        <v>548</v>
      </c>
      <c r="G3" s="170" t="s">
        <v>679</v>
      </c>
      <c r="H3" s="170" t="s">
        <v>686</v>
      </c>
    </row>
    <row r="4" spans="1:8" ht="15" customHeight="1" x14ac:dyDescent="0.2">
      <c r="A4" s="171" t="s">
        <v>549</v>
      </c>
      <c r="G4" s="170" t="s">
        <v>681</v>
      </c>
      <c r="H4" s="170" t="s">
        <v>685</v>
      </c>
    </row>
    <row r="5" spans="1:8" ht="15" customHeight="1" x14ac:dyDescent="0.2">
      <c r="A5" s="171" t="s">
        <v>550</v>
      </c>
      <c r="G5" s="170" t="s">
        <v>682</v>
      </c>
      <c r="H5" s="170" t="s">
        <v>687</v>
      </c>
    </row>
    <row r="6" spans="1:8" ht="15" customHeight="1" x14ac:dyDescent="0.2">
      <c r="A6" s="171" t="s">
        <v>551</v>
      </c>
    </row>
    <row r="7" spans="1:8" ht="15" customHeight="1" x14ac:dyDescent="0.2">
      <c r="A7" s="171" t="s">
        <v>552</v>
      </c>
    </row>
    <row r="8" spans="1:8" ht="15" customHeight="1" x14ac:dyDescent="0.2">
      <c r="A8" s="171" t="s">
        <v>553</v>
      </c>
    </row>
    <row r="9" spans="1:8" ht="15" customHeight="1" x14ac:dyDescent="0.2">
      <c r="A9" s="171" t="s">
        <v>554</v>
      </c>
    </row>
    <row r="10" spans="1:8" ht="15" customHeight="1" x14ac:dyDescent="0.2">
      <c r="A10" s="171" t="s">
        <v>90</v>
      </c>
    </row>
    <row r="11" spans="1:8" ht="15" customHeight="1" x14ac:dyDescent="0.2">
      <c r="A11" s="171" t="s">
        <v>132</v>
      </c>
    </row>
    <row r="12" spans="1:8" ht="15" customHeight="1" x14ac:dyDescent="0.2">
      <c r="A12" s="170" t="s">
        <v>555</v>
      </c>
    </row>
    <row r="13" spans="1:8" ht="15" customHeight="1" x14ac:dyDescent="0.2">
      <c r="A13" s="170" t="s">
        <v>224</v>
      </c>
    </row>
    <row r="14" spans="1:8" ht="15" customHeight="1" x14ac:dyDescent="0.2">
      <c r="A14" s="170" t="s">
        <v>199</v>
      </c>
    </row>
    <row r="15" spans="1:8" ht="15" customHeight="1" x14ac:dyDescent="0.2">
      <c r="A15" s="170" t="s">
        <v>556</v>
      </c>
    </row>
    <row r="16" spans="1:8" ht="15" customHeight="1" x14ac:dyDescent="0.2">
      <c r="A16" s="170" t="s">
        <v>71</v>
      </c>
    </row>
    <row r="17" spans="1:1" ht="15" customHeight="1" x14ac:dyDescent="0.2">
      <c r="A17" s="170" t="s">
        <v>557</v>
      </c>
    </row>
  </sheetData>
  <pageMargins left="0.7" right="0.7" top="0.75" bottom="0.75" header="0.3" footer="0.3"/>
  <pageSetup paperSize="9" orientation="landscape" r:id="rId1"/>
  <headerFooter>
    <oddFooter>&amp;L&amp;8&amp;F&amp;D&amp;T&amp;C&amp;8&amp;A_x000D_&amp;1#&amp;"Aptos"&amp;10&amp;K008000 APA-INTERNAL&amp;R&amp;8Page &amp;P of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FD89E-C431-43E1-93DB-A04D1EA0BAD9}">
  <sheetPr codeName="Sheet21"/>
  <dimension ref="A1:I123"/>
  <sheetViews>
    <sheetView workbookViewId="0"/>
  </sheetViews>
  <sheetFormatPr defaultRowHeight="12.75" x14ac:dyDescent="0.2"/>
  <cols>
    <col min="1" max="1" width="10.7109375" customWidth="1"/>
    <col min="2" max="2" width="20" style="5" customWidth="1"/>
    <col min="3" max="3" width="27.42578125" customWidth="1"/>
    <col min="4" max="4" width="16.7109375" style="5" bestFit="1" customWidth="1"/>
    <col min="5" max="5" width="19.7109375" customWidth="1"/>
    <col min="6" max="6" width="21.42578125" customWidth="1"/>
    <col min="7" max="7" width="59" customWidth="1"/>
    <col min="8" max="8" width="2.7109375" customWidth="1"/>
  </cols>
  <sheetData>
    <row r="1" spans="1:9" x14ac:dyDescent="0.2">
      <c r="A1" s="6" t="s">
        <v>135</v>
      </c>
      <c r="B1" s="7" t="s">
        <v>136</v>
      </c>
      <c r="C1" s="6" t="s">
        <v>137</v>
      </c>
      <c r="D1" s="7" t="s">
        <v>138</v>
      </c>
      <c r="E1" s="6" t="s">
        <v>164</v>
      </c>
      <c r="F1" s="6" t="s">
        <v>141</v>
      </c>
      <c r="G1" s="6" t="s">
        <v>142</v>
      </c>
    </row>
    <row r="2" spans="1:9" s="10" customFormat="1" ht="25.5" x14ac:dyDescent="0.2">
      <c r="A2" s="8">
        <v>43314</v>
      </c>
      <c r="B2" s="9">
        <v>1</v>
      </c>
      <c r="C2" s="10" t="s">
        <v>139</v>
      </c>
      <c r="D2" s="9"/>
      <c r="F2" s="11" t="s">
        <v>161</v>
      </c>
      <c r="G2" s="11" t="s">
        <v>140</v>
      </c>
    </row>
    <row r="3" spans="1:9" s="10" customFormat="1" ht="25.5" x14ac:dyDescent="0.2">
      <c r="A3" s="8">
        <v>43318</v>
      </c>
      <c r="B3" s="9">
        <v>2</v>
      </c>
      <c r="C3" s="10" t="s">
        <v>148</v>
      </c>
      <c r="D3" s="9">
        <v>2.1</v>
      </c>
      <c r="E3" s="10" t="s">
        <v>149</v>
      </c>
      <c r="F3" s="10" t="s">
        <v>150</v>
      </c>
      <c r="G3" s="11" t="s">
        <v>151</v>
      </c>
      <c r="I3" s="13"/>
    </row>
    <row r="4" spans="1:9" s="10" customFormat="1" ht="25.5" x14ac:dyDescent="0.2">
      <c r="A4" s="8">
        <v>43314</v>
      </c>
      <c r="B4" s="9">
        <v>3</v>
      </c>
      <c r="C4" s="10" t="s">
        <v>143</v>
      </c>
      <c r="D4" s="9">
        <v>3.1</v>
      </c>
      <c r="E4" s="10" t="s">
        <v>165</v>
      </c>
      <c r="F4" s="10" t="s">
        <v>162</v>
      </c>
      <c r="G4" s="11" t="s">
        <v>159</v>
      </c>
      <c r="I4" s="13"/>
    </row>
    <row r="5" spans="1:9" s="10" customFormat="1" ht="26.25" customHeight="1" x14ac:dyDescent="0.2">
      <c r="A5" s="8">
        <v>43314</v>
      </c>
      <c r="B5" s="9">
        <v>4</v>
      </c>
      <c r="C5" s="10" t="s">
        <v>144</v>
      </c>
      <c r="D5" s="9" t="s">
        <v>145</v>
      </c>
      <c r="E5" s="10" t="s">
        <v>166</v>
      </c>
      <c r="F5" s="10" t="s">
        <v>146</v>
      </c>
      <c r="G5" s="11" t="s">
        <v>147</v>
      </c>
      <c r="I5" s="13"/>
    </row>
    <row r="6" spans="1:9" s="10" customFormat="1" ht="38.25" x14ac:dyDescent="0.2">
      <c r="A6" s="8">
        <v>43318</v>
      </c>
      <c r="B6" s="9">
        <v>5</v>
      </c>
      <c r="C6" s="10" t="s">
        <v>144</v>
      </c>
      <c r="D6" s="9" t="s">
        <v>145</v>
      </c>
      <c r="E6" s="10" t="s">
        <v>152</v>
      </c>
      <c r="F6" s="10" t="s">
        <v>153</v>
      </c>
      <c r="G6" s="11" t="s">
        <v>154</v>
      </c>
      <c r="I6" s="13"/>
    </row>
    <row r="7" spans="1:9" s="10" customFormat="1" ht="89.25" x14ac:dyDescent="0.2">
      <c r="A7" s="8">
        <v>43318</v>
      </c>
      <c r="B7" s="9">
        <v>6</v>
      </c>
      <c r="C7" s="10" t="s">
        <v>144</v>
      </c>
      <c r="D7" s="12" t="s">
        <v>145</v>
      </c>
      <c r="E7" s="13" t="s">
        <v>156</v>
      </c>
      <c r="F7" s="13" t="s">
        <v>157</v>
      </c>
      <c r="G7" s="14" t="s">
        <v>167</v>
      </c>
      <c r="I7" s="13"/>
    </row>
    <row r="8" spans="1:9" x14ac:dyDescent="0.2">
      <c r="A8" s="8">
        <v>43318</v>
      </c>
      <c r="B8" s="9">
        <v>7</v>
      </c>
      <c r="C8" s="10" t="s">
        <v>144</v>
      </c>
      <c r="D8" s="12" t="s">
        <v>145</v>
      </c>
      <c r="E8" s="10" t="s">
        <v>158</v>
      </c>
      <c r="F8" s="10" t="s">
        <v>163</v>
      </c>
      <c r="G8" s="10" t="s">
        <v>160</v>
      </c>
      <c r="I8" s="13"/>
    </row>
    <row r="9" spans="1:9" x14ac:dyDescent="0.2">
      <c r="A9" s="8">
        <v>43991</v>
      </c>
      <c r="B9" s="9">
        <v>8</v>
      </c>
      <c r="C9" s="10" t="s">
        <v>143</v>
      </c>
      <c r="D9" s="9">
        <v>3.1</v>
      </c>
      <c r="E9" s="10" t="s">
        <v>170</v>
      </c>
      <c r="F9" s="10" t="s">
        <v>169</v>
      </c>
      <c r="G9" s="10" t="s">
        <v>171</v>
      </c>
      <c r="I9" s="13"/>
    </row>
    <row r="10" spans="1:9" x14ac:dyDescent="0.2">
      <c r="A10" s="8">
        <v>43991</v>
      </c>
      <c r="B10" s="9">
        <v>9</v>
      </c>
      <c r="C10" s="10" t="s">
        <v>143</v>
      </c>
      <c r="D10" s="9">
        <v>3.1</v>
      </c>
      <c r="E10" s="10" t="s">
        <v>172</v>
      </c>
      <c r="F10" s="10" t="s">
        <v>163</v>
      </c>
      <c r="G10" s="13" t="s">
        <v>197</v>
      </c>
      <c r="I10" s="13"/>
    </row>
    <row r="11" spans="1:9" ht="38.25" x14ac:dyDescent="0.2">
      <c r="A11" s="8">
        <v>43991</v>
      </c>
      <c r="B11" s="9">
        <v>10</v>
      </c>
      <c r="C11" s="10" t="s">
        <v>143</v>
      </c>
      <c r="D11" s="9">
        <v>3.1</v>
      </c>
      <c r="E11" s="11" t="s">
        <v>175</v>
      </c>
      <c r="F11" s="10" t="s">
        <v>177</v>
      </c>
      <c r="G11" s="11" t="s">
        <v>176</v>
      </c>
      <c r="I11" s="13"/>
    </row>
    <row r="12" spans="1:9" x14ac:dyDescent="0.2">
      <c r="A12" s="8">
        <v>43991</v>
      </c>
      <c r="B12" s="9">
        <v>11</v>
      </c>
      <c r="C12" s="10" t="s">
        <v>173</v>
      </c>
      <c r="D12" s="12" t="s">
        <v>187</v>
      </c>
      <c r="E12" s="13" t="s">
        <v>188</v>
      </c>
      <c r="F12" s="13" t="s">
        <v>169</v>
      </c>
      <c r="G12" s="13" t="s">
        <v>189</v>
      </c>
      <c r="I12" s="13"/>
    </row>
    <row r="13" spans="1:9" ht="38.25" x14ac:dyDescent="0.2">
      <c r="A13" s="8">
        <v>44028</v>
      </c>
      <c r="B13" s="9">
        <v>12</v>
      </c>
      <c r="C13" s="13" t="s">
        <v>178</v>
      </c>
      <c r="D13" s="9" t="s">
        <v>97</v>
      </c>
      <c r="E13" s="13" t="s">
        <v>186</v>
      </c>
      <c r="F13" s="14" t="s">
        <v>180</v>
      </c>
      <c r="G13" s="14" t="s">
        <v>179</v>
      </c>
      <c r="I13" s="13"/>
    </row>
    <row r="14" spans="1:9" ht="51" x14ac:dyDescent="0.2">
      <c r="A14" s="8">
        <v>43999</v>
      </c>
      <c r="B14" s="9">
        <v>13</v>
      </c>
      <c r="C14" s="13" t="s">
        <v>181</v>
      </c>
      <c r="D14" s="12" t="s">
        <v>182</v>
      </c>
      <c r="E14" s="13" t="s">
        <v>183</v>
      </c>
      <c r="F14" s="14" t="s">
        <v>184</v>
      </c>
      <c r="G14" s="14" t="s">
        <v>185</v>
      </c>
      <c r="I14" s="13"/>
    </row>
    <row r="15" spans="1:9" x14ac:dyDescent="0.2">
      <c r="A15" s="8">
        <v>43991</v>
      </c>
      <c r="B15" s="9">
        <v>14</v>
      </c>
      <c r="C15" s="10" t="s">
        <v>144</v>
      </c>
      <c r="D15" s="9"/>
      <c r="E15" s="10"/>
      <c r="F15" s="10"/>
      <c r="G15" s="10" t="s">
        <v>174</v>
      </c>
      <c r="I15" s="13"/>
    </row>
    <row r="16" spans="1:9" x14ac:dyDescent="0.2">
      <c r="A16" s="8">
        <v>44038</v>
      </c>
      <c r="B16" s="9">
        <v>15</v>
      </c>
      <c r="C16" s="10" t="s">
        <v>215</v>
      </c>
      <c r="D16" s="12" t="s">
        <v>192</v>
      </c>
      <c r="E16" s="13" t="s">
        <v>190</v>
      </c>
      <c r="F16" s="13" t="s">
        <v>191</v>
      </c>
      <c r="G16" s="14" t="s">
        <v>193</v>
      </c>
      <c r="I16" s="13"/>
    </row>
    <row r="17" spans="1:9" x14ac:dyDescent="0.2">
      <c r="A17" s="16">
        <v>44038</v>
      </c>
      <c r="B17" s="9">
        <v>16</v>
      </c>
      <c r="C17" s="10" t="s">
        <v>143</v>
      </c>
      <c r="D17" s="9">
        <v>3.1</v>
      </c>
      <c r="E17" s="13" t="s">
        <v>194</v>
      </c>
      <c r="F17" s="10" t="s">
        <v>169</v>
      </c>
      <c r="G17" s="13" t="s">
        <v>195</v>
      </c>
      <c r="I17" s="13"/>
    </row>
    <row r="18" spans="1:9" x14ac:dyDescent="0.2">
      <c r="A18" s="16">
        <v>44038</v>
      </c>
      <c r="B18" s="9">
        <v>17</v>
      </c>
      <c r="C18" s="10" t="s">
        <v>143</v>
      </c>
      <c r="D18" s="9">
        <v>3.1</v>
      </c>
      <c r="E18" s="13" t="s">
        <v>196</v>
      </c>
      <c r="F18" s="10" t="s">
        <v>163</v>
      </c>
      <c r="G18" s="13" t="s">
        <v>198</v>
      </c>
      <c r="I18" s="13"/>
    </row>
    <row r="19" spans="1:9" x14ac:dyDescent="0.2">
      <c r="A19" s="8">
        <v>44038</v>
      </c>
      <c r="B19" s="9">
        <v>18</v>
      </c>
      <c r="C19" s="10" t="s">
        <v>215</v>
      </c>
      <c r="D19" s="12" t="s">
        <v>145</v>
      </c>
      <c r="E19" s="13" t="s">
        <v>201</v>
      </c>
      <c r="F19" s="13" t="s">
        <v>202</v>
      </c>
      <c r="G19" s="14" t="s">
        <v>203</v>
      </c>
    </row>
    <row r="20" spans="1:9" x14ac:dyDescent="0.2">
      <c r="A20" s="8">
        <v>44038</v>
      </c>
      <c r="B20" s="9">
        <v>19</v>
      </c>
      <c r="C20" s="16" t="s">
        <v>215</v>
      </c>
      <c r="D20" s="12" t="s">
        <v>192</v>
      </c>
      <c r="E20" s="13" t="s">
        <v>200</v>
      </c>
      <c r="F20" s="13" t="s">
        <v>202</v>
      </c>
      <c r="G20" s="14" t="s">
        <v>204</v>
      </c>
    </row>
    <row r="21" spans="1:9" x14ac:dyDescent="0.2">
      <c r="A21" s="8">
        <v>44038</v>
      </c>
      <c r="B21" s="9">
        <v>20</v>
      </c>
      <c r="C21" s="13" t="s">
        <v>206</v>
      </c>
      <c r="D21" s="9">
        <v>4.0999999999999996</v>
      </c>
      <c r="E21" s="13" t="s">
        <v>207</v>
      </c>
      <c r="F21" s="13" t="s">
        <v>169</v>
      </c>
      <c r="G21" s="13" t="s">
        <v>208</v>
      </c>
      <c r="I21" s="13"/>
    </row>
    <row r="22" spans="1:9" x14ac:dyDescent="0.2">
      <c r="A22" s="8">
        <v>44038</v>
      </c>
      <c r="B22" s="9">
        <v>21</v>
      </c>
      <c r="C22" s="13" t="s">
        <v>206</v>
      </c>
      <c r="D22" s="9">
        <v>4.0999999999999996</v>
      </c>
      <c r="E22" s="13" t="s">
        <v>210</v>
      </c>
      <c r="F22" s="13" t="s">
        <v>211</v>
      </c>
      <c r="G22" s="13" t="s">
        <v>212</v>
      </c>
    </row>
    <row r="23" spans="1:9" ht="25.5" x14ac:dyDescent="0.2">
      <c r="A23" s="8">
        <v>44038</v>
      </c>
      <c r="B23" s="9">
        <v>22</v>
      </c>
      <c r="C23" s="13" t="s">
        <v>206</v>
      </c>
      <c r="D23" s="9">
        <v>4.0999999999999996</v>
      </c>
      <c r="E23" s="14" t="s">
        <v>214</v>
      </c>
      <c r="F23" s="13" t="s">
        <v>163</v>
      </c>
      <c r="G23" s="14" t="s">
        <v>209</v>
      </c>
    </row>
    <row r="24" spans="1:9" ht="25.5" x14ac:dyDescent="0.2">
      <c r="A24" s="8">
        <v>44038</v>
      </c>
      <c r="B24" s="9">
        <v>23</v>
      </c>
      <c r="C24" s="16" t="s">
        <v>215</v>
      </c>
      <c r="D24" s="12" t="s">
        <v>216</v>
      </c>
      <c r="E24" s="14" t="s">
        <v>218</v>
      </c>
      <c r="F24" s="10" t="s">
        <v>153</v>
      </c>
      <c r="G24" s="14" t="s">
        <v>217</v>
      </c>
    </row>
    <row r="25" spans="1:9" x14ac:dyDescent="0.2">
      <c r="A25" s="8">
        <v>44326</v>
      </c>
      <c r="B25" s="9">
        <v>24</v>
      </c>
      <c r="C25" s="16" t="s">
        <v>178</v>
      </c>
      <c r="D25" s="12"/>
      <c r="E25" s="14" t="s">
        <v>365</v>
      </c>
      <c r="F25" s="14" t="s">
        <v>269</v>
      </c>
      <c r="G25" s="11" t="s">
        <v>374</v>
      </c>
    </row>
    <row r="26" spans="1:9" x14ac:dyDescent="0.2">
      <c r="A26" s="8">
        <v>44326</v>
      </c>
      <c r="B26" s="9">
        <v>25</v>
      </c>
      <c r="C26" s="8" t="s">
        <v>270</v>
      </c>
      <c r="D26" s="9"/>
      <c r="E26" s="11" t="s">
        <v>271</v>
      </c>
      <c r="F26" s="10" t="s">
        <v>272</v>
      </c>
      <c r="G26" s="11" t="s">
        <v>380</v>
      </c>
    </row>
    <row r="27" spans="1:9" x14ac:dyDescent="0.2">
      <c r="A27" s="8">
        <v>44326</v>
      </c>
      <c r="B27" s="9">
        <v>26</v>
      </c>
      <c r="C27" s="8" t="s">
        <v>270</v>
      </c>
      <c r="D27" s="9"/>
      <c r="E27" s="11" t="s">
        <v>273</v>
      </c>
      <c r="F27" s="10" t="s">
        <v>272</v>
      </c>
      <c r="G27" s="11" t="s">
        <v>274</v>
      </c>
    </row>
    <row r="28" spans="1:9" ht="25.5" x14ac:dyDescent="0.2">
      <c r="A28" s="8">
        <v>44326</v>
      </c>
      <c r="B28" s="9">
        <v>27</v>
      </c>
      <c r="C28" s="8" t="s">
        <v>270</v>
      </c>
      <c r="D28" s="9"/>
      <c r="E28" s="11" t="s">
        <v>275</v>
      </c>
      <c r="F28" s="10" t="s">
        <v>272</v>
      </c>
      <c r="G28" s="11" t="s">
        <v>276</v>
      </c>
    </row>
    <row r="29" spans="1:9" x14ac:dyDescent="0.2">
      <c r="A29" s="8">
        <v>44326</v>
      </c>
      <c r="B29" s="9">
        <v>28</v>
      </c>
      <c r="C29" s="8" t="s">
        <v>277</v>
      </c>
      <c r="D29" s="9"/>
      <c r="E29" s="11" t="s">
        <v>183</v>
      </c>
      <c r="F29" s="10" t="s">
        <v>278</v>
      </c>
      <c r="G29" s="11" t="s">
        <v>279</v>
      </c>
    </row>
    <row r="30" spans="1:9" ht="38.25" x14ac:dyDescent="0.2">
      <c r="A30" s="8">
        <v>44326</v>
      </c>
      <c r="B30" s="9">
        <v>29</v>
      </c>
      <c r="C30" s="8" t="s">
        <v>238</v>
      </c>
      <c r="D30" s="12"/>
      <c r="E30" s="14"/>
      <c r="F30" s="10" t="s">
        <v>280</v>
      </c>
      <c r="G30" s="11" t="s">
        <v>281</v>
      </c>
    </row>
    <row r="31" spans="1:9" ht="25.5" x14ac:dyDescent="0.2">
      <c r="A31" s="8">
        <v>44326</v>
      </c>
      <c r="B31" s="9">
        <v>30</v>
      </c>
      <c r="C31" s="13" t="s">
        <v>247</v>
      </c>
      <c r="D31" s="9">
        <v>1.2</v>
      </c>
      <c r="E31" s="13" t="s">
        <v>248</v>
      </c>
      <c r="F31" s="13" t="s">
        <v>153</v>
      </c>
      <c r="G31" s="19" t="s">
        <v>249</v>
      </c>
    </row>
    <row r="32" spans="1:9" ht="102" x14ac:dyDescent="0.2">
      <c r="A32" s="8">
        <v>44326</v>
      </c>
      <c r="B32" s="9">
        <v>31</v>
      </c>
      <c r="C32" s="13" t="s">
        <v>250</v>
      </c>
      <c r="D32" s="9">
        <v>2.1</v>
      </c>
      <c r="E32" s="11" t="s">
        <v>282</v>
      </c>
      <c r="F32" s="13" t="s">
        <v>264</v>
      </c>
      <c r="G32" s="14" t="s">
        <v>265</v>
      </c>
    </row>
    <row r="33" spans="1:7" ht="25.5" x14ac:dyDescent="0.2">
      <c r="A33" s="8">
        <v>44326</v>
      </c>
      <c r="B33" s="9">
        <v>32</v>
      </c>
      <c r="C33" s="13" t="s">
        <v>250</v>
      </c>
      <c r="D33" s="9">
        <v>2.1</v>
      </c>
      <c r="E33" s="11" t="s">
        <v>385</v>
      </c>
      <c r="F33" s="13" t="s">
        <v>163</v>
      </c>
      <c r="G33" s="14" t="s">
        <v>386</v>
      </c>
    </row>
    <row r="34" spans="1:7" ht="25.5" x14ac:dyDescent="0.2">
      <c r="A34" s="8">
        <v>44326</v>
      </c>
      <c r="B34" s="9">
        <v>33</v>
      </c>
      <c r="C34" s="13" t="s">
        <v>250</v>
      </c>
      <c r="D34" s="9">
        <v>2.1</v>
      </c>
      <c r="E34" s="10" t="s">
        <v>283</v>
      </c>
      <c r="F34" s="10" t="s">
        <v>163</v>
      </c>
      <c r="G34" s="11" t="s">
        <v>284</v>
      </c>
    </row>
    <row r="35" spans="1:7" x14ac:dyDescent="0.2">
      <c r="A35" s="8">
        <v>44326</v>
      </c>
      <c r="B35" s="9">
        <v>34</v>
      </c>
      <c r="C35" s="13" t="s">
        <v>250</v>
      </c>
      <c r="D35" s="9">
        <v>2.1</v>
      </c>
      <c r="E35" s="10" t="s">
        <v>285</v>
      </c>
      <c r="F35" s="10" t="s">
        <v>286</v>
      </c>
      <c r="G35" s="11" t="s">
        <v>287</v>
      </c>
    </row>
    <row r="36" spans="1:7" x14ac:dyDescent="0.2">
      <c r="A36" s="8">
        <v>44326</v>
      </c>
      <c r="B36" s="9">
        <v>35</v>
      </c>
      <c r="C36" s="13" t="s">
        <v>250</v>
      </c>
      <c r="D36" s="9">
        <v>2.1</v>
      </c>
      <c r="E36" s="10" t="s">
        <v>288</v>
      </c>
      <c r="F36" s="10" t="s">
        <v>153</v>
      </c>
      <c r="G36" s="11" t="s">
        <v>289</v>
      </c>
    </row>
    <row r="37" spans="1:7" ht="25.5" x14ac:dyDescent="0.2">
      <c r="A37" s="8">
        <v>44326</v>
      </c>
      <c r="B37" s="9">
        <v>36</v>
      </c>
      <c r="C37" s="13" t="s">
        <v>250</v>
      </c>
      <c r="D37" s="9">
        <v>2.1</v>
      </c>
      <c r="E37" s="10" t="s">
        <v>290</v>
      </c>
      <c r="F37" s="10" t="s">
        <v>163</v>
      </c>
      <c r="G37" s="11" t="s">
        <v>291</v>
      </c>
    </row>
    <row r="38" spans="1:7" ht="25.5" x14ac:dyDescent="0.2">
      <c r="A38" s="8">
        <v>44326</v>
      </c>
      <c r="B38" s="9">
        <v>37</v>
      </c>
      <c r="C38" s="13" t="s">
        <v>251</v>
      </c>
      <c r="D38" s="9" t="s">
        <v>252</v>
      </c>
      <c r="E38" s="10" t="s">
        <v>292</v>
      </c>
      <c r="F38" s="13" t="s">
        <v>153</v>
      </c>
      <c r="G38" s="14" t="s">
        <v>266</v>
      </c>
    </row>
    <row r="39" spans="1:7" ht="25.5" x14ac:dyDescent="0.2">
      <c r="A39" s="8">
        <v>44326</v>
      </c>
      <c r="B39" s="9">
        <v>38</v>
      </c>
      <c r="C39" s="13" t="s">
        <v>251</v>
      </c>
      <c r="D39" s="9" t="s">
        <v>252</v>
      </c>
      <c r="E39" s="13"/>
      <c r="F39" s="14" t="s">
        <v>267</v>
      </c>
      <c r="G39" s="11" t="s">
        <v>387</v>
      </c>
    </row>
    <row r="40" spans="1:7" ht="38.25" x14ac:dyDescent="0.2">
      <c r="A40" s="8">
        <v>44326</v>
      </c>
      <c r="B40" s="9">
        <v>39</v>
      </c>
      <c r="C40" s="10" t="s">
        <v>251</v>
      </c>
      <c r="D40" s="9" t="s">
        <v>252</v>
      </c>
      <c r="E40" s="10" t="s">
        <v>253</v>
      </c>
      <c r="F40" s="14" t="s">
        <v>268</v>
      </c>
      <c r="G40" s="11" t="s">
        <v>293</v>
      </c>
    </row>
    <row r="41" spans="1:7" ht="38.25" x14ac:dyDescent="0.2">
      <c r="A41" s="8">
        <v>44326</v>
      </c>
      <c r="B41" s="9">
        <v>40</v>
      </c>
      <c r="C41" s="10" t="s">
        <v>251</v>
      </c>
      <c r="D41" s="9" t="s">
        <v>252</v>
      </c>
      <c r="E41" s="10" t="s">
        <v>254</v>
      </c>
      <c r="F41" s="14" t="s">
        <v>269</v>
      </c>
      <c r="G41" s="11" t="s">
        <v>294</v>
      </c>
    </row>
    <row r="42" spans="1:7" x14ac:dyDescent="0.2">
      <c r="A42" s="8">
        <v>44326</v>
      </c>
      <c r="B42" s="9">
        <v>41</v>
      </c>
      <c r="C42" s="10" t="s">
        <v>251</v>
      </c>
      <c r="D42" s="9" t="s">
        <v>252</v>
      </c>
      <c r="E42" s="10" t="s">
        <v>295</v>
      </c>
      <c r="F42" s="11" t="s">
        <v>163</v>
      </c>
      <c r="G42" s="11" t="s">
        <v>296</v>
      </c>
    </row>
    <row r="43" spans="1:7" ht="25.5" x14ac:dyDescent="0.2">
      <c r="A43" s="8">
        <v>44326</v>
      </c>
      <c r="B43" s="9">
        <v>42</v>
      </c>
      <c r="C43" s="10" t="s">
        <v>366</v>
      </c>
      <c r="D43" s="12" t="s">
        <v>370</v>
      </c>
      <c r="E43" s="10" t="s">
        <v>367</v>
      </c>
      <c r="F43" s="14" t="s">
        <v>368</v>
      </c>
      <c r="G43" s="14" t="s">
        <v>369</v>
      </c>
    </row>
    <row r="44" spans="1:7" ht="51" x14ac:dyDescent="0.2">
      <c r="A44" s="8">
        <v>44326</v>
      </c>
      <c r="B44" s="9">
        <v>43</v>
      </c>
      <c r="C44" s="10" t="s">
        <v>297</v>
      </c>
      <c r="D44" s="9" t="s">
        <v>298</v>
      </c>
      <c r="E44" s="10" t="s">
        <v>299</v>
      </c>
      <c r="F44" s="11" t="s">
        <v>157</v>
      </c>
      <c r="G44" s="11" t="s">
        <v>300</v>
      </c>
    </row>
    <row r="45" spans="1:7" x14ac:dyDescent="0.2">
      <c r="A45" s="8">
        <v>44326</v>
      </c>
      <c r="B45" s="9">
        <v>44</v>
      </c>
      <c r="C45" s="10" t="s">
        <v>301</v>
      </c>
      <c r="D45" s="9" t="s">
        <v>302</v>
      </c>
      <c r="E45" s="10" t="s">
        <v>299</v>
      </c>
      <c r="F45" s="11" t="s">
        <v>157</v>
      </c>
      <c r="G45" s="11" t="s">
        <v>303</v>
      </c>
    </row>
    <row r="46" spans="1:7" x14ac:dyDescent="0.2">
      <c r="A46" s="8">
        <v>44326</v>
      </c>
      <c r="B46" s="9">
        <v>45</v>
      </c>
      <c r="C46" s="10" t="s">
        <v>304</v>
      </c>
      <c r="D46" s="9" t="s">
        <v>302</v>
      </c>
      <c r="E46" s="10" t="s">
        <v>305</v>
      </c>
      <c r="F46" s="11" t="s">
        <v>163</v>
      </c>
      <c r="G46" s="11" t="s">
        <v>306</v>
      </c>
    </row>
    <row r="47" spans="1:7" x14ac:dyDescent="0.2">
      <c r="A47" s="8">
        <v>44326</v>
      </c>
      <c r="B47" s="9">
        <v>46</v>
      </c>
      <c r="C47" s="10" t="s">
        <v>304</v>
      </c>
      <c r="D47" s="9" t="s">
        <v>302</v>
      </c>
      <c r="E47" s="10" t="s">
        <v>307</v>
      </c>
      <c r="F47" s="11" t="s">
        <v>308</v>
      </c>
      <c r="G47" s="11" t="s">
        <v>309</v>
      </c>
    </row>
    <row r="48" spans="1:7" x14ac:dyDescent="0.2">
      <c r="A48" s="8">
        <v>44326</v>
      </c>
      <c r="B48" s="9">
        <v>47</v>
      </c>
      <c r="C48" s="10" t="s">
        <v>255</v>
      </c>
      <c r="D48" s="9"/>
      <c r="E48" s="10" t="s">
        <v>372</v>
      </c>
      <c r="F48" s="14" t="s">
        <v>269</v>
      </c>
      <c r="G48" s="11" t="s">
        <v>373</v>
      </c>
    </row>
    <row r="49" spans="1:7" x14ac:dyDescent="0.2">
      <c r="A49" s="8">
        <v>44326</v>
      </c>
      <c r="B49" s="9">
        <v>48</v>
      </c>
      <c r="C49" s="10" t="s">
        <v>255</v>
      </c>
      <c r="D49" s="9">
        <v>3.1</v>
      </c>
      <c r="E49" s="10" t="s">
        <v>256</v>
      </c>
      <c r="F49" s="11" t="s">
        <v>310</v>
      </c>
      <c r="G49" s="11" t="s">
        <v>311</v>
      </c>
    </row>
    <row r="50" spans="1:7" x14ac:dyDescent="0.2">
      <c r="A50" s="8">
        <v>44326</v>
      </c>
      <c r="B50" s="9">
        <v>49</v>
      </c>
      <c r="C50" s="10" t="s">
        <v>255</v>
      </c>
      <c r="D50" s="9">
        <v>3.1</v>
      </c>
      <c r="E50" s="10" t="s">
        <v>257</v>
      </c>
      <c r="F50" s="11" t="s">
        <v>153</v>
      </c>
      <c r="G50" s="11" t="s">
        <v>312</v>
      </c>
    </row>
    <row r="51" spans="1:7" ht="140.25" x14ac:dyDescent="0.2">
      <c r="A51" s="8">
        <v>44326</v>
      </c>
      <c r="B51" s="9">
        <v>50</v>
      </c>
      <c r="C51" s="10" t="s">
        <v>255</v>
      </c>
      <c r="D51" s="9">
        <v>3.1</v>
      </c>
      <c r="E51" s="10" t="s">
        <v>313</v>
      </c>
      <c r="F51" s="11" t="s">
        <v>314</v>
      </c>
      <c r="G51" s="11" t="s">
        <v>315</v>
      </c>
    </row>
    <row r="52" spans="1:7" ht="25.5" x14ac:dyDescent="0.2">
      <c r="A52" s="8">
        <v>44326</v>
      </c>
      <c r="B52" s="9">
        <v>51</v>
      </c>
      <c r="C52" s="10" t="s">
        <v>255</v>
      </c>
      <c r="D52" s="9">
        <v>3.1</v>
      </c>
      <c r="E52" s="10" t="s">
        <v>316</v>
      </c>
      <c r="F52" s="11" t="s">
        <v>163</v>
      </c>
      <c r="G52" s="11" t="s">
        <v>317</v>
      </c>
    </row>
    <row r="53" spans="1:7" ht="38.25" x14ac:dyDescent="0.2">
      <c r="A53" s="8">
        <v>44326</v>
      </c>
      <c r="B53" s="9">
        <v>52</v>
      </c>
      <c r="C53" s="10" t="s">
        <v>255</v>
      </c>
      <c r="D53" s="9">
        <v>3.1</v>
      </c>
      <c r="E53" s="10" t="s">
        <v>318</v>
      </c>
      <c r="F53" s="11" t="s">
        <v>163</v>
      </c>
      <c r="G53" s="11" t="s">
        <v>319</v>
      </c>
    </row>
    <row r="54" spans="1:7" ht="51" x14ac:dyDescent="0.2">
      <c r="A54" s="8">
        <v>44326</v>
      </c>
      <c r="B54" s="9">
        <v>53</v>
      </c>
      <c r="C54" s="10" t="s">
        <v>320</v>
      </c>
      <c r="D54" s="9"/>
      <c r="E54" s="10"/>
      <c r="F54" s="11" t="s">
        <v>321</v>
      </c>
      <c r="G54" s="11" t="s">
        <v>322</v>
      </c>
    </row>
    <row r="55" spans="1:7" x14ac:dyDescent="0.2">
      <c r="A55" s="8">
        <v>44326</v>
      </c>
      <c r="B55" s="9">
        <v>54</v>
      </c>
      <c r="C55" s="10" t="s">
        <v>320</v>
      </c>
      <c r="D55" s="9" t="s">
        <v>187</v>
      </c>
      <c r="E55" s="10" t="s">
        <v>323</v>
      </c>
      <c r="F55" s="11" t="s">
        <v>324</v>
      </c>
      <c r="G55" s="11" t="s">
        <v>325</v>
      </c>
    </row>
    <row r="56" spans="1:7" x14ac:dyDescent="0.2">
      <c r="A56" s="8">
        <v>44326</v>
      </c>
      <c r="B56" s="9">
        <v>55</v>
      </c>
      <c r="C56" s="10" t="s">
        <v>320</v>
      </c>
      <c r="D56" s="9"/>
      <c r="E56" s="10" t="s">
        <v>375</v>
      </c>
      <c r="F56" s="11" t="s">
        <v>153</v>
      </c>
      <c r="G56" s="11" t="s">
        <v>376</v>
      </c>
    </row>
    <row r="57" spans="1:7" ht="51" x14ac:dyDescent="0.2">
      <c r="A57" s="8">
        <v>44326</v>
      </c>
      <c r="B57" s="9">
        <v>56</v>
      </c>
      <c r="C57" s="10" t="s">
        <v>326</v>
      </c>
      <c r="D57" s="9"/>
      <c r="E57" s="10"/>
      <c r="F57" s="11" t="s">
        <v>321</v>
      </c>
      <c r="G57" s="11" t="s">
        <v>327</v>
      </c>
    </row>
    <row r="58" spans="1:7" ht="25.5" x14ac:dyDescent="0.2">
      <c r="A58" s="8">
        <v>44326</v>
      </c>
      <c r="B58" s="9">
        <v>57</v>
      </c>
      <c r="C58" s="10" t="s">
        <v>326</v>
      </c>
      <c r="D58" s="9" t="s">
        <v>328</v>
      </c>
      <c r="E58" s="11" t="s">
        <v>329</v>
      </c>
      <c r="F58" s="11" t="s">
        <v>324</v>
      </c>
      <c r="G58" s="11" t="s">
        <v>325</v>
      </c>
    </row>
    <row r="59" spans="1:7" x14ac:dyDescent="0.2">
      <c r="A59" s="8">
        <v>44326</v>
      </c>
      <c r="B59" s="9">
        <v>58</v>
      </c>
      <c r="C59" s="10" t="s">
        <v>215</v>
      </c>
      <c r="D59" s="9" t="s">
        <v>145</v>
      </c>
      <c r="E59" s="10" t="s">
        <v>258</v>
      </c>
      <c r="F59" s="11" t="s">
        <v>269</v>
      </c>
      <c r="G59" s="11" t="s">
        <v>312</v>
      </c>
    </row>
    <row r="60" spans="1:7" x14ac:dyDescent="0.2">
      <c r="A60" s="8">
        <v>44326</v>
      </c>
      <c r="B60" s="9">
        <v>59</v>
      </c>
      <c r="C60" s="10" t="s">
        <v>215</v>
      </c>
      <c r="D60" s="9" t="s">
        <v>145</v>
      </c>
      <c r="E60" s="10" t="s">
        <v>259</v>
      </c>
      <c r="F60" s="11" t="s">
        <v>269</v>
      </c>
      <c r="G60" s="11" t="s">
        <v>312</v>
      </c>
    </row>
    <row r="61" spans="1:7" x14ac:dyDescent="0.2">
      <c r="A61" s="8">
        <v>44326</v>
      </c>
      <c r="B61" s="9">
        <v>60</v>
      </c>
      <c r="C61" s="10" t="s">
        <v>215</v>
      </c>
      <c r="D61" s="9" t="s">
        <v>145</v>
      </c>
      <c r="E61" t="s">
        <v>330</v>
      </c>
      <c r="F61" s="11" t="s">
        <v>162</v>
      </c>
      <c r="G61" s="11" t="s">
        <v>331</v>
      </c>
    </row>
    <row r="62" spans="1:7" x14ac:dyDescent="0.2">
      <c r="A62" s="8">
        <v>44326</v>
      </c>
      <c r="B62" s="9">
        <v>61</v>
      </c>
      <c r="C62" s="10" t="s">
        <v>215</v>
      </c>
      <c r="D62" s="9" t="s">
        <v>216</v>
      </c>
      <c r="E62" s="10" t="s">
        <v>332</v>
      </c>
      <c r="F62" s="11" t="s">
        <v>324</v>
      </c>
      <c r="G62" s="11" t="s">
        <v>333</v>
      </c>
    </row>
    <row r="63" spans="1:7" ht="38.25" x14ac:dyDescent="0.2">
      <c r="A63" s="8">
        <v>44326</v>
      </c>
      <c r="B63" s="9">
        <v>62</v>
      </c>
      <c r="C63" s="10" t="s">
        <v>215</v>
      </c>
      <c r="D63" s="9" t="s">
        <v>216</v>
      </c>
      <c r="E63" s="10" t="s">
        <v>334</v>
      </c>
      <c r="F63" s="11" t="s">
        <v>308</v>
      </c>
      <c r="G63" s="11" t="s">
        <v>335</v>
      </c>
    </row>
    <row r="64" spans="1:7" ht="25.5" x14ac:dyDescent="0.2">
      <c r="A64" s="8">
        <v>44326</v>
      </c>
      <c r="B64" s="9">
        <v>63</v>
      </c>
      <c r="C64" s="10" t="s">
        <v>215</v>
      </c>
      <c r="D64" s="9" t="s">
        <v>145</v>
      </c>
      <c r="E64" s="10" t="s">
        <v>201</v>
      </c>
      <c r="F64" s="11" t="s">
        <v>202</v>
      </c>
      <c r="G64" s="11" t="s">
        <v>336</v>
      </c>
    </row>
    <row r="65" spans="1:7" ht="25.5" x14ac:dyDescent="0.2">
      <c r="A65" s="8">
        <v>44326</v>
      </c>
      <c r="B65" s="9">
        <v>64</v>
      </c>
      <c r="C65" s="10" t="s">
        <v>215</v>
      </c>
      <c r="D65" s="9" t="s">
        <v>192</v>
      </c>
      <c r="E65" s="10" t="s">
        <v>260</v>
      </c>
      <c r="F65" s="11" t="s">
        <v>202</v>
      </c>
      <c r="G65" s="11" t="s">
        <v>336</v>
      </c>
    </row>
    <row r="66" spans="1:7" ht="25.5" x14ac:dyDescent="0.2">
      <c r="A66" s="8">
        <v>44326</v>
      </c>
      <c r="B66" s="9">
        <v>65</v>
      </c>
      <c r="C66" s="10" t="s">
        <v>261</v>
      </c>
      <c r="D66" s="9" t="s">
        <v>262</v>
      </c>
      <c r="E66" s="10" t="s">
        <v>263</v>
      </c>
      <c r="F66" s="11" t="s">
        <v>202</v>
      </c>
      <c r="G66" s="11" t="s">
        <v>336</v>
      </c>
    </row>
    <row r="67" spans="1:7" ht="51" x14ac:dyDescent="0.2">
      <c r="A67" s="8">
        <v>44326</v>
      </c>
      <c r="B67" s="9">
        <v>66</v>
      </c>
      <c r="C67" s="10" t="s">
        <v>337</v>
      </c>
      <c r="D67" s="9" t="s">
        <v>262</v>
      </c>
      <c r="E67" s="10" t="s">
        <v>299</v>
      </c>
      <c r="F67" s="11" t="s">
        <v>157</v>
      </c>
      <c r="G67" s="11" t="s">
        <v>300</v>
      </c>
    </row>
    <row r="68" spans="1:7" x14ac:dyDescent="0.2">
      <c r="A68" s="8">
        <v>44326</v>
      </c>
      <c r="B68" s="9">
        <v>67</v>
      </c>
      <c r="C68" s="10" t="s">
        <v>338</v>
      </c>
      <c r="D68" s="9"/>
      <c r="E68" s="10"/>
      <c r="F68" s="11" t="s">
        <v>321</v>
      </c>
      <c r="G68" t="s">
        <v>339</v>
      </c>
    </row>
    <row r="69" spans="1:7" ht="25.5" x14ac:dyDescent="0.2">
      <c r="A69" s="8">
        <v>44326</v>
      </c>
      <c r="B69" s="9">
        <v>68</v>
      </c>
      <c r="C69" s="10" t="s">
        <v>338</v>
      </c>
      <c r="D69" s="9"/>
      <c r="E69" s="10"/>
      <c r="F69" s="11" t="s">
        <v>340</v>
      </c>
      <c r="G69" s="11" t="s">
        <v>341</v>
      </c>
    </row>
    <row r="70" spans="1:7" ht="25.5" x14ac:dyDescent="0.2">
      <c r="A70" s="8">
        <v>44326</v>
      </c>
      <c r="B70" s="9">
        <v>69</v>
      </c>
      <c r="C70" s="10" t="s">
        <v>338</v>
      </c>
      <c r="D70" s="9">
        <v>4.0999999999999996</v>
      </c>
      <c r="E70" s="10" t="s">
        <v>342</v>
      </c>
      <c r="F70" s="11" t="s">
        <v>163</v>
      </c>
      <c r="G70" s="11" t="s">
        <v>343</v>
      </c>
    </row>
    <row r="71" spans="1:7" ht="25.5" x14ac:dyDescent="0.2">
      <c r="A71" s="8">
        <v>44326</v>
      </c>
      <c r="B71" s="9">
        <v>70</v>
      </c>
      <c r="C71" s="10" t="s">
        <v>338</v>
      </c>
      <c r="D71" s="9">
        <v>4.0999999999999996</v>
      </c>
      <c r="E71" s="10" t="s">
        <v>344</v>
      </c>
      <c r="F71" s="11" t="s">
        <v>264</v>
      </c>
      <c r="G71" s="11" t="s">
        <v>345</v>
      </c>
    </row>
    <row r="72" spans="1:7" x14ac:dyDescent="0.2">
      <c r="A72" s="8">
        <v>44326</v>
      </c>
      <c r="B72" s="9">
        <v>71</v>
      </c>
      <c r="C72" s="10" t="s">
        <v>338</v>
      </c>
      <c r="D72" s="9">
        <v>4.0999999999999996</v>
      </c>
      <c r="E72" s="10" t="s">
        <v>346</v>
      </c>
      <c r="F72" s="11" t="s">
        <v>347</v>
      </c>
      <c r="G72" s="11" t="s">
        <v>348</v>
      </c>
    </row>
    <row r="73" spans="1:7" x14ac:dyDescent="0.2">
      <c r="A73" s="8">
        <v>44326</v>
      </c>
      <c r="B73" s="9">
        <v>72</v>
      </c>
      <c r="C73" s="10" t="s">
        <v>338</v>
      </c>
      <c r="D73" s="9">
        <v>4.0999999999999996</v>
      </c>
      <c r="E73" s="10" t="s">
        <v>349</v>
      </c>
      <c r="F73" s="11" t="s">
        <v>163</v>
      </c>
      <c r="G73" s="11" t="s">
        <v>350</v>
      </c>
    </row>
    <row r="74" spans="1:7" ht="25.5" x14ac:dyDescent="0.2">
      <c r="A74" s="8">
        <v>44326</v>
      </c>
      <c r="B74" s="9">
        <v>73</v>
      </c>
      <c r="C74" s="10" t="s">
        <v>338</v>
      </c>
      <c r="D74" s="9">
        <v>4.0999999999999996</v>
      </c>
      <c r="E74" s="10" t="s">
        <v>351</v>
      </c>
      <c r="F74" s="11" t="s">
        <v>163</v>
      </c>
      <c r="G74" s="11" t="s">
        <v>352</v>
      </c>
    </row>
    <row r="75" spans="1:7" x14ac:dyDescent="0.2">
      <c r="A75" s="8">
        <v>44326</v>
      </c>
      <c r="B75" s="9">
        <v>74</v>
      </c>
      <c r="C75" s="10" t="s">
        <v>338</v>
      </c>
      <c r="D75" s="9"/>
      <c r="E75" s="10" t="s">
        <v>378</v>
      </c>
      <c r="F75" s="11" t="s">
        <v>269</v>
      </c>
      <c r="G75" s="11" t="s">
        <v>379</v>
      </c>
    </row>
    <row r="76" spans="1:7" ht="38.25" x14ac:dyDescent="0.2">
      <c r="A76" s="8">
        <v>44326</v>
      </c>
      <c r="B76" s="9">
        <v>75</v>
      </c>
      <c r="C76" s="10" t="s">
        <v>353</v>
      </c>
      <c r="D76" s="9">
        <v>5.0999999999999996</v>
      </c>
      <c r="E76" s="10" t="s">
        <v>354</v>
      </c>
      <c r="F76" s="11" t="s">
        <v>355</v>
      </c>
      <c r="G76" s="11" t="s">
        <v>356</v>
      </c>
    </row>
    <row r="77" spans="1:7" ht="38.25" x14ac:dyDescent="0.2">
      <c r="A77" s="8">
        <v>44326</v>
      </c>
      <c r="B77" s="9">
        <v>76</v>
      </c>
      <c r="C77" s="10" t="s">
        <v>353</v>
      </c>
      <c r="D77" s="9">
        <v>5.0999999999999996</v>
      </c>
      <c r="E77" s="10" t="s">
        <v>357</v>
      </c>
      <c r="F77" s="11" t="s">
        <v>355</v>
      </c>
      <c r="G77" s="11" t="s">
        <v>358</v>
      </c>
    </row>
    <row r="78" spans="1:7" ht="25.5" x14ac:dyDescent="0.2">
      <c r="A78" s="8">
        <v>44326</v>
      </c>
      <c r="B78" s="9">
        <v>77</v>
      </c>
      <c r="C78" s="10" t="s">
        <v>353</v>
      </c>
      <c r="D78" s="9">
        <v>5.0999999999999996</v>
      </c>
      <c r="E78" s="10" t="s">
        <v>359</v>
      </c>
      <c r="F78" s="11" t="s">
        <v>310</v>
      </c>
      <c r="G78" s="11" t="s">
        <v>360</v>
      </c>
    </row>
    <row r="79" spans="1:7" ht="25.5" x14ac:dyDescent="0.2">
      <c r="A79" s="8">
        <v>44326</v>
      </c>
      <c r="B79" s="9">
        <v>78</v>
      </c>
      <c r="C79" s="10" t="s">
        <v>353</v>
      </c>
      <c r="D79" s="9">
        <v>5.0999999999999996</v>
      </c>
      <c r="E79" s="10" t="s">
        <v>361</v>
      </c>
      <c r="F79" s="11" t="s">
        <v>153</v>
      </c>
      <c r="G79" s="14" t="s">
        <v>362</v>
      </c>
    </row>
    <row r="80" spans="1:7" ht="38.25" x14ac:dyDescent="0.2">
      <c r="A80" s="8">
        <v>44326</v>
      </c>
      <c r="B80" s="9">
        <v>79</v>
      </c>
      <c r="C80" s="10" t="s">
        <v>353</v>
      </c>
      <c r="D80" s="9">
        <v>5.0999999999999996</v>
      </c>
      <c r="E80" s="14" t="s">
        <v>384</v>
      </c>
      <c r="F80" s="14" t="s">
        <v>383</v>
      </c>
      <c r="G80" s="14" t="s">
        <v>382</v>
      </c>
    </row>
    <row r="81" spans="1:7" ht="38.25" x14ac:dyDescent="0.2">
      <c r="A81" s="8">
        <v>44326</v>
      </c>
      <c r="B81" s="9">
        <v>80</v>
      </c>
      <c r="C81" s="10" t="s">
        <v>363</v>
      </c>
      <c r="D81" s="9"/>
      <c r="E81" s="10"/>
      <c r="F81" s="11" t="s">
        <v>324</v>
      </c>
      <c r="G81" s="11" t="s">
        <v>364</v>
      </c>
    </row>
    <row r="82" spans="1:7" x14ac:dyDescent="0.2">
      <c r="A82" s="10"/>
      <c r="B82" s="9"/>
      <c r="C82" s="10"/>
      <c r="D82" s="9"/>
      <c r="E82" s="10"/>
      <c r="F82" s="10"/>
      <c r="G82" s="10"/>
    </row>
    <row r="83" spans="1:7" x14ac:dyDescent="0.2">
      <c r="A83" s="10"/>
      <c r="B83" s="9"/>
      <c r="C83" s="10"/>
      <c r="D83" s="9"/>
      <c r="E83" s="10"/>
      <c r="F83" s="11"/>
      <c r="G83" s="11"/>
    </row>
    <row r="84" spans="1:7" x14ac:dyDescent="0.2">
      <c r="A84" s="10"/>
      <c r="B84" s="9"/>
      <c r="C84" s="10"/>
      <c r="D84" s="9"/>
      <c r="E84" s="10"/>
      <c r="F84" s="11"/>
      <c r="G84" s="11"/>
    </row>
    <row r="85" spans="1:7" x14ac:dyDescent="0.2">
      <c r="A85" s="10"/>
      <c r="B85" s="9"/>
      <c r="C85" s="10"/>
      <c r="D85" s="9"/>
      <c r="E85" s="10"/>
      <c r="F85" s="11"/>
      <c r="G85" s="11"/>
    </row>
    <row r="86" spans="1:7" x14ac:dyDescent="0.2">
      <c r="A86" s="10"/>
      <c r="B86" s="9"/>
      <c r="C86" s="10"/>
      <c r="D86" s="9"/>
      <c r="E86" s="10"/>
      <c r="F86" s="11"/>
      <c r="G86" s="11"/>
    </row>
    <row r="87" spans="1:7" x14ac:dyDescent="0.2">
      <c r="A87" s="10"/>
      <c r="B87" s="9"/>
      <c r="C87" s="10"/>
      <c r="D87" s="9"/>
      <c r="E87" s="10"/>
      <c r="F87" s="11"/>
      <c r="G87" s="11"/>
    </row>
    <row r="88" spans="1:7" x14ac:dyDescent="0.2">
      <c r="A88" s="10"/>
      <c r="B88" s="9"/>
      <c r="C88" s="10"/>
      <c r="D88" s="9"/>
      <c r="E88" s="10"/>
      <c r="F88" s="11"/>
      <c r="G88" s="11"/>
    </row>
    <row r="89" spans="1:7" x14ac:dyDescent="0.2">
      <c r="A89" s="10"/>
      <c r="B89" s="9"/>
      <c r="C89" s="10"/>
      <c r="D89" s="9"/>
      <c r="E89" s="10"/>
      <c r="F89" s="11"/>
      <c r="G89" s="11"/>
    </row>
    <row r="90" spans="1:7" x14ac:dyDescent="0.2">
      <c r="A90" s="10"/>
      <c r="B90" s="9"/>
      <c r="C90" s="10"/>
      <c r="D90" s="9"/>
      <c r="E90" s="10"/>
      <c r="F90" s="11"/>
      <c r="G90" s="11"/>
    </row>
    <row r="91" spans="1:7" x14ac:dyDescent="0.2">
      <c r="A91" s="10"/>
      <c r="B91" s="9"/>
      <c r="C91" s="10"/>
      <c r="D91" s="9"/>
      <c r="E91" s="10"/>
      <c r="F91" s="11"/>
      <c r="G91" s="11"/>
    </row>
    <row r="92" spans="1:7" x14ac:dyDescent="0.2">
      <c r="A92" s="10"/>
      <c r="B92" s="9"/>
      <c r="C92" s="10"/>
      <c r="D92" s="9"/>
      <c r="E92" s="10"/>
      <c r="F92" s="11"/>
      <c r="G92" s="11"/>
    </row>
    <row r="93" spans="1:7" x14ac:dyDescent="0.2">
      <c r="A93" s="10"/>
      <c r="B93" s="9"/>
      <c r="C93" s="10"/>
      <c r="D93" s="9"/>
      <c r="E93" s="10"/>
      <c r="F93" s="11"/>
      <c r="G93" s="11"/>
    </row>
    <row r="94" spans="1:7" x14ac:dyDescent="0.2">
      <c r="A94" s="10"/>
      <c r="B94" s="9"/>
      <c r="C94" s="10"/>
      <c r="D94" s="9"/>
      <c r="E94" s="10"/>
      <c r="F94" s="11"/>
      <c r="G94" s="11"/>
    </row>
    <row r="95" spans="1:7" x14ac:dyDescent="0.2">
      <c r="A95" s="10"/>
      <c r="B95" s="9"/>
      <c r="C95" s="10"/>
      <c r="D95" s="9"/>
      <c r="E95" s="10"/>
      <c r="F95" s="11"/>
      <c r="G95" s="11"/>
    </row>
    <row r="96" spans="1:7" x14ac:dyDescent="0.2">
      <c r="A96" s="10"/>
      <c r="B96" s="9"/>
      <c r="C96" s="10"/>
      <c r="D96" s="9"/>
      <c r="E96" s="10"/>
      <c r="F96" s="11"/>
      <c r="G96" s="11"/>
    </row>
    <row r="97" spans="1:7" x14ac:dyDescent="0.2">
      <c r="A97" s="10"/>
      <c r="B97" s="9"/>
      <c r="C97" s="10"/>
      <c r="D97" s="9"/>
      <c r="E97" s="10"/>
      <c r="F97" s="11"/>
      <c r="G97" s="11"/>
    </row>
    <row r="98" spans="1:7" x14ac:dyDescent="0.2">
      <c r="A98" s="10"/>
      <c r="B98" s="9"/>
      <c r="C98" s="10"/>
      <c r="D98" s="9"/>
      <c r="E98" s="10"/>
      <c r="F98" s="11"/>
      <c r="G98" s="11"/>
    </row>
    <row r="99" spans="1:7" x14ac:dyDescent="0.2">
      <c r="A99" s="10"/>
      <c r="B99" s="9"/>
      <c r="C99" s="10"/>
      <c r="D99" s="9"/>
      <c r="E99" s="10"/>
      <c r="F99" s="11"/>
      <c r="G99" s="11"/>
    </row>
    <row r="100" spans="1:7" x14ac:dyDescent="0.2">
      <c r="A100" s="10"/>
      <c r="B100" s="9"/>
      <c r="C100" s="10"/>
      <c r="D100" s="9"/>
      <c r="E100" s="10"/>
      <c r="F100" s="11"/>
      <c r="G100" s="11"/>
    </row>
    <row r="101" spans="1:7" x14ac:dyDescent="0.2">
      <c r="A101" s="10"/>
      <c r="B101" s="9"/>
      <c r="C101" s="10"/>
      <c r="D101" s="9"/>
      <c r="E101" s="10"/>
      <c r="F101" s="11"/>
      <c r="G101" s="11"/>
    </row>
    <row r="102" spans="1:7" x14ac:dyDescent="0.2">
      <c r="A102" s="10"/>
      <c r="B102" s="9"/>
      <c r="C102" s="10"/>
      <c r="D102" s="9"/>
      <c r="E102" s="10"/>
      <c r="F102" s="11"/>
      <c r="G102" s="11"/>
    </row>
    <row r="103" spans="1:7" x14ac:dyDescent="0.2">
      <c r="A103" s="10"/>
      <c r="B103" s="9"/>
      <c r="C103" s="10"/>
      <c r="D103" s="9"/>
      <c r="E103" s="10"/>
      <c r="F103" s="11"/>
      <c r="G103" s="11"/>
    </row>
    <row r="104" spans="1:7" x14ac:dyDescent="0.2">
      <c r="A104" s="10"/>
      <c r="B104" s="9"/>
      <c r="C104" s="10"/>
      <c r="D104" s="9"/>
      <c r="E104" s="10"/>
      <c r="F104" s="11"/>
      <c r="G104" s="11"/>
    </row>
    <row r="105" spans="1:7" x14ac:dyDescent="0.2">
      <c r="A105" s="10"/>
      <c r="B105" s="9"/>
      <c r="C105" s="10"/>
      <c r="D105" s="9"/>
      <c r="E105" s="10"/>
      <c r="F105" s="11"/>
      <c r="G105" s="11"/>
    </row>
    <row r="106" spans="1:7" x14ac:dyDescent="0.2">
      <c r="A106" s="10"/>
      <c r="B106" s="9"/>
      <c r="C106" s="10"/>
      <c r="D106" s="9"/>
      <c r="E106" s="10"/>
      <c r="F106" s="11"/>
      <c r="G106" s="11"/>
    </row>
    <row r="107" spans="1:7" x14ac:dyDescent="0.2">
      <c r="A107" s="10"/>
      <c r="B107" s="9"/>
      <c r="C107" s="10"/>
      <c r="D107" s="9"/>
      <c r="E107" s="10"/>
      <c r="F107" s="11"/>
      <c r="G107" s="11"/>
    </row>
    <row r="108" spans="1:7" x14ac:dyDescent="0.2">
      <c r="A108" s="10"/>
      <c r="B108" s="9"/>
      <c r="C108" s="10"/>
      <c r="D108" s="9"/>
      <c r="E108" s="10"/>
      <c r="F108" s="11"/>
      <c r="G108" s="11"/>
    </row>
    <row r="109" spans="1:7" x14ac:dyDescent="0.2">
      <c r="A109" s="10"/>
      <c r="B109" s="9"/>
      <c r="C109" s="10"/>
      <c r="D109" s="9"/>
      <c r="E109" s="10"/>
      <c r="F109" s="11"/>
      <c r="G109" s="11"/>
    </row>
    <row r="110" spans="1:7" x14ac:dyDescent="0.2">
      <c r="A110" s="10"/>
      <c r="B110" s="9"/>
      <c r="C110" s="10"/>
      <c r="D110" s="9"/>
      <c r="E110" s="10"/>
      <c r="F110" s="11"/>
      <c r="G110" s="11"/>
    </row>
    <row r="111" spans="1:7" x14ac:dyDescent="0.2">
      <c r="A111" s="10"/>
      <c r="B111" s="9"/>
      <c r="C111" s="10"/>
      <c r="D111" s="9"/>
      <c r="E111" s="10"/>
      <c r="F111" s="11"/>
      <c r="G111" s="11"/>
    </row>
    <row r="112" spans="1:7" x14ac:dyDescent="0.2">
      <c r="A112" s="10"/>
      <c r="B112" s="9"/>
      <c r="C112" s="10"/>
      <c r="D112" s="9"/>
      <c r="E112" s="10"/>
      <c r="F112" s="11"/>
      <c r="G112" s="11"/>
    </row>
    <row r="113" spans="1:7" x14ac:dyDescent="0.2">
      <c r="A113" s="10"/>
      <c r="B113" s="9"/>
      <c r="C113" s="10"/>
      <c r="D113" s="9"/>
      <c r="E113" s="10"/>
      <c r="F113" s="11"/>
      <c r="G113" s="11"/>
    </row>
    <row r="114" spans="1:7" x14ac:dyDescent="0.2">
      <c r="A114" s="10"/>
      <c r="B114" s="9"/>
      <c r="C114" s="10"/>
      <c r="D114" s="9"/>
      <c r="E114" s="10"/>
      <c r="F114" s="11"/>
      <c r="G114" s="11"/>
    </row>
    <row r="115" spans="1:7" x14ac:dyDescent="0.2">
      <c r="A115" s="10"/>
      <c r="B115" s="9"/>
      <c r="C115" s="10"/>
      <c r="D115" s="9"/>
      <c r="E115" s="10"/>
      <c r="F115" s="11"/>
      <c r="G115" s="11"/>
    </row>
    <row r="116" spans="1:7" x14ac:dyDescent="0.2">
      <c r="A116" s="10"/>
      <c r="B116" s="9"/>
      <c r="C116" s="10"/>
      <c r="D116" s="9"/>
      <c r="E116" s="10"/>
      <c r="F116" s="11"/>
      <c r="G116" s="11"/>
    </row>
    <row r="117" spans="1:7" x14ac:dyDescent="0.2">
      <c r="A117" s="10"/>
      <c r="B117" s="9"/>
      <c r="C117" s="10"/>
      <c r="D117" s="9"/>
      <c r="E117" s="10"/>
      <c r="F117" s="11"/>
      <c r="G117" s="11"/>
    </row>
    <row r="118" spans="1:7" x14ac:dyDescent="0.2">
      <c r="A118" s="10"/>
      <c r="B118" s="9"/>
      <c r="C118" s="10"/>
      <c r="D118" s="9"/>
      <c r="E118" s="10"/>
      <c r="F118" s="11"/>
      <c r="G118" s="11"/>
    </row>
    <row r="119" spans="1:7" x14ac:dyDescent="0.2">
      <c r="A119" s="10"/>
      <c r="B119" s="9"/>
      <c r="C119" s="10"/>
      <c r="D119" s="9"/>
      <c r="E119" s="10"/>
      <c r="F119" s="11"/>
      <c r="G119" s="11"/>
    </row>
    <row r="120" spans="1:7" x14ac:dyDescent="0.2">
      <c r="A120" s="10"/>
      <c r="B120" s="9"/>
      <c r="C120" s="10"/>
      <c r="D120" s="9"/>
      <c r="E120" s="10"/>
      <c r="F120" s="10"/>
      <c r="G120" s="10"/>
    </row>
    <row r="121" spans="1:7" x14ac:dyDescent="0.2">
      <c r="A121" s="10"/>
      <c r="B121" s="9"/>
      <c r="C121" s="10"/>
      <c r="D121" s="9"/>
      <c r="E121" s="10"/>
      <c r="F121" s="10"/>
      <c r="G121" s="10"/>
    </row>
    <row r="122" spans="1:7" x14ac:dyDescent="0.2">
      <c r="A122" s="10"/>
      <c r="B122" s="9"/>
      <c r="C122" s="10"/>
      <c r="D122" s="9"/>
      <c r="E122" s="10"/>
      <c r="F122" s="10"/>
      <c r="G122" s="10"/>
    </row>
    <row r="123" spans="1:7" x14ac:dyDescent="0.2">
      <c r="A123" s="10"/>
      <c r="B123" s="9"/>
      <c r="C123" s="10"/>
      <c r="D123" s="9"/>
      <c r="E123" s="10"/>
      <c r="F123" s="10"/>
      <c r="G123" s="10"/>
    </row>
  </sheetData>
  <pageMargins left="0.7" right="0.7" top="0.75" bottom="0.75" header="0.3" footer="0.3"/>
  <pageSetup paperSize="9" orientation="portrait" r:id="rId1"/>
  <headerFooter>
    <oddFooter>&amp;C_x000D_&amp;1#&amp;"Aptos"&amp;10&amp;K008000 APA-INTERNAL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5d2a767af9601abe961391d457aff16">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a2f58b6425fcdb0e370fde9e8a3a1995"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BAD9E7-C6BA-4D58-A6F9-9B7C89BD1F45}">
  <ds:schemaRefs>
    <ds:schemaRef ds:uri="704da589-9a5f-45d1-b9c9-18eae98c3af3"/>
    <ds:schemaRef ds:uri="http://schemas.microsoft.com/office/2006/documentManagement/types"/>
    <ds:schemaRef ds:uri="http://schemas.microsoft.com/sharepoint/v3"/>
    <ds:schemaRef ds:uri="http://schemas.microsoft.com/office/2006/metadata/properties"/>
    <ds:schemaRef ds:uri="http://purl.org/dc/elements/1.1/"/>
    <ds:schemaRef ds:uri="http://www.w3.org/XML/1998/namespace"/>
    <ds:schemaRef ds:uri="http://purl.org/dc/terms/"/>
    <ds:schemaRef ds:uri="http://schemas.openxmlformats.org/package/2006/metadata/core-properties"/>
    <ds:schemaRef ds:uri="http://purl.org/dc/dcmitype/"/>
    <ds:schemaRef ds:uri="http://schemas.microsoft.com/office/infopath/2007/PartnerControls"/>
    <ds:schemaRef ds:uri="68339cd5-4ed0-4715-a10c-fb6cfca0aa9a"/>
  </ds:schemaRefs>
</ds:datastoreItem>
</file>

<file path=customXml/itemProps2.xml><?xml version="1.0" encoding="utf-8"?>
<ds:datastoreItem xmlns:ds="http://schemas.openxmlformats.org/officeDocument/2006/customXml" ds:itemID="{038F5583-1383-42C3-9548-A7D4B925A5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F521F7E-6CD6-4B68-9A5E-963E4E7830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31</vt:i4>
      </vt:variant>
      <vt:variant>
        <vt:lpstr>Named Ranges</vt:lpstr>
      </vt:variant>
      <vt:variant>
        <vt:i4>28</vt:i4>
      </vt:variant>
    </vt:vector>
  </HeadingPairs>
  <TitlesOfParts>
    <vt:vector size="59" baseType="lpstr">
      <vt:lpstr>Cover</vt:lpstr>
      <vt:lpstr>Contents</vt:lpstr>
      <vt:lpstr>Financial summary</vt:lpstr>
      <vt:lpstr>Data visualisation</vt:lpstr>
      <vt:lpstr>Pricing benchmarks summary</vt:lpstr>
      <vt:lpstr>1. Pipeline information</vt:lpstr>
      <vt:lpstr>2. Revenue and expenses</vt:lpstr>
      <vt:lpstr>2.1 Profit &amp; Loss by component</vt:lpstr>
      <vt:lpstr>2.2 Allocation to services</vt:lpstr>
      <vt:lpstr>2.3 Revenue contributions </vt:lpstr>
      <vt:lpstr>2.4 Indirect revenue</vt:lpstr>
      <vt:lpstr>2.5 Shared expenses</vt:lpstr>
      <vt:lpstr>3.1 Depreciated Book Value</vt:lpstr>
      <vt:lpstr>3.2 Regulatory Asset Base</vt:lpstr>
      <vt:lpstr>3.3 Asset useful life</vt:lpstr>
      <vt:lpstr>3.4 Asset impairment</vt:lpstr>
      <vt:lpstr>3.5 Depreciation amortisation</vt:lpstr>
      <vt:lpstr>3.6 Shared supporting assets</vt:lpstr>
      <vt:lpstr>Auditor's Report Statement</vt:lpstr>
      <vt:lpstr>4. Recovered Capital</vt:lpstr>
      <vt:lpstr>4.1 Pipelines capex</vt:lpstr>
      <vt:lpstr>Auditor's Review Report Capex</vt:lpstr>
      <vt:lpstr>5. Historical demand</vt:lpstr>
      <vt:lpstr>Auditor's Review Report Demand</vt:lpstr>
      <vt:lpstr>6. Pricing template</vt:lpstr>
      <vt:lpstr>7. Amendment record</vt:lpstr>
      <vt:lpstr>E1. Revenue Data (NIU)</vt:lpstr>
      <vt:lpstr>E1.1 Revenue Data FY24 (NIU)</vt:lpstr>
      <vt:lpstr>F.2 PPE FY24</vt:lpstr>
      <vt:lpstr>Sheet1</vt:lpstr>
      <vt:lpstr>Amendment record</vt:lpstr>
      <vt:lpstr>ABN</vt:lpstr>
      <vt:lpstr>'1. Pipeline information'!Print_Area</vt:lpstr>
      <vt:lpstr>'2. Revenue and expenses'!Print_Area</vt:lpstr>
      <vt:lpstr>'2.1 Profit &amp; Loss by component'!Print_Area</vt:lpstr>
      <vt:lpstr>'2.2 Allocation to services'!Print_Area</vt:lpstr>
      <vt:lpstr>'2.3 Revenue contributions '!Print_Area</vt:lpstr>
      <vt:lpstr>'2.4 Indirect revenue'!Print_Area</vt:lpstr>
      <vt:lpstr>'2.5 Shared expenses'!Print_Area</vt:lpstr>
      <vt:lpstr>'3.1 Depreciated Book Value'!Print_Area</vt:lpstr>
      <vt:lpstr>'3.2 Regulatory Asset Base'!Print_Area</vt:lpstr>
      <vt:lpstr>'3.3 Asset useful life'!Print_Area</vt:lpstr>
      <vt:lpstr>'3.4 Asset impairment'!Print_Area</vt:lpstr>
      <vt:lpstr>'3.5 Depreciation amortisation'!Print_Area</vt:lpstr>
      <vt:lpstr>'3.6 Shared supporting assets'!Print_Area</vt:lpstr>
      <vt:lpstr>'4. Recovered Capital'!Print_Area</vt:lpstr>
      <vt:lpstr>'4.1 Pipelines capex'!Print_Area</vt:lpstr>
      <vt:lpstr>'5. Historical demand'!Print_Area</vt:lpstr>
      <vt:lpstr>Cover!Print_Area</vt:lpstr>
      <vt:lpstr>'Data visualisation'!Print_Area</vt:lpstr>
      <vt:lpstr>Sheet1!Print_Area</vt:lpstr>
      <vt:lpstr>rAllAssets</vt:lpstr>
      <vt:lpstr>rInitialcosts</vt:lpstr>
      <vt:lpstr>rInitialyears</vt:lpstr>
      <vt:lpstr>rPipelineAssets</vt:lpstr>
      <vt:lpstr>rSharedAssets</vt:lpstr>
      <vt:lpstr>Tradingname</vt:lpstr>
      <vt:lpstr>Yearending</vt:lpstr>
      <vt:lpstr>Yearstart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Cathy</dc:creator>
  <cp:lastModifiedBy>Chai, Melvin</cp:lastModifiedBy>
  <cp:lastPrinted>2025-12-04T01:49:44Z</cp:lastPrinted>
  <dcterms:created xsi:type="dcterms:W3CDTF">2021-05-07T02:14:11Z</dcterms:created>
  <dcterms:modified xsi:type="dcterms:W3CDTF">2025-12-17T23:20:46Z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8e2e509a-f02b-496b-97a8-09ffbb9893ea_Enabled">
    <vt:lpwstr>true</vt:lpwstr>
  </property>
  <property fmtid="{D5CDD505-2E9C-101B-9397-08002B2CF9AE}" pid="5" name="MSIP_Label_8e2e509a-f02b-496b-97a8-09ffbb9893ea_SetDate">
    <vt:lpwstr>2025-11-26T02:26:23Z</vt:lpwstr>
  </property>
  <property fmtid="{D5CDD505-2E9C-101B-9397-08002B2CF9AE}" pid="6" name="MSIP_Label_8e2e509a-f02b-496b-97a8-09ffbb9893ea_Method">
    <vt:lpwstr>Privileged</vt:lpwstr>
  </property>
  <property fmtid="{D5CDD505-2E9C-101B-9397-08002B2CF9AE}" pid="7" name="MSIP_Label_8e2e509a-f02b-496b-97a8-09ffbb9893ea_Name">
    <vt:lpwstr>APA-Internal</vt:lpwstr>
  </property>
  <property fmtid="{D5CDD505-2E9C-101B-9397-08002B2CF9AE}" pid="8" name="MSIP_Label_8e2e509a-f02b-496b-97a8-09ffbb9893ea_SiteId">
    <vt:lpwstr>234ac309-c216-4661-a5ba-18879f6c4c75</vt:lpwstr>
  </property>
  <property fmtid="{D5CDD505-2E9C-101B-9397-08002B2CF9AE}" pid="9" name="MSIP_Label_8e2e509a-f02b-496b-97a8-09ffbb9893ea_ActionId">
    <vt:lpwstr>f1e72a89-69de-41cd-ac6b-b0d5b99547b7</vt:lpwstr>
  </property>
  <property fmtid="{D5CDD505-2E9C-101B-9397-08002B2CF9AE}" pid="10" name="MSIP_Label_8e2e509a-f02b-496b-97a8-09ffbb9893ea_ContentBits">
    <vt:lpwstr>2</vt:lpwstr>
  </property>
  <property fmtid="{D5CDD505-2E9C-101B-9397-08002B2CF9AE}" pid="11" name="MSIP_Label_8e2e509a-f02b-496b-97a8-09ffbb9893ea_Tag">
    <vt:lpwstr>10, 0, 1, 1</vt:lpwstr>
  </property>
  <property fmtid="{D5CDD505-2E9C-101B-9397-08002B2CF9AE}" pid="12" name="MediaServiceImageTags">
    <vt:lpwstr/>
  </property>
  <property fmtid="{D5CDD505-2E9C-101B-9397-08002B2CF9AE}" pid="13" name="ContentTypeId">
    <vt:lpwstr>0x0101009441C17B6C006147B9AF9AD50D625621</vt:lpwstr>
  </property>
</Properties>
</file>