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 AER Annual Reporting Template/2. BWP/z. Submission/"/>
    </mc:Choice>
  </mc:AlternateContent>
  <xr:revisionPtr revIDLastSave="199" documentId="13_ncr:1_{A7A15900-7D9F-4C34-A1BF-ED5AB7A1B290}" xr6:coauthVersionLast="47" xr6:coauthVersionMax="47" xr10:uidLastSave="{1A61B8B2-4279-444E-B90F-8B46B660F843}"/>
  <bookViews>
    <workbookView xWindow="28680" yWindow="-120" windowWidth="57840" windowHeight="23520" tabRatio="789" xr2:uid="{49D1016F-16C5-441E-B77D-074945A6A9A8}"/>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20" r:id="rId19"/>
    <sheet name="4. Recovered Capital" sheetId="47" r:id="rId20"/>
    <sheet name="Auditor's Review Report RCM" sheetId="123" r:id="rId21"/>
    <sheet name="4.1 Pipelines capex" sheetId="66" r:id="rId22"/>
    <sheet name="Auditor's Review Report Capex" sheetId="121" r:id="rId23"/>
    <sheet name="5. Historical demand" sheetId="74" r:id="rId24"/>
    <sheet name="Auditor's Review Report Demand" sheetId="122" r:id="rId25"/>
    <sheet name="6. Pricing template" sheetId="80" r:id="rId26"/>
    <sheet name="7. Amendment record" sheetId="90" r:id="rId27"/>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3">'Data visualisation'!$A$1:$F$88</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#REF!</definedName>
    <definedName name="rInitialyears">#REF!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#REF!</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7" i="34" l="1"/>
  <c r="E66" i="34"/>
  <c r="F67" i="34"/>
  <c r="F16" i="34"/>
  <c r="F66" i="34"/>
  <c r="E19" i="34" l="1"/>
  <c r="E16" i="34"/>
  <c r="F23" i="34"/>
  <c r="F21" i="34"/>
  <c r="F22" i="34" l="1"/>
  <c r="L28" i="34"/>
  <c r="N28" i="34"/>
  <c r="Q28" i="34" s="1"/>
  <c r="L29" i="34"/>
  <c r="N29" i="34" s="1"/>
  <c r="Q29" i="34" s="1"/>
  <c r="L30" i="34"/>
  <c r="N30" i="34" s="1"/>
  <c r="Q30" i="34" s="1"/>
  <c r="L31" i="34"/>
  <c r="N31" i="34" s="1"/>
  <c r="Q31" i="34" s="1"/>
  <c r="L32" i="34"/>
  <c r="N32" i="34"/>
  <c r="Q32" i="34"/>
  <c r="L33" i="34"/>
  <c r="N33" i="34" s="1"/>
  <c r="Q33" i="34" s="1"/>
  <c r="L34" i="34"/>
  <c r="N34" i="34"/>
  <c r="Q34" i="34" s="1"/>
  <c r="L35" i="34"/>
  <c r="N35" i="34"/>
  <c r="Q35" i="34" s="1"/>
  <c r="L36" i="34"/>
  <c r="N36" i="34"/>
  <c r="Q36" i="34"/>
  <c r="F19" i="34" l="1"/>
  <c r="D28" i="55" l="1"/>
  <c r="D34" i="55"/>
  <c r="D23" i="55"/>
  <c r="D19" i="55"/>
  <c r="E23" i="34" s="1"/>
  <c r="D18" i="55"/>
  <c r="E22" i="34" s="1"/>
  <c r="D17" i="55"/>
  <c r="E21" i="34" s="1"/>
  <c r="D16" i="55"/>
  <c r="E20" i="34" s="1"/>
  <c r="D14" i="55"/>
  <c r="E18" i="34" s="1"/>
  <c r="D13" i="55"/>
  <c r="E17" i="34" s="1"/>
  <c r="D11" i="55"/>
  <c r="E15" i="34" s="1"/>
  <c r="F20" i="34"/>
  <c r="F17" i="34"/>
  <c r="F15" i="34"/>
  <c r="I18" i="16"/>
  <c r="D130" i="6"/>
  <c r="E15" i="87"/>
  <c r="D15" i="87"/>
  <c r="F15" i="87"/>
  <c r="G15" i="87"/>
  <c r="H15" i="87"/>
  <c r="B16" i="44"/>
  <c r="B15" i="44"/>
  <c r="D118" i="6"/>
  <c r="D116" i="6"/>
  <c r="D110" i="6"/>
  <c r="D108" i="6"/>
  <c r="D95" i="6"/>
  <c r="D94" i="6"/>
  <c r="D93" i="6" s="1"/>
  <c r="D92" i="6"/>
  <c r="D91" i="6"/>
  <c r="D90" i="6"/>
  <c r="D86" i="6"/>
  <c r="D78" i="6"/>
  <c r="D71" i="6"/>
  <c r="D63" i="6"/>
  <c r="D55" i="6"/>
  <c r="D47" i="6"/>
  <c r="D39" i="6"/>
  <c r="D31" i="6"/>
  <c r="D23" i="6"/>
  <c r="G98" i="66"/>
  <c r="E73" i="66"/>
  <c r="E41" i="66"/>
  <c r="E14" i="47"/>
  <c r="G46" i="59"/>
  <c r="I84" i="34"/>
  <c r="G59" i="34"/>
  <c r="D93" i="87"/>
  <c r="E91" i="87"/>
  <c r="E93" i="87" s="1"/>
  <c r="F91" i="87" s="1"/>
  <c r="F93" i="87" s="1"/>
  <c r="G91" i="87" s="1"/>
  <c r="G93" i="87" s="1"/>
  <c r="H91" i="87" s="1"/>
  <c r="H93" i="87" s="1"/>
  <c r="D90" i="87"/>
  <c r="E86" i="87" s="1"/>
  <c r="E90" i="87" s="1"/>
  <c r="F86" i="87" s="1"/>
  <c r="F90" i="87" s="1"/>
  <c r="G86" i="87" s="1"/>
  <c r="G90" i="87" s="1"/>
  <c r="H86" i="87" s="1"/>
  <c r="H90" i="87" s="1"/>
  <c r="D84" i="87"/>
  <c r="D29" i="87"/>
  <c r="E25" i="87" s="1"/>
  <c r="E29" i="87" s="1"/>
  <c r="F25" i="87" s="1"/>
  <c r="F29" i="87" s="1"/>
  <c r="G25" i="87" s="1"/>
  <c r="G29" i="87" s="1"/>
  <c r="H25" i="87" s="1"/>
  <c r="H29" i="87" s="1"/>
  <c r="D20" i="87"/>
  <c r="D23" i="87" s="1"/>
  <c r="E18" i="87" s="1"/>
  <c r="E20" i="87" s="1"/>
  <c r="E23" i="87" s="1"/>
  <c r="D102" i="6"/>
  <c r="E102" i="6"/>
  <c r="E96" i="6"/>
  <c r="I35" i="16"/>
  <c r="I34" i="16"/>
  <c r="I33" i="16"/>
  <c r="I32" i="16"/>
  <c r="I31" i="16"/>
  <c r="I30" i="16"/>
  <c r="I29" i="16"/>
  <c r="I28" i="16"/>
  <c r="I27" i="16"/>
  <c r="I22" i="16"/>
  <c r="E41" i="76" s="1"/>
  <c r="I21" i="16"/>
  <c r="E40" i="76" s="1"/>
  <c r="I20" i="16"/>
  <c r="E39" i="76" s="1"/>
  <c r="I19" i="16"/>
  <c r="I17" i="16"/>
  <c r="I16" i="16"/>
  <c r="J16" i="16" s="1"/>
  <c r="I15" i="16"/>
  <c r="E34" i="76" s="1"/>
  <c r="H35" i="16"/>
  <c r="H34" i="16"/>
  <c r="H33" i="16"/>
  <c r="H32" i="16"/>
  <c r="H31" i="16"/>
  <c r="J31" i="16" s="1"/>
  <c r="H30" i="16"/>
  <c r="J30" i="16" s="1"/>
  <c r="H29" i="16"/>
  <c r="J29" i="16"/>
  <c r="H28" i="16"/>
  <c r="H27" i="16"/>
  <c r="J27" i="16" s="1"/>
  <c r="H22" i="16"/>
  <c r="D41" i="76" s="1"/>
  <c r="H21" i="16"/>
  <c r="J21" i="16" s="1"/>
  <c r="H20" i="16"/>
  <c r="H19" i="16"/>
  <c r="H17" i="16"/>
  <c r="D36" i="76" s="1"/>
  <c r="H16" i="16"/>
  <c r="H15" i="16"/>
  <c r="D34" i="76" s="1"/>
  <c r="F23" i="16"/>
  <c r="F36" i="16" s="1"/>
  <c r="I16" i="45"/>
  <c r="H41" i="45"/>
  <c r="H40" i="45"/>
  <c r="H39" i="45"/>
  <c r="H38" i="45"/>
  <c r="H37" i="45"/>
  <c r="H36" i="45"/>
  <c r="H35" i="45"/>
  <c r="H34" i="45"/>
  <c r="H33" i="45"/>
  <c r="H32" i="45"/>
  <c r="H31" i="45"/>
  <c r="H30" i="45"/>
  <c r="H29" i="45"/>
  <c r="H28" i="45"/>
  <c r="H27" i="45"/>
  <c r="H26" i="45"/>
  <c r="H25" i="45"/>
  <c r="I25" i="45" s="1"/>
  <c r="H24" i="45"/>
  <c r="H23" i="45"/>
  <c r="H22" i="45"/>
  <c r="H21" i="45"/>
  <c r="H20" i="45"/>
  <c r="H19" i="45"/>
  <c r="H18" i="45"/>
  <c r="H17" i="45"/>
  <c r="H16" i="45"/>
  <c r="H15" i="45"/>
  <c r="G18" i="45"/>
  <c r="G17" i="45"/>
  <c r="G16" i="45"/>
  <c r="G15" i="45"/>
  <c r="I15" i="45" s="1"/>
  <c r="D42" i="45"/>
  <c r="E42" i="45"/>
  <c r="D29" i="57"/>
  <c r="C17" i="57"/>
  <c r="D17" i="57"/>
  <c r="E16" i="57"/>
  <c r="E15" i="57"/>
  <c r="E14" i="57"/>
  <c r="E13" i="57"/>
  <c r="E12" i="57"/>
  <c r="E11" i="57"/>
  <c r="H18" i="76"/>
  <c r="E35" i="76"/>
  <c r="D35" i="76"/>
  <c r="D38" i="76"/>
  <c r="D40"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c r="E41" i="87" s="1"/>
  <c r="F37" i="87" s="1"/>
  <c r="F41" i="87" s="1"/>
  <c r="G37" i="87" s="1"/>
  <c r="G41" i="87" s="1"/>
  <c r="H37" i="87" s="1"/>
  <c r="H41" i="87" s="1"/>
  <c r="D35" i="87"/>
  <c r="E31" i="87"/>
  <c r="E35" i="87" s="1"/>
  <c r="F31" i="87" s="1"/>
  <c r="F35" i="87" s="1"/>
  <c r="G31" i="87" s="1"/>
  <c r="G35" i="87" s="1"/>
  <c r="H31" i="87" s="1"/>
  <c r="H35" i="87" s="1"/>
  <c r="C4" i="87"/>
  <c r="F36" i="47"/>
  <c r="C3" i="87"/>
  <c r="B2" i="87"/>
  <c r="D42" i="74"/>
  <c r="E23" i="47"/>
  <c r="F28" i="47"/>
  <c r="F29" i="47" s="1"/>
  <c r="G38" i="47" s="1"/>
  <c r="F20" i="47"/>
  <c r="E15" i="47"/>
  <c r="B43" i="74"/>
  <c r="C3" i="84"/>
  <c r="B2" i="84"/>
  <c r="C3" i="66"/>
  <c r="C3" i="47"/>
  <c r="C3" i="59"/>
  <c r="C3" i="34"/>
  <c r="C3" i="63"/>
  <c r="C3" i="55"/>
  <c r="C3" i="6"/>
  <c r="C3" i="16"/>
  <c r="C3" i="45"/>
  <c r="C3" i="57"/>
  <c r="C3" i="56"/>
  <c r="C3" i="76"/>
  <c r="C3" i="5"/>
  <c r="C3" i="44"/>
  <c r="C3" i="82"/>
  <c r="C3" i="69"/>
  <c r="D3" i="4"/>
  <c r="C3" i="74"/>
  <c r="C43" i="47"/>
  <c r="F12" i="47" s="1"/>
  <c r="G12" i="47" s="1"/>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C3" i="80"/>
  <c r="B2" i="80"/>
  <c r="B2" i="74"/>
  <c r="B2" i="66"/>
  <c r="B2" i="47"/>
  <c r="B2" i="59"/>
  <c r="B2" i="34"/>
  <c r="B2" i="63"/>
  <c r="B2" i="55"/>
  <c r="B2" i="6"/>
  <c r="B2" i="16"/>
  <c r="B2" i="45"/>
  <c r="B2" i="57"/>
  <c r="B2" i="56"/>
  <c r="B2" i="76"/>
  <c r="B2" i="5"/>
  <c r="B2" i="44"/>
  <c r="B2" i="82"/>
  <c r="B2" i="69"/>
  <c r="C2" i="4"/>
  <c r="J78" i="56"/>
  <c r="J35" i="56"/>
  <c r="E149" i="80"/>
  <c r="D149" i="80"/>
  <c r="H21" i="76"/>
  <c r="J47" i="56" s="1"/>
  <c r="I14" i="76"/>
  <c r="E32" i="76"/>
  <c r="F66" i="56" s="1"/>
  <c r="H32" i="76"/>
  <c r="H43" i="76"/>
  <c r="J90" i="56" s="1"/>
  <c r="C42" i="74"/>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O37" i="47"/>
  <c r="AP36" i="47"/>
  <c r="AQ36" i="47"/>
  <c r="AR36" i="47"/>
  <c r="AR37" i="47" s="1"/>
  <c r="AS36" i="47"/>
  <c r="AT36" i="47"/>
  <c r="AU36" i="47"/>
  <c r="AV36" i="47"/>
  <c r="AW36" i="47"/>
  <c r="AX36" i="47"/>
  <c r="AY36" i="47"/>
  <c r="AZ36" i="47"/>
  <c r="BA36" i="47"/>
  <c r="BB36" i="47"/>
  <c r="BC36" i="47"/>
  <c r="BD36" i="47"/>
  <c r="BE36" i="47"/>
  <c r="BE37" i="47" s="1"/>
  <c r="BF36" i="47"/>
  <c r="BG36" i="47"/>
  <c r="BG37" i="47" s="1"/>
  <c r="BH36" i="47"/>
  <c r="BH28" i="47"/>
  <c r="BG28" i="47"/>
  <c r="BG29" i="47" s="1"/>
  <c r="BF28" i="47"/>
  <c r="BF29" i="47" s="1"/>
  <c r="BE28" i="47"/>
  <c r="BD28" i="47"/>
  <c r="BC28" i="47"/>
  <c r="BB28" i="47"/>
  <c r="BA28" i="47"/>
  <c r="BA37" i="47" s="1"/>
  <c r="AZ28" i="47"/>
  <c r="AZ29" i="47" s="1"/>
  <c r="AY28" i="47"/>
  <c r="AX28" i="47"/>
  <c r="AW28" i="47"/>
  <c r="AV28" i="47"/>
  <c r="AV29" i="47" s="1"/>
  <c r="AU28" i="47"/>
  <c r="AT28" i="47"/>
  <c r="AS28" i="47"/>
  <c r="AR28" i="47"/>
  <c r="AR29" i="47" s="1"/>
  <c r="AQ28" i="47"/>
  <c r="AP28" i="47"/>
  <c r="AO28" i="47"/>
  <c r="AN28" i="47"/>
  <c r="AM28" i="47"/>
  <c r="AL28" i="47"/>
  <c r="AK28" i="47"/>
  <c r="AK37" i="47" s="1"/>
  <c r="AJ28" i="47"/>
  <c r="AI28" i="47"/>
  <c r="AH28" i="47"/>
  <c r="AG28" i="47"/>
  <c r="AF28" i="47"/>
  <c r="AE28" i="47"/>
  <c r="AE37" i="47" s="1"/>
  <c r="AD28" i="47"/>
  <c r="AC28" i="47"/>
  <c r="AC37" i="47" s="1"/>
  <c r="AB28" i="47"/>
  <c r="AA28" i="47"/>
  <c r="Z28" i="47"/>
  <c r="Y28" i="47"/>
  <c r="X28" i="47"/>
  <c r="W28" i="47"/>
  <c r="V28" i="47"/>
  <c r="U28" i="47"/>
  <c r="T28" i="47"/>
  <c r="S28" i="47"/>
  <c r="R28" i="47"/>
  <c r="Q28" i="47"/>
  <c r="Q37" i="47" s="1"/>
  <c r="P28" i="47"/>
  <c r="O28" i="47"/>
  <c r="N28" i="47"/>
  <c r="M28" i="47"/>
  <c r="M37" i="47" s="1"/>
  <c r="L28" i="47"/>
  <c r="K28" i="47"/>
  <c r="J28" i="47"/>
  <c r="I28" i="47"/>
  <c r="H28" i="47"/>
  <c r="G28" i="47"/>
  <c r="BH20" i="47"/>
  <c r="BH37" i="47" s="1"/>
  <c r="BG20" i="47"/>
  <c r="BF20" i="47"/>
  <c r="BE20" i="47"/>
  <c r="BD20" i="47"/>
  <c r="BC20" i="47"/>
  <c r="BC29" i="47" s="1"/>
  <c r="BC37" i="47"/>
  <c r="BB20" i="47"/>
  <c r="BA20" i="47"/>
  <c r="BA29" i="47" s="1"/>
  <c r="AZ20" i="47"/>
  <c r="AY20" i="47"/>
  <c r="AY29" i="47" s="1"/>
  <c r="AX20" i="47"/>
  <c r="AW20" i="47"/>
  <c r="AV20" i="47"/>
  <c r="AU20" i="47"/>
  <c r="AT20" i="47"/>
  <c r="AS20" i="47"/>
  <c r="AR20" i="47"/>
  <c r="AQ20" i="47"/>
  <c r="AQ29" i="47"/>
  <c r="AP20" i="47"/>
  <c r="AP37" i="47" s="1"/>
  <c r="AO20" i="47"/>
  <c r="AO29" i="47" s="1"/>
  <c r="AN20" i="47"/>
  <c r="AN37" i="47" s="1"/>
  <c r="AM20" i="47"/>
  <c r="AM29" i="47" s="1"/>
  <c r="AL20" i="47"/>
  <c r="AK20" i="47"/>
  <c r="AJ20" i="47"/>
  <c r="AI20" i="47"/>
  <c r="AH20" i="47"/>
  <c r="AH29" i="47" s="1"/>
  <c r="AG20" i="47"/>
  <c r="AG29" i="47" s="1"/>
  <c r="AF20" i="47"/>
  <c r="AE20" i="47"/>
  <c r="AD20" i="47"/>
  <c r="AC20" i="47"/>
  <c r="AB20" i="47"/>
  <c r="AA20" i="47"/>
  <c r="AA29" i="47" s="1"/>
  <c r="Z20" i="47"/>
  <c r="Z37" i="47" s="1"/>
  <c r="Y20" i="47"/>
  <c r="X20" i="47"/>
  <c r="X29" i="47" s="1"/>
  <c r="W20" i="47"/>
  <c r="V20" i="47"/>
  <c r="U20" i="47"/>
  <c r="T20" i="47"/>
  <c r="T29" i="47" s="1"/>
  <c r="S20" i="47"/>
  <c r="R20" i="47"/>
  <c r="R37" i="47" s="1"/>
  <c r="Q20" i="47"/>
  <c r="P20" i="47"/>
  <c r="P37" i="47" s="1"/>
  <c r="O20" i="47"/>
  <c r="N20" i="47"/>
  <c r="M20" i="47"/>
  <c r="L20" i="47"/>
  <c r="K20" i="47"/>
  <c r="J20" i="47"/>
  <c r="J37" i="47" s="1"/>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24" i="34"/>
  <c r="N24" i="34" s="1"/>
  <c r="Q24" i="34" s="1"/>
  <c r="L25" i="34"/>
  <c r="N25" i="34" s="1"/>
  <c r="Q25" i="34" s="1"/>
  <c r="L26" i="34"/>
  <c r="N26" i="34" s="1"/>
  <c r="Q26" i="34" s="1"/>
  <c r="L27" i="34"/>
  <c r="N27" i="34" s="1"/>
  <c r="Q27"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I20" i="45" s="1"/>
  <c r="G21" i="45"/>
  <c r="I21" i="45" s="1"/>
  <c r="G22" i="45"/>
  <c r="I22" i="45" s="1"/>
  <c r="G23" i="45"/>
  <c r="I23" i="45" s="1"/>
  <c r="G24" i="45"/>
  <c r="I24" i="45" s="1"/>
  <c r="G25" i="45"/>
  <c r="G26" i="45"/>
  <c r="G27" i="45"/>
  <c r="G28" i="45"/>
  <c r="I28" i="45" s="1"/>
  <c r="G29" i="45"/>
  <c r="I29" i="45" s="1"/>
  <c r="G30" i="45"/>
  <c r="G31" i="45"/>
  <c r="I31" i="45" s="1"/>
  <c r="G32" i="45"/>
  <c r="G33" i="45"/>
  <c r="I33" i="45" s="1"/>
  <c r="G34" i="45"/>
  <c r="I34" i="45" s="1"/>
  <c r="G35" i="45"/>
  <c r="G36" i="45"/>
  <c r="I36" i="45" s="1"/>
  <c r="G37" i="45"/>
  <c r="I37" i="45" s="1"/>
  <c r="G38" i="45"/>
  <c r="I38" i="45" s="1"/>
  <c r="G39" i="45"/>
  <c r="I39" i="45" s="1"/>
  <c r="G40" i="45"/>
  <c r="I40" i="45" s="1"/>
  <c r="G41" i="45"/>
  <c r="I41" i="45" s="1"/>
  <c r="E16" i="47"/>
  <c r="E18" i="47"/>
  <c r="K83" i="34"/>
  <c r="M83" i="34" s="1"/>
  <c r="P83" i="34" s="1"/>
  <c r="L55" i="34"/>
  <c r="N55" i="34" s="1"/>
  <c r="Q55" i="34" s="1"/>
  <c r="L56" i="34"/>
  <c r="N56" i="34" s="1"/>
  <c r="Q56" i="34" s="1"/>
  <c r="L58" i="34"/>
  <c r="N58" i="34" s="1"/>
  <c r="Q58" i="34" s="1"/>
  <c r="D15" i="76"/>
  <c r="F15" i="76" s="1"/>
  <c r="E14" i="76"/>
  <c r="F35" i="56" s="1"/>
  <c r="AN29" i="47"/>
  <c r="M29" i="47"/>
  <c r="AM37" i="47"/>
  <c r="AJ37" i="47"/>
  <c r="BE29" i="47"/>
  <c r="O29" i="47"/>
  <c r="W37" i="47"/>
  <c r="B44" i="74"/>
  <c r="J33" i="16"/>
  <c r="J34" i="16"/>
  <c r="E78" i="87" l="1"/>
  <c r="Z29" i="47"/>
  <c r="AD29" i="47"/>
  <c r="I32" i="45"/>
  <c r="O37" i="47"/>
  <c r="I18" i="45"/>
  <c r="I30" i="45"/>
  <c r="BH29" i="47"/>
  <c r="F37" i="47"/>
  <c r="J15" i="16"/>
  <c r="I17" i="45"/>
  <c r="I42" i="45" s="1"/>
  <c r="BF37" i="47"/>
  <c r="X37" i="47"/>
  <c r="I27" i="45"/>
  <c r="I29" i="47"/>
  <c r="I19" i="45"/>
  <c r="I35" i="45"/>
  <c r="J35" i="16"/>
  <c r="J32" i="16"/>
  <c r="I26" i="45"/>
  <c r="AK29" i="47"/>
  <c r="AY37" i="47"/>
  <c r="AZ37" i="47"/>
  <c r="K29" i="47"/>
  <c r="AP29" i="47"/>
  <c r="J20" i="16"/>
  <c r="E18" i="76"/>
  <c r="F23" i="56" s="1"/>
  <c r="W29" i="47"/>
  <c r="L37" i="47"/>
  <c r="J22" i="16"/>
  <c r="AD37" i="47"/>
  <c r="H42" i="45"/>
  <c r="E20" i="76" s="1"/>
  <c r="E21" i="76" s="1"/>
  <c r="J19" i="16"/>
  <c r="E38" i="76"/>
  <c r="F38" i="76" s="1"/>
  <c r="J28" i="16"/>
  <c r="E28" i="47"/>
  <c r="S29" i="47"/>
  <c r="Q29" i="47"/>
  <c r="J29" i="47"/>
  <c r="N37" i="47"/>
  <c r="P29" i="47"/>
  <c r="K37" i="47"/>
  <c r="R29" i="47"/>
  <c r="H29" i="47"/>
  <c r="L29" i="47"/>
  <c r="G37" i="47"/>
  <c r="I37" i="47"/>
  <c r="T37" i="47"/>
  <c r="H37" i="47"/>
  <c r="S37" i="47"/>
  <c r="U37" i="47"/>
  <c r="H18" i="16"/>
  <c r="J18" i="16" s="1"/>
  <c r="C26" i="74"/>
  <c r="H137" i="80" s="1"/>
  <c r="D24" i="6"/>
  <c r="D77" i="6"/>
  <c r="F116" i="80"/>
  <c r="E104" i="80"/>
  <c r="H149" i="80"/>
  <c r="E79" i="80"/>
  <c r="E37" i="76"/>
  <c r="F78" i="56" s="1"/>
  <c r="D19" i="6"/>
  <c r="F18" i="34"/>
  <c r="D44" i="6"/>
  <c r="D119" i="6"/>
  <c r="E112" i="6"/>
  <c r="B45" i="74"/>
  <c r="AX37" i="47"/>
  <c r="AX29" i="47"/>
  <c r="V37" i="47"/>
  <c r="V29" i="47"/>
  <c r="AL37" i="47"/>
  <c r="AL29" i="47"/>
  <c r="J66" i="56"/>
  <c r="J91" i="56" s="1"/>
  <c r="H44" i="76"/>
  <c r="F18" i="87"/>
  <c r="F20" i="87" s="1"/>
  <c r="F23" i="87" s="1"/>
  <c r="C129" i="80"/>
  <c r="D14" i="76"/>
  <c r="E17" i="57"/>
  <c r="N29" i="47"/>
  <c r="E20" i="47"/>
  <c r="E29" i="47" s="1"/>
  <c r="C26" i="69" s="1"/>
  <c r="AS29" i="47"/>
  <c r="AS37" i="47"/>
  <c r="AC29" i="47"/>
  <c r="BD37" i="47"/>
  <c r="E36" i="76"/>
  <c r="F36" i="76" s="1"/>
  <c r="J17" i="16"/>
  <c r="AG37" i="47"/>
  <c r="AT37" i="47"/>
  <c r="AT29" i="47"/>
  <c r="AU37" i="47"/>
  <c r="AU29" i="47"/>
  <c r="AH37" i="47"/>
  <c r="AW37" i="47"/>
  <c r="AW29" i="47"/>
  <c r="BD29" i="47"/>
  <c r="U29" i="47"/>
  <c r="AI29" i="47"/>
  <c r="AI37" i="47"/>
  <c r="AJ29" i="47"/>
  <c r="Y37" i="47"/>
  <c r="Y29" i="47"/>
  <c r="J23" i="56"/>
  <c r="J48" i="56" s="1"/>
  <c r="H22" i="76"/>
  <c r="D94" i="87"/>
  <c r="E80" i="87"/>
  <c r="E84" i="87" s="1"/>
  <c r="D39" i="76"/>
  <c r="F39" i="76" s="1"/>
  <c r="G42" i="45"/>
  <c r="D20" i="76" s="1"/>
  <c r="D78" i="87"/>
  <c r="D95" i="87" s="1"/>
  <c r="AA37" i="47"/>
  <c r="AB37" i="47"/>
  <c r="AB29" i="47"/>
  <c r="AV37" i="47"/>
  <c r="G29" i="47"/>
  <c r="H38" i="47" s="1"/>
  <c r="I38" i="47" s="1"/>
  <c r="AE29" i="47"/>
  <c r="E36" i="47"/>
  <c r="AF37" i="47"/>
  <c r="AF29" i="47"/>
  <c r="AQ37" i="47"/>
  <c r="BB37" i="47"/>
  <c r="BB29" i="47"/>
  <c r="F40" i="76"/>
  <c r="F34" i="76"/>
  <c r="D96" i="6"/>
  <c r="D40" i="6"/>
  <c r="G15" i="59"/>
  <c r="D106" i="6"/>
  <c r="F41" i="76"/>
  <c r="D111" i="6"/>
  <c r="F35" i="76"/>
  <c r="D115" i="6" l="1"/>
  <c r="D107" i="6"/>
  <c r="D22" i="6"/>
  <c r="H45" i="76"/>
  <c r="J38" i="47"/>
  <c r="K38" i="47" s="1"/>
  <c r="L38" i="47" s="1"/>
  <c r="M38" i="47" s="1"/>
  <c r="N38" i="47" s="1"/>
  <c r="E22" i="76"/>
  <c r="F47" i="56"/>
  <c r="F48" i="56" s="1"/>
  <c r="D37" i="76"/>
  <c r="F37" i="76" s="1"/>
  <c r="E37" i="47"/>
  <c r="E80" i="6"/>
  <c r="D38" i="6"/>
  <c r="E41" i="6"/>
  <c r="D85" i="6"/>
  <c r="E88" i="6"/>
  <c r="D70" i="6"/>
  <c r="E33" i="6"/>
  <c r="D62" i="6"/>
  <c r="E65" i="6"/>
  <c r="D54" i="6"/>
  <c r="E57" i="6"/>
  <c r="E49" i="6"/>
  <c r="E73" i="6"/>
  <c r="E21" i="6"/>
  <c r="E25" i="6" s="1"/>
  <c r="D60" i="6"/>
  <c r="D43" i="6"/>
  <c r="D18" i="6"/>
  <c r="D56" i="6"/>
  <c r="D59" i="6"/>
  <c r="D52" i="6"/>
  <c r="D76" i="6"/>
  <c r="D20" i="6"/>
  <c r="D61" i="6"/>
  <c r="D27" i="6"/>
  <c r="D28" i="6"/>
  <c r="D53" i="6"/>
  <c r="D83" i="6"/>
  <c r="D32" i="6"/>
  <c r="D84" i="6"/>
  <c r="O84" i="34"/>
  <c r="D48" i="6"/>
  <c r="D35" i="6"/>
  <c r="D82" i="6"/>
  <c r="D46" i="6"/>
  <c r="D37" i="6"/>
  <c r="D68" i="6"/>
  <c r="D72" i="6"/>
  <c r="D87" i="6"/>
  <c r="D79" i="6"/>
  <c r="J84" i="34"/>
  <c r="K66" i="34"/>
  <c r="M66" i="34" s="1"/>
  <c r="H84" i="34"/>
  <c r="P59" i="34"/>
  <c r="D109" i="6"/>
  <c r="D112" i="6" s="1"/>
  <c r="I31" i="76"/>
  <c r="I38" i="76"/>
  <c r="I29" i="76"/>
  <c r="I28" i="76"/>
  <c r="B46" i="74"/>
  <c r="I30" i="76"/>
  <c r="O38" i="47"/>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I41" i="76"/>
  <c r="I37" i="76"/>
  <c r="F80" i="87"/>
  <c r="F84" i="87" s="1"/>
  <c r="E94" i="87"/>
  <c r="E95" i="87" s="1"/>
  <c r="I40" i="76"/>
  <c r="I25" i="76"/>
  <c r="I35" i="76"/>
  <c r="F20" i="76"/>
  <c r="F21" i="76" s="1"/>
  <c r="C11" i="69" s="1"/>
  <c r="D21" i="76"/>
  <c r="E47" i="56" s="1"/>
  <c r="E35" i="56"/>
  <c r="F14" i="76"/>
  <c r="C130" i="80"/>
  <c r="C131" i="80" s="1"/>
  <c r="C132" i="80" s="1"/>
  <c r="C133" i="80" s="1"/>
  <c r="D145" i="80"/>
  <c r="D137" i="80"/>
  <c r="D142" i="80"/>
  <c r="D139" i="80"/>
  <c r="D146" i="80"/>
  <c r="D141" i="80"/>
  <c r="D140" i="80"/>
  <c r="D143" i="80"/>
  <c r="D138" i="80"/>
  <c r="D144" i="80"/>
  <c r="I36" i="76"/>
  <c r="I39" i="76"/>
  <c r="F78" i="87"/>
  <c r="G18" i="87"/>
  <c r="G20" i="87" s="1"/>
  <c r="G23" i="87" s="1"/>
  <c r="D30" i="6"/>
  <c r="I27" i="76"/>
  <c r="D69" i="6"/>
  <c r="F26" i="76"/>
  <c r="G25" i="16"/>
  <c r="I24" i="16"/>
  <c r="H24" i="16"/>
  <c r="E23" i="16"/>
  <c r="E36" i="16" s="1"/>
  <c r="F16" i="76" l="1"/>
  <c r="F17" i="76"/>
  <c r="E78" i="56"/>
  <c r="E103" i="6"/>
  <c r="L15" i="34"/>
  <c r="N15" i="34" s="1"/>
  <c r="L16" i="34"/>
  <c r="N16" i="34" s="1"/>
  <c r="Q16" i="34" s="1"/>
  <c r="D21" i="6"/>
  <c r="D25" i="6" s="1"/>
  <c r="D29" i="6"/>
  <c r="D33" i="6" s="1"/>
  <c r="L20" i="34"/>
  <c r="N20" i="34" s="1"/>
  <c r="Q20" i="34" s="1"/>
  <c r="L19" i="34"/>
  <c r="N19" i="34" s="1"/>
  <c r="Q19" i="34" s="1"/>
  <c r="J59" i="34"/>
  <c r="H59" i="34"/>
  <c r="L17" i="34"/>
  <c r="N17" i="34" s="1"/>
  <c r="Q17" i="34" s="1"/>
  <c r="D45" i="6"/>
  <c r="D49" i="6" s="1"/>
  <c r="D64" i="6"/>
  <c r="D65" i="6" s="1"/>
  <c r="D51" i="6"/>
  <c r="D57" i="6" s="1"/>
  <c r="L18" i="34"/>
  <c r="N18" i="34" s="1"/>
  <c r="Q18" i="34" s="1"/>
  <c r="L21" i="34"/>
  <c r="N21" i="34" s="1"/>
  <c r="Q21" i="34" s="1"/>
  <c r="O59" i="34"/>
  <c r="L23" i="34"/>
  <c r="N23" i="34" s="1"/>
  <c r="Q23" i="34" s="1"/>
  <c r="K59" i="34"/>
  <c r="L22" i="34"/>
  <c r="N22" i="34" s="1"/>
  <c r="Q22" i="34" s="1"/>
  <c r="D88" i="6"/>
  <c r="D67" i="6"/>
  <c r="D73" i="6" s="1"/>
  <c r="D75" i="6"/>
  <c r="D80" i="6" s="1"/>
  <c r="D36" i="6"/>
  <c r="D41" i="6" s="1"/>
  <c r="I59" i="34"/>
  <c r="G78" i="87"/>
  <c r="H18" i="87"/>
  <c r="H20" i="87" s="1"/>
  <c r="H23" i="87" s="1"/>
  <c r="H78" i="87" s="1"/>
  <c r="E146" i="80"/>
  <c r="E137" i="80"/>
  <c r="E139" i="80"/>
  <c r="E144" i="80"/>
  <c r="E141" i="80"/>
  <c r="E140" i="80"/>
  <c r="E143" i="80"/>
  <c r="E138" i="80"/>
  <c r="E145" i="80"/>
  <c r="E142" i="80"/>
  <c r="F28" i="76"/>
  <c r="F30" i="76"/>
  <c r="I16" i="76"/>
  <c r="I17" i="76"/>
  <c r="F25" i="76"/>
  <c r="C134" i="80"/>
  <c r="I34" i="76"/>
  <c r="G21" i="76"/>
  <c r="I47" i="56" s="1"/>
  <c r="I20" i="76"/>
  <c r="I21" i="76" s="1"/>
  <c r="F94" i="87"/>
  <c r="F95" i="87" s="1"/>
  <c r="G80" i="87"/>
  <c r="G84" i="87" s="1"/>
  <c r="F27" i="76"/>
  <c r="G32" i="76"/>
  <c r="I24" i="76"/>
  <c r="F29" i="76"/>
  <c r="F31" i="76"/>
  <c r="B47" i="74"/>
  <c r="I26" i="76"/>
  <c r="I78" i="56"/>
  <c r="F24" i="76"/>
  <c r="J24" i="16"/>
  <c r="H25" i="16"/>
  <c r="G26" i="16"/>
  <c r="I25" i="16"/>
  <c r="P66" i="34"/>
  <c r="L59" i="34" l="1"/>
  <c r="D103" i="6"/>
  <c r="I32" i="76"/>
  <c r="B48" i="74"/>
  <c r="I35" i="56"/>
  <c r="I15" i="76"/>
  <c r="F32" i="76"/>
  <c r="C13" i="69" s="1"/>
  <c r="I66" i="56"/>
  <c r="D32" i="76"/>
  <c r="E66" i="56" s="1"/>
  <c r="G94" i="87"/>
  <c r="H80" i="87"/>
  <c r="H84" i="87" s="1"/>
  <c r="H94" i="87" s="1"/>
  <c r="H95" i="87" s="1"/>
  <c r="C23" i="69" s="1"/>
  <c r="G95" i="87"/>
  <c r="Q15" i="34"/>
  <c r="Q59" i="34" s="1"/>
  <c r="N59" i="34"/>
  <c r="H26" i="16"/>
  <c r="I26" i="16"/>
  <c r="I23" i="16" s="1"/>
  <c r="J25" i="16"/>
  <c r="C29" i="80" l="1"/>
  <c r="C24" i="80"/>
  <c r="C119" i="80" s="1"/>
  <c r="F71" i="56"/>
  <c r="D82" i="80"/>
  <c r="G82" i="80" s="1"/>
  <c r="D67" i="80" s="1"/>
  <c r="C27" i="80"/>
  <c r="C122" i="80" s="1"/>
  <c r="F62" i="56"/>
  <c r="E74" i="56"/>
  <c r="C25" i="80"/>
  <c r="C21" i="80"/>
  <c r="C92" i="80" s="1"/>
  <c r="E56" i="56"/>
  <c r="C104" i="80"/>
  <c r="F104" i="80" s="1"/>
  <c r="E64" i="80" s="1"/>
  <c r="C26" i="80"/>
  <c r="C22" i="80"/>
  <c r="C28" i="80"/>
  <c r="F58" i="56"/>
  <c r="F70" i="56"/>
  <c r="C23" i="80"/>
  <c r="C118" i="80" s="1"/>
  <c r="E37" i="56"/>
  <c r="F39" i="56"/>
  <c r="E43" i="56"/>
  <c r="E31" i="56"/>
  <c r="E27" i="56"/>
  <c r="B49" i="74"/>
  <c r="E25" i="56"/>
  <c r="F25" i="56"/>
  <c r="F28" i="56"/>
  <c r="E28" i="56"/>
  <c r="F13" i="76"/>
  <c r="F18" i="76" s="1"/>
  <c r="D18" i="76"/>
  <c r="C30" i="80"/>
  <c r="E40" i="56"/>
  <c r="F40" i="56"/>
  <c r="E42" i="76"/>
  <c r="E43" i="76" s="1"/>
  <c r="I36" i="16"/>
  <c r="J26" i="16"/>
  <c r="H23" i="16"/>
  <c r="D92" i="80" l="1"/>
  <c r="F56" i="56"/>
  <c r="F59" i="56"/>
  <c r="E68" i="56"/>
  <c r="E58" i="56"/>
  <c r="F13" i="56"/>
  <c r="D95" i="80"/>
  <c r="C107" i="80"/>
  <c r="F107" i="80" s="1"/>
  <c r="E67" i="80" s="1"/>
  <c r="E71" i="56"/>
  <c r="G71" i="56" s="1"/>
  <c r="E62" i="56"/>
  <c r="G62" i="56" s="1"/>
  <c r="F68" i="56"/>
  <c r="D107" i="80"/>
  <c r="G107" i="80" s="1"/>
  <c r="F67" i="80" s="1"/>
  <c r="D79" i="80"/>
  <c r="G79" i="80" s="1"/>
  <c r="D64" i="80" s="1"/>
  <c r="E59" i="56"/>
  <c r="D104" i="80"/>
  <c r="G104" i="80" s="1"/>
  <c r="F64" i="80" s="1"/>
  <c r="J84" i="56"/>
  <c r="J88" i="56"/>
  <c r="J81" i="56"/>
  <c r="J89" i="56"/>
  <c r="J82" i="56"/>
  <c r="J87" i="56"/>
  <c r="J83" i="56"/>
  <c r="J86" i="56"/>
  <c r="J85" i="56"/>
  <c r="J13" i="56"/>
  <c r="F37" i="56"/>
  <c r="C116" i="80"/>
  <c r="E39" i="56"/>
  <c r="G39" i="56" s="1"/>
  <c r="F43" i="56"/>
  <c r="G43" i="56" s="1"/>
  <c r="J25" i="56"/>
  <c r="I37" i="56"/>
  <c r="D81" i="80"/>
  <c r="G81" i="80" s="1"/>
  <c r="D66" i="80" s="1"/>
  <c r="F15" i="56"/>
  <c r="D85" i="80"/>
  <c r="G85" i="80" s="1"/>
  <c r="D70" i="80" s="1"/>
  <c r="F31" i="56"/>
  <c r="C98" i="80"/>
  <c r="D98" i="80"/>
  <c r="F74" i="56"/>
  <c r="G74" i="56" s="1"/>
  <c r="C95" i="80"/>
  <c r="C106" i="80"/>
  <c r="F106" i="80" s="1"/>
  <c r="E66" i="80" s="1"/>
  <c r="D94" i="80"/>
  <c r="D106" i="80"/>
  <c r="G106" i="80" s="1"/>
  <c r="F66" i="80" s="1"/>
  <c r="E70" i="56"/>
  <c r="G70" i="56" s="1"/>
  <c r="F27" i="56"/>
  <c r="G27" i="56" s="1"/>
  <c r="D110" i="80"/>
  <c r="G110" i="80" s="1"/>
  <c r="F70" i="80" s="1"/>
  <c r="C110" i="80"/>
  <c r="F110" i="80" s="1"/>
  <c r="E70" i="80" s="1"/>
  <c r="F16" i="56"/>
  <c r="E92" i="80"/>
  <c r="D116" i="80" s="1"/>
  <c r="F19" i="56"/>
  <c r="C94" i="80"/>
  <c r="C139" i="80" s="1"/>
  <c r="C125" i="80"/>
  <c r="C101" i="80"/>
  <c r="C120" i="80"/>
  <c r="C96" i="80"/>
  <c r="C117" i="80"/>
  <c r="C93" i="80"/>
  <c r="C124" i="80"/>
  <c r="C100" i="80"/>
  <c r="C121" i="80"/>
  <c r="C97" i="80"/>
  <c r="G31" i="56"/>
  <c r="C123" i="80"/>
  <c r="C99" i="80"/>
  <c r="C149" i="80"/>
  <c r="C137" i="80"/>
  <c r="C31" i="80"/>
  <c r="B50" i="74"/>
  <c r="G18" i="76"/>
  <c r="I13" i="76"/>
  <c r="I18" i="76" s="1"/>
  <c r="I22" i="76" s="1"/>
  <c r="G28" i="56"/>
  <c r="D78" i="56"/>
  <c r="D23" i="56"/>
  <c r="G56" i="56"/>
  <c r="D90" i="56"/>
  <c r="E23" i="56"/>
  <c r="E21" i="56" s="1"/>
  <c r="D22" i="76"/>
  <c r="F57" i="56"/>
  <c r="E57" i="56"/>
  <c r="D80" i="80"/>
  <c r="G80" i="80" s="1"/>
  <c r="D65" i="80" s="1"/>
  <c r="E38" i="56"/>
  <c r="F38" i="56"/>
  <c r="F41" i="56"/>
  <c r="E41" i="56"/>
  <c r="F72" i="56"/>
  <c r="E72" i="56"/>
  <c r="D108" i="80"/>
  <c r="G108" i="80" s="1"/>
  <c r="F68" i="80" s="1"/>
  <c r="C108" i="80"/>
  <c r="F108" i="80" s="1"/>
  <c r="E68" i="80" s="1"/>
  <c r="D96" i="80"/>
  <c r="E29" i="56"/>
  <c r="F29" i="56"/>
  <c r="F73" i="56"/>
  <c r="E73" i="56"/>
  <c r="D97" i="80"/>
  <c r="D109" i="80"/>
  <c r="G109" i="80" s="1"/>
  <c r="F69" i="80" s="1"/>
  <c r="C109" i="80"/>
  <c r="F109" i="80" s="1"/>
  <c r="E69" i="80" s="1"/>
  <c r="F20" i="56"/>
  <c r="F22" i="56"/>
  <c r="E60" i="56"/>
  <c r="F60" i="56"/>
  <c r="D83" i="80"/>
  <c r="G83" i="80" s="1"/>
  <c r="D68" i="80" s="1"/>
  <c r="D66" i="56"/>
  <c r="F65" i="56"/>
  <c r="E65" i="56"/>
  <c r="D88" i="80"/>
  <c r="G88" i="80" s="1"/>
  <c r="D73" i="80" s="1"/>
  <c r="E61" i="56"/>
  <c r="F61" i="56"/>
  <c r="D84" i="80"/>
  <c r="G84" i="80" s="1"/>
  <c r="D69" i="80" s="1"/>
  <c r="F34" i="56"/>
  <c r="E34" i="56"/>
  <c r="E32" i="56"/>
  <c r="F32" i="56"/>
  <c r="E44" i="56"/>
  <c r="F44" i="56"/>
  <c r="F17" i="56"/>
  <c r="E45" i="56"/>
  <c r="F45" i="56"/>
  <c r="E76" i="56"/>
  <c r="F76" i="56"/>
  <c r="C112" i="80"/>
  <c r="F112" i="80" s="1"/>
  <c r="E72" i="80" s="1"/>
  <c r="D100" i="80"/>
  <c r="D112" i="80"/>
  <c r="G112" i="80" s="1"/>
  <c r="F72" i="80" s="1"/>
  <c r="E77" i="56"/>
  <c r="F77" i="56"/>
  <c r="D101" i="80"/>
  <c r="D113" i="80"/>
  <c r="G113" i="80" s="1"/>
  <c r="F73" i="80" s="1"/>
  <c r="C113" i="80"/>
  <c r="F113" i="80" s="1"/>
  <c r="E73" i="80" s="1"/>
  <c r="D35" i="56"/>
  <c r="F22" i="76"/>
  <c r="C12" i="69" s="1"/>
  <c r="C10" i="69"/>
  <c r="E46" i="56"/>
  <c r="F46" i="56"/>
  <c r="F21" i="56"/>
  <c r="G40" i="56"/>
  <c r="E33" i="56"/>
  <c r="F33" i="56"/>
  <c r="G58" i="56"/>
  <c r="F75" i="56"/>
  <c r="E75" i="56"/>
  <c r="C111" i="80"/>
  <c r="F111" i="80" s="1"/>
  <c r="E71" i="80" s="1"/>
  <c r="D99" i="80"/>
  <c r="D111" i="80"/>
  <c r="G111" i="80" s="1"/>
  <c r="F71" i="80" s="1"/>
  <c r="F42" i="56"/>
  <c r="E42" i="56"/>
  <c r="F30" i="56"/>
  <c r="E30" i="56"/>
  <c r="F64" i="56"/>
  <c r="E64" i="56"/>
  <c r="D87" i="80"/>
  <c r="G87" i="80" s="1"/>
  <c r="D72" i="80" s="1"/>
  <c r="F14" i="56"/>
  <c r="G25" i="56"/>
  <c r="F63" i="56"/>
  <c r="E63" i="56"/>
  <c r="D86" i="80"/>
  <c r="G86" i="80" s="1"/>
  <c r="D71" i="80" s="1"/>
  <c r="F18" i="56"/>
  <c r="D47" i="56"/>
  <c r="F69" i="56"/>
  <c r="E69" i="56"/>
  <c r="C105" i="80"/>
  <c r="F105" i="80" s="1"/>
  <c r="E65" i="80" s="1"/>
  <c r="D105" i="80"/>
  <c r="G105" i="80" s="1"/>
  <c r="F65" i="80" s="1"/>
  <c r="D93" i="80"/>
  <c r="G37" i="56"/>
  <c r="F26" i="56"/>
  <c r="E26" i="56"/>
  <c r="H36" i="16"/>
  <c r="D42" i="76"/>
  <c r="J23" i="16"/>
  <c r="J36" i="16" s="1"/>
  <c r="E44" i="76"/>
  <c r="E45" i="76" s="1"/>
  <c r="F90" i="56"/>
  <c r="G59" i="56" l="1"/>
  <c r="G68" i="56"/>
  <c r="E95" i="80"/>
  <c r="D119" i="80" s="1"/>
  <c r="E119" i="80" s="1"/>
  <c r="G119" i="80" s="1"/>
  <c r="G67" i="80" s="1"/>
  <c r="E44" i="80" s="1"/>
  <c r="E116" i="80"/>
  <c r="G116" i="80" s="1"/>
  <c r="G64" i="80" s="1"/>
  <c r="E38" i="80" s="1"/>
  <c r="I25" i="56"/>
  <c r="K25" i="56" s="1"/>
  <c r="J37" i="56"/>
  <c r="K37" i="56" s="1"/>
  <c r="E98" i="80"/>
  <c r="D122" i="80" s="1"/>
  <c r="E122" i="80" s="1"/>
  <c r="G122" i="80" s="1"/>
  <c r="G70" i="80" s="1"/>
  <c r="E50" i="80" s="1"/>
  <c r="C155" i="80"/>
  <c r="G155" i="80" s="1"/>
  <c r="J155" i="80" s="1"/>
  <c r="K70" i="80" s="1"/>
  <c r="C143" i="80"/>
  <c r="G143" i="80" s="1"/>
  <c r="J143" i="80" s="1"/>
  <c r="I70" i="80" s="1"/>
  <c r="C152" i="80"/>
  <c r="F152" i="80" s="1"/>
  <c r="I152" i="80" s="1"/>
  <c r="J67" i="80" s="1"/>
  <c r="C140" i="80"/>
  <c r="G140" i="80" s="1"/>
  <c r="J140" i="80" s="1"/>
  <c r="I67" i="80" s="1"/>
  <c r="E99" i="80"/>
  <c r="D123" i="80" s="1"/>
  <c r="E123" i="80" s="1"/>
  <c r="G123" i="80" s="1"/>
  <c r="G71" i="80" s="1"/>
  <c r="E51" i="80" s="1"/>
  <c r="E101" i="80"/>
  <c r="D125" i="80" s="1"/>
  <c r="E125" i="80" s="1"/>
  <c r="G125" i="80" s="1"/>
  <c r="G73" i="80" s="1"/>
  <c r="E55" i="80" s="1"/>
  <c r="E37" i="80"/>
  <c r="E94" i="80"/>
  <c r="D118" i="80" s="1"/>
  <c r="E118" i="80" s="1"/>
  <c r="G118" i="80" s="1"/>
  <c r="G66" i="80" s="1"/>
  <c r="E100" i="80"/>
  <c r="D124" i="80" s="1"/>
  <c r="E124" i="80" s="1"/>
  <c r="G124" i="80" s="1"/>
  <c r="G72" i="80" s="1"/>
  <c r="E54" i="80" s="1"/>
  <c r="C151" i="80"/>
  <c r="F151" i="80" s="1"/>
  <c r="I151" i="80" s="1"/>
  <c r="J66" i="80" s="1"/>
  <c r="J62" i="56"/>
  <c r="I62" i="56"/>
  <c r="J71" i="56"/>
  <c r="I71" i="56"/>
  <c r="J74" i="56"/>
  <c r="I74" i="56"/>
  <c r="J77" i="56"/>
  <c r="I77" i="56"/>
  <c r="J70" i="56"/>
  <c r="I70" i="56"/>
  <c r="J65" i="56"/>
  <c r="I65" i="56"/>
  <c r="J58" i="56"/>
  <c r="I58" i="56"/>
  <c r="H90" i="56"/>
  <c r="J80" i="56"/>
  <c r="J57" i="56"/>
  <c r="I57" i="56"/>
  <c r="H66" i="56"/>
  <c r="J56" i="56"/>
  <c r="I56" i="56"/>
  <c r="J69" i="56"/>
  <c r="I69" i="56"/>
  <c r="H78" i="56"/>
  <c r="J68" i="56"/>
  <c r="I68" i="56"/>
  <c r="J60" i="56"/>
  <c r="I60" i="56"/>
  <c r="J64" i="56"/>
  <c r="I64" i="56"/>
  <c r="J72" i="56"/>
  <c r="I72" i="56"/>
  <c r="J76" i="56"/>
  <c r="I76" i="56"/>
  <c r="J63" i="56"/>
  <c r="I63" i="56"/>
  <c r="J61" i="56"/>
  <c r="I61" i="56"/>
  <c r="J59" i="56"/>
  <c r="I59" i="56"/>
  <c r="J73" i="56"/>
  <c r="I73" i="56"/>
  <c r="J75" i="56"/>
  <c r="I75" i="56"/>
  <c r="E93" i="80"/>
  <c r="D117" i="80" s="1"/>
  <c r="E117" i="80" s="1"/>
  <c r="G117" i="80" s="1"/>
  <c r="G65" i="80" s="1"/>
  <c r="E39" i="80" s="1"/>
  <c r="E97" i="80"/>
  <c r="D121" i="80" s="1"/>
  <c r="E121" i="80" s="1"/>
  <c r="G121" i="80" s="1"/>
  <c r="G69" i="80" s="1"/>
  <c r="E47" i="80" s="1"/>
  <c r="E96" i="80"/>
  <c r="D120" i="80" s="1"/>
  <c r="E120" i="80" s="1"/>
  <c r="G120" i="80" s="1"/>
  <c r="G68" i="80" s="1"/>
  <c r="E45" i="80" s="1"/>
  <c r="G46" i="56"/>
  <c r="G139" i="80"/>
  <c r="J139" i="80" s="1"/>
  <c r="I66" i="80" s="1"/>
  <c r="F139" i="80"/>
  <c r="I139" i="80" s="1"/>
  <c r="H66" i="80" s="1"/>
  <c r="C154" i="80"/>
  <c r="C142" i="80"/>
  <c r="C145" i="80"/>
  <c r="C157" i="80"/>
  <c r="C150" i="80"/>
  <c r="C138" i="80"/>
  <c r="G137" i="80"/>
  <c r="J137" i="80" s="1"/>
  <c r="I64" i="80" s="1"/>
  <c r="F137" i="80"/>
  <c r="I137" i="80" s="1"/>
  <c r="H64" i="80" s="1"/>
  <c r="G149" i="80"/>
  <c r="J149" i="80" s="1"/>
  <c r="K64" i="80" s="1"/>
  <c r="F149" i="80"/>
  <c r="I149" i="80" s="1"/>
  <c r="J64" i="80" s="1"/>
  <c r="C141" i="80"/>
  <c r="C153" i="80"/>
  <c r="C156" i="80"/>
  <c r="C144" i="80"/>
  <c r="C146" i="80"/>
  <c r="C158" i="80"/>
  <c r="I23" i="56"/>
  <c r="I20" i="56" s="1"/>
  <c r="G22" i="76"/>
  <c r="H23" i="56"/>
  <c r="B51" i="74"/>
  <c r="G21" i="56"/>
  <c r="I38" i="56"/>
  <c r="J38" i="56"/>
  <c r="J40" i="56"/>
  <c r="I40" i="56"/>
  <c r="E17" i="56"/>
  <c r="G17" i="56" s="1"/>
  <c r="I28" i="56"/>
  <c r="J28" i="56"/>
  <c r="J14" i="56"/>
  <c r="J16" i="56"/>
  <c r="J31" i="56"/>
  <c r="I31" i="56"/>
  <c r="J32" i="56"/>
  <c r="I32" i="56"/>
  <c r="J19" i="56"/>
  <c r="J33" i="56"/>
  <c r="I33" i="56"/>
  <c r="J34" i="56"/>
  <c r="I34" i="56"/>
  <c r="E22" i="56"/>
  <c r="G22" i="56" s="1"/>
  <c r="J20" i="56"/>
  <c r="J43" i="56"/>
  <c r="I43" i="56"/>
  <c r="J18" i="56"/>
  <c r="E20" i="56"/>
  <c r="G20" i="56" s="1"/>
  <c r="J39" i="56"/>
  <c r="I39" i="56"/>
  <c r="J22" i="56"/>
  <c r="I26" i="56"/>
  <c r="J26" i="56"/>
  <c r="E18" i="56"/>
  <c r="G18" i="56" s="1"/>
  <c r="J44" i="56"/>
  <c r="I44" i="56"/>
  <c r="E14" i="56"/>
  <c r="G14" i="56" s="1"/>
  <c r="I27" i="56"/>
  <c r="J27" i="56"/>
  <c r="H47" i="56"/>
  <c r="H35" i="56"/>
  <c r="J15" i="56"/>
  <c r="I45" i="56"/>
  <c r="J45" i="56"/>
  <c r="G64" i="56"/>
  <c r="J29" i="56"/>
  <c r="I29" i="56"/>
  <c r="I46" i="56"/>
  <c r="J46" i="56"/>
  <c r="I30" i="56"/>
  <c r="J30" i="56"/>
  <c r="J41" i="56"/>
  <c r="I41" i="56"/>
  <c r="J21" i="56"/>
  <c r="J42" i="56"/>
  <c r="I42" i="56"/>
  <c r="J17" i="56"/>
  <c r="G63" i="56"/>
  <c r="G29" i="56"/>
  <c r="G33" i="56"/>
  <c r="G38" i="56"/>
  <c r="G41" i="56"/>
  <c r="G44" i="56"/>
  <c r="G60" i="56"/>
  <c r="G65" i="56"/>
  <c r="G61" i="56"/>
  <c r="G69" i="56"/>
  <c r="G42" i="56"/>
  <c r="G75" i="56"/>
  <c r="G77" i="56"/>
  <c r="G32" i="56"/>
  <c r="G72" i="56"/>
  <c r="G26" i="56"/>
  <c r="G34" i="56"/>
  <c r="G30" i="56"/>
  <c r="G76" i="56"/>
  <c r="G73" i="56"/>
  <c r="G57" i="56"/>
  <c r="G45" i="56"/>
  <c r="E48" i="56"/>
  <c r="E15" i="56"/>
  <c r="G15" i="56" s="1"/>
  <c r="D14" i="5" s="1"/>
  <c r="E19" i="56"/>
  <c r="G19" i="56" s="1"/>
  <c r="D18" i="5" s="1"/>
  <c r="E13" i="56"/>
  <c r="G13" i="56" s="1"/>
  <c r="E16" i="56"/>
  <c r="G16" i="56" s="1"/>
  <c r="D15" i="5" s="1"/>
  <c r="F89" i="56"/>
  <c r="F81" i="56"/>
  <c r="F85" i="56"/>
  <c r="F87" i="56"/>
  <c r="F88" i="56"/>
  <c r="F91" i="56"/>
  <c r="F80" i="56"/>
  <c r="F82" i="56"/>
  <c r="F83" i="56"/>
  <c r="F84" i="56"/>
  <c r="F86" i="56"/>
  <c r="F42" i="76"/>
  <c r="F43" i="76" s="1"/>
  <c r="D43" i="76"/>
  <c r="E43" i="80" l="1"/>
  <c r="K69" i="56"/>
  <c r="K63" i="56"/>
  <c r="K71" i="56"/>
  <c r="E49" i="80"/>
  <c r="F143" i="80"/>
  <c r="I143" i="80" s="1"/>
  <c r="H70" i="80" s="1"/>
  <c r="F155" i="80"/>
  <c r="I155" i="80" s="1"/>
  <c r="J70" i="80" s="1"/>
  <c r="G152" i="80"/>
  <c r="J152" i="80" s="1"/>
  <c r="K67" i="80" s="1"/>
  <c r="E52" i="80"/>
  <c r="F140" i="80"/>
  <c r="I140" i="80" s="1"/>
  <c r="H67" i="80" s="1"/>
  <c r="G151" i="80"/>
  <c r="J151" i="80" s="1"/>
  <c r="K66" i="80" s="1"/>
  <c r="F42" i="80" s="1"/>
  <c r="E56" i="80"/>
  <c r="K40" i="56"/>
  <c r="E53" i="80"/>
  <c r="K73" i="56"/>
  <c r="K68" i="56"/>
  <c r="K59" i="56"/>
  <c r="K70" i="56"/>
  <c r="K74" i="56"/>
  <c r="K43" i="56"/>
  <c r="K76" i="56"/>
  <c r="K77" i="56"/>
  <c r="E42" i="80"/>
  <c r="E41" i="80"/>
  <c r="K64" i="56"/>
  <c r="K58" i="56"/>
  <c r="K75" i="56"/>
  <c r="K60" i="56"/>
  <c r="K65" i="56"/>
  <c r="K61" i="56"/>
  <c r="K56" i="56"/>
  <c r="K57" i="56"/>
  <c r="K62" i="56"/>
  <c r="K72" i="56"/>
  <c r="E40" i="80"/>
  <c r="K32" i="56"/>
  <c r="E46" i="80"/>
  <c r="E48" i="80"/>
  <c r="I21" i="56"/>
  <c r="K21" i="56" s="1"/>
  <c r="I18" i="56"/>
  <c r="K18" i="56" s="1"/>
  <c r="I14" i="56"/>
  <c r="K14" i="56" s="1"/>
  <c r="I16" i="56"/>
  <c r="K16" i="56" s="1"/>
  <c r="K33" i="56"/>
  <c r="G138" i="80"/>
  <c r="J138" i="80" s="1"/>
  <c r="I65" i="80" s="1"/>
  <c r="F138" i="80"/>
  <c r="I138" i="80" s="1"/>
  <c r="H65" i="80" s="1"/>
  <c r="G150" i="80"/>
  <c r="J150" i="80" s="1"/>
  <c r="K65" i="80" s="1"/>
  <c r="F150" i="80"/>
  <c r="I150" i="80" s="1"/>
  <c r="J65" i="80" s="1"/>
  <c r="G157" i="80"/>
  <c r="J157" i="80" s="1"/>
  <c r="K72" i="80" s="1"/>
  <c r="F157" i="80"/>
  <c r="I157" i="80" s="1"/>
  <c r="J72" i="80" s="1"/>
  <c r="G145" i="80"/>
  <c r="J145" i="80" s="1"/>
  <c r="I72" i="80" s="1"/>
  <c r="F145" i="80"/>
  <c r="I145" i="80" s="1"/>
  <c r="H72" i="80" s="1"/>
  <c r="F142" i="80"/>
  <c r="I142" i="80" s="1"/>
  <c r="H69" i="80" s="1"/>
  <c r="G142" i="80"/>
  <c r="J142" i="80" s="1"/>
  <c r="I69" i="80" s="1"/>
  <c r="F154" i="80"/>
  <c r="I154" i="80" s="1"/>
  <c r="J69" i="80" s="1"/>
  <c r="G154" i="80"/>
  <c r="J154" i="80" s="1"/>
  <c r="K69" i="80" s="1"/>
  <c r="F144" i="80"/>
  <c r="I144" i="80" s="1"/>
  <c r="H71" i="80" s="1"/>
  <c r="G144" i="80"/>
  <c r="J144" i="80" s="1"/>
  <c r="I71" i="80" s="1"/>
  <c r="G146" i="80"/>
  <c r="J146" i="80" s="1"/>
  <c r="I73" i="80" s="1"/>
  <c r="F146" i="80"/>
  <c r="I146" i="80" s="1"/>
  <c r="H73" i="80" s="1"/>
  <c r="G156" i="80"/>
  <c r="J156" i="80" s="1"/>
  <c r="K71" i="80" s="1"/>
  <c r="F156" i="80"/>
  <c r="I156" i="80" s="1"/>
  <c r="J71" i="80" s="1"/>
  <c r="I19" i="56"/>
  <c r="K19" i="56" s="1"/>
  <c r="G153" i="80"/>
  <c r="J153" i="80" s="1"/>
  <c r="K68" i="80" s="1"/>
  <c r="F153" i="80"/>
  <c r="I153" i="80" s="1"/>
  <c r="J68" i="80" s="1"/>
  <c r="G141" i="80"/>
  <c r="J141" i="80" s="1"/>
  <c r="I68" i="80" s="1"/>
  <c r="F141" i="80"/>
  <c r="I141" i="80" s="1"/>
  <c r="H68" i="80" s="1"/>
  <c r="K44" i="56"/>
  <c r="F158" i="80"/>
  <c r="I158" i="80" s="1"/>
  <c r="J73" i="80" s="1"/>
  <c r="G158" i="80"/>
  <c r="J158" i="80" s="1"/>
  <c r="K73" i="80" s="1"/>
  <c r="I17" i="56"/>
  <c r="K17" i="56" s="1"/>
  <c r="K39" i="56"/>
  <c r="I22" i="56"/>
  <c r="K22" i="56" s="1"/>
  <c r="F37" i="80"/>
  <c r="F38" i="80"/>
  <c r="K42" i="56"/>
  <c r="I15" i="56"/>
  <c r="K15" i="56" s="1"/>
  <c r="K20" i="56"/>
  <c r="K41" i="56"/>
  <c r="B52" i="74"/>
  <c r="K27" i="56"/>
  <c r="K29" i="56"/>
  <c r="I48" i="56"/>
  <c r="I13" i="56"/>
  <c r="K13" i="56" s="1"/>
  <c r="K34" i="56"/>
  <c r="D21" i="5"/>
  <c r="K28" i="56"/>
  <c r="K46" i="56"/>
  <c r="K45" i="56"/>
  <c r="D17" i="5"/>
  <c r="K26" i="56"/>
  <c r="K30" i="56"/>
  <c r="K31" i="56"/>
  <c r="K38" i="56"/>
  <c r="G66" i="56"/>
  <c r="D16" i="5"/>
  <c r="G35" i="56"/>
  <c r="G47" i="56"/>
  <c r="D19" i="5"/>
  <c r="D13" i="5"/>
  <c r="D20" i="5"/>
  <c r="G78" i="56"/>
  <c r="G23" i="56"/>
  <c r="D12" i="5"/>
  <c r="C14" i="69"/>
  <c r="C82" i="80"/>
  <c r="F82" i="80" s="1"/>
  <c r="C67" i="80" s="1"/>
  <c r="C80" i="80"/>
  <c r="F80" i="80" s="1"/>
  <c r="C65" i="80" s="1"/>
  <c r="C84" i="80"/>
  <c r="F84" i="80" s="1"/>
  <c r="C69" i="80" s="1"/>
  <c r="C79" i="80"/>
  <c r="F79" i="80" s="1"/>
  <c r="C64" i="80" s="1"/>
  <c r="F44" i="76"/>
  <c r="C81" i="80"/>
  <c r="F81" i="80" s="1"/>
  <c r="C66" i="80" s="1"/>
  <c r="C83" i="80"/>
  <c r="F83" i="80" s="1"/>
  <c r="C68" i="80" s="1"/>
  <c r="C87" i="80"/>
  <c r="F87" i="80" s="1"/>
  <c r="C72" i="80" s="1"/>
  <c r="C85" i="80"/>
  <c r="F85" i="80" s="1"/>
  <c r="C70" i="80" s="1"/>
  <c r="C86" i="80"/>
  <c r="F86" i="80" s="1"/>
  <c r="C71" i="80" s="1"/>
  <c r="C88" i="80"/>
  <c r="F88" i="80" s="1"/>
  <c r="C73" i="80" s="1"/>
  <c r="E90" i="56"/>
  <c r="D44" i="76"/>
  <c r="D45" i="76" s="1"/>
  <c r="F49" i="80" l="1"/>
  <c r="F50" i="80"/>
  <c r="F44" i="80"/>
  <c r="F43" i="80"/>
  <c r="F41" i="80"/>
  <c r="K66" i="56"/>
  <c r="K78" i="56"/>
  <c r="F52" i="80"/>
  <c r="F51" i="80"/>
  <c r="F45" i="80"/>
  <c r="F46" i="80"/>
  <c r="F47" i="80"/>
  <c r="F48" i="80"/>
  <c r="F54" i="80"/>
  <c r="F53" i="80"/>
  <c r="F39" i="80"/>
  <c r="F40" i="80"/>
  <c r="F56" i="80"/>
  <c r="F55" i="80"/>
  <c r="K35" i="56"/>
  <c r="G48" i="56"/>
  <c r="K47" i="56"/>
  <c r="B53" i="74"/>
  <c r="K23" i="56"/>
  <c r="D22" i="5" a="1"/>
  <c r="D22" i="5" s="1"/>
  <c r="E87" i="56"/>
  <c r="G87" i="56" s="1"/>
  <c r="E82" i="56"/>
  <c r="G82" i="56" s="1"/>
  <c r="E81" i="56"/>
  <c r="G81" i="56" s="1"/>
  <c r="E83" i="56"/>
  <c r="G83" i="56" s="1"/>
  <c r="E80" i="56"/>
  <c r="G80" i="56" s="1"/>
  <c r="E88" i="56"/>
  <c r="G88" i="56" s="1"/>
  <c r="E89" i="56"/>
  <c r="G89" i="56" s="1"/>
  <c r="E86" i="56"/>
  <c r="G86" i="56" s="1"/>
  <c r="E85" i="56"/>
  <c r="G85" i="56" s="1"/>
  <c r="E91" i="56"/>
  <c r="E84" i="56"/>
  <c r="G84" i="56" s="1"/>
  <c r="D56" i="80"/>
  <c r="D55" i="80"/>
  <c r="D51" i="80"/>
  <c r="D52" i="80"/>
  <c r="D46" i="80"/>
  <c r="D45" i="80"/>
  <c r="D49" i="80"/>
  <c r="G49" i="80" s="1"/>
  <c r="C17" i="84" s="1"/>
  <c r="D50" i="80"/>
  <c r="G50" i="80" s="1"/>
  <c r="D17" i="84" s="1"/>
  <c r="D42" i="80"/>
  <c r="G42" i="80" s="1"/>
  <c r="D13" i="84" s="1"/>
  <c r="D41" i="80"/>
  <c r="C15" i="69"/>
  <c r="F45" i="76"/>
  <c r="D38" i="80"/>
  <c r="G38" i="80" s="1"/>
  <c r="D11" i="84" s="1"/>
  <c r="D37" i="80"/>
  <c r="G37" i="80" s="1"/>
  <c r="C11" i="84" s="1"/>
  <c r="D47" i="80"/>
  <c r="D48" i="80"/>
  <c r="D40" i="80"/>
  <c r="D39" i="80"/>
  <c r="D43" i="80"/>
  <c r="D44" i="80"/>
  <c r="D54" i="80"/>
  <c r="D53" i="80"/>
  <c r="G45" i="80" l="1"/>
  <c r="C15" i="84" s="1"/>
  <c r="G43" i="80"/>
  <c r="C14" i="84" s="1"/>
  <c r="F15" i="5"/>
  <c r="G15" i="5" s="1"/>
  <c r="F14" i="5"/>
  <c r="G14" i="5" s="1"/>
  <c r="F13" i="5"/>
  <c r="G13" i="5" s="1"/>
  <c r="F16" i="5"/>
  <c r="G16" i="5" s="1"/>
  <c r="F18" i="5"/>
  <c r="G18" i="5" s="1"/>
  <c r="F21" i="5"/>
  <c r="G21" i="5" s="1"/>
  <c r="F19" i="5"/>
  <c r="G19" i="5" s="1"/>
  <c r="F17" i="5"/>
  <c r="G17" i="5" s="1"/>
  <c r="F20" i="5"/>
  <c r="G20" i="5" s="1"/>
  <c r="G44" i="80"/>
  <c r="D14" i="84" s="1"/>
  <c r="G41" i="80"/>
  <c r="C13" i="84" s="1"/>
  <c r="G46" i="80"/>
  <c r="D15" i="84" s="1"/>
  <c r="G48" i="80"/>
  <c r="D16" i="84" s="1"/>
  <c r="G47" i="80"/>
  <c r="C16" i="84" s="1"/>
  <c r="C16" i="69"/>
  <c r="G53" i="80"/>
  <c r="C19" i="84" s="1"/>
  <c r="G40" i="80"/>
  <c r="D12" i="84" s="1"/>
  <c r="G52" i="80"/>
  <c r="D18" i="84" s="1"/>
  <c r="K48" i="56"/>
  <c r="G54" i="80"/>
  <c r="D19" i="84" s="1"/>
  <c r="G51" i="80"/>
  <c r="C18" i="84" s="1"/>
  <c r="G39" i="80"/>
  <c r="C12" i="84" s="1"/>
  <c r="G55" i="80"/>
  <c r="C20" i="84" s="1"/>
  <c r="G56" i="80"/>
  <c r="D20" i="84" s="1"/>
  <c r="B54" i="74"/>
  <c r="G90" i="56"/>
  <c r="G91" i="56" s="1"/>
  <c r="F12" i="5"/>
  <c r="C24" i="69" l="1"/>
  <c r="C27" i="69"/>
  <c r="B55" i="74"/>
  <c r="G12" i="5"/>
  <c r="F22" i="5" a="1"/>
  <c r="F22" i="5" s="1"/>
  <c r="G22" i="5" l="1"/>
  <c r="B56" i="74"/>
  <c r="B57" i="74" l="1"/>
  <c r="B58" i="74" l="1"/>
  <c r="B59" i="74" l="1"/>
  <c r="B60" i="74" l="1"/>
  <c r="B61" i="74" l="1"/>
  <c r="B62" i="74" l="1"/>
  <c r="B63" i="74" l="1"/>
  <c r="B64" i="74" l="1"/>
  <c r="B65" i="74" l="1"/>
  <c r="B66" i="74" l="1"/>
  <c r="B67" i="74" l="1"/>
  <c r="B68" i="74" l="1"/>
  <c r="B69" i="74" l="1"/>
  <c r="B70" i="74" l="1"/>
  <c r="B71" i="74" l="1"/>
  <c r="B72" i="74" l="1"/>
  <c r="B73" i="74" l="1"/>
  <c r="B74" i="74" l="1"/>
  <c r="B75" i="74" l="1"/>
  <c r="B76" i="74" l="1"/>
  <c r="B77" i="74" l="1"/>
  <c r="B78" i="74" l="1"/>
  <c r="B79" i="74" l="1"/>
  <c r="B80" i="74" l="1"/>
  <c r="B81" i="74" l="1"/>
  <c r="B82" i="74" l="1"/>
  <c r="B83" i="74" l="1"/>
  <c r="B84" i="74" l="1"/>
  <c r="B85" i="74" l="1"/>
  <c r="B86" i="74" l="1"/>
  <c r="B87" i="74" l="1"/>
  <c r="B88" i="74" l="1"/>
  <c r="B89" i="74" l="1"/>
  <c r="B90" i="74" l="1"/>
  <c r="B91" i="74" l="1"/>
  <c r="B92" i="74" l="1"/>
  <c r="B93" i="74" l="1"/>
  <c r="B94" i="74" l="1"/>
  <c r="B95" i="74" l="1"/>
  <c r="B96" i="74" l="1"/>
  <c r="B97" i="74" l="1"/>
  <c r="B98" i="74" l="1"/>
  <c r="B99" i="74" l="1"/>
  <c r="B100" i="74" l="1"/>
  <c r="B101" i="74" l="1"/>
  <c r="B102" i="74" l="1"/>
  <c r="B103" i="74" l="1"/>
  <c r="B104" i="74" l="1"/>
  <c r="B105" i="74" l="1"/>
  <c r="B106" i="74" l="1"/>
  <c r="B107" i="74" l="1"/>
  <c r="B108" i="74" l="1"/>
  <c r="B109" i="74" l="1"/>
  <c r="B110" i="74" l="1"/>
  <c r="B111" i="74" l="1"/>
  <c r="B112" i="74" l="1"/>
  <c r="B113" i="74" l="1"/>
  <c r="B114" i="74" l="1"/>
  <c r="B115" i="74" l="1"/>
  <c r="B116" i="74" l="1"/>
  <c r="B117" i="74" l="1"/>
  <c r="B118" i="74" l="1"/>
  <c r="B119" i="74" l="1"/>
  <c r="B120" i="74" l="1"/>
  <c r="B121" i="74" l="1"/>
  <c r="B122" i="74" l="1"/>
  <c r="B123" i="74" l="1"/>
  <c r="B124" i="74" l="1"/>
  <c r="B125" i="74" l="1"/>
  <c r="B126" i="74" l="1"/>
  <c r="B127" i="74" l="1"/>
  <c r="B128" i="74" l="1"/>
  <c r="B129" i="74" l="1"/>
  <c r="B130" i="74" l="1"/>
  <c r="B131" i="74" l="1"/>
  <c r="B132" i="74" l="1"/>
  <c r="B133" i="74" l="1"/>
  <c r="B134" i="74" l="1"/>
  <c r="B135" i="74" l="1"/>
  <c r="B136" i="74" l="1"/>
  <c r="B137" i="74" l="1"/>
  <c r="B138" i="74" l="1"/>
  <c r="B139" i="74" l="1"/>
  <c r="B140" i="74" l="1"/>
  <c r="B141" i="74" l="1"/>
  <c r="B142" i="74" l="1"/>
  <c r="B143" i="74" l="1"/>
  <c r="B144" i="74" l="1"/>
  <c r="B145" i="74" l="1"/>
  <c r="B146" i="74" l="1"/>
  <c r="B147" i="74" l="1"/>
  <c r="B148" i="74" l="1"/>
  <c r="B149" i="74" l="1"/>
  <c r="B150" i="74" l="1"/>
  <c r="B151" i="74" l="1"/>
  <c r="B152" i="74" l="1"/>
  <c r="B153" i="74" l="1"/>
  <c r="B154" i="74" l="1"/>
  <c r="B155" i="74" l="1"/>
  <c r="B156" i="74" l="1"/>
  <c r="B157" i="74" l="1"/>
  <c r="B158" i="74" l="1"/>
  <c r="B159" i="74" l="1"/>
  <c r="B160" i="74" l="1"/>
  <c r="B161" i="74" l="1"/>
  <c r="B162" i="74" l="1"/>
  <c r="B163" i="74" l="1"/>
  <c r="B164" i="74" l="1"/>
  <c r="B165" i="74" l="1"/>
  <c r="B166" i="74" l="1"/>
  <c r="B167" i="74" l="1"/>
  <c r="B168" i="74" l="1"/>
  <c r="B169" i="74" l="1"/>
  <c r="B170" i="74" l="1"/>
  <c r="B171" i="74" l="1"/>
  <c r="B172" i="74" l="1"/>
  <c r="B173" i="74" l="1"/>
  <c r="B174" i="74" l="1"/>
  <c r="B175" i="74" l="1"/>
  <c r="B176" i="74" l="1"/>
  <c r="B177" i="74" l="1"/>
  <c r="B178" i="74" l="1"/>
  <c r="B179" i="74" l="1"/>
  <c r="B180" i="74" l="1"/>
  <c r="B181" i="74" l="1"/>
  <c r="B182" i="74" l="1"/>
  <c r="B183" i="74" l="1"/>
  <c r="B184" i="74" l="1"/>
  <c r="B185" i="74" l="1"/>
  <c r="B186" i="74" l="1"/>
  <c r="B187" i="74" l="1"/>
  <c r="B188" i="74" l="1"/>
  <c r="B189" i="74" l="1"/>
  <c r="B190" i="74" l="1"/>
  <c r="B191" i="74" l="1"/>
  <c r="B192" i="74" l="1"/>
  <c r="B193" i="74" l="1"/>
  <c r="B194" i="74" l="1"/>
  <c r="B195" i="74" l="1"/>
  <c r="B196" i="74" l="1"/>
  <c r="B197" i="74" l="1"/>
  <c r="B198" i="74" l="1"/>
  <c r="B199" i="74" l="1"/>
  <c r="B200" i="74" l="1"/>
  <c r="B201" i="74" l="1"/>
  <c r="B202" i="74" l="1"/>
  <c r="B203" i="74" l="1"/>
  <c r="B204" i="74" l="1"/>
  <c r="B205" i="74" l="1"/>
  <c r="B206" i="74" l="1"/>
  <c r="B207" i="74" l="1"/>
  <c r="B208" i="74" l="1"/>
  <c r="B209" i="74" l="1"/>
  <c r="B210" i="74" l="1"/>
  <c r="B211" i="74" l="1"/>
  <c r="B212" i="74" l="1"/>
  <c r="B213" i="74" l="1"/>
  <c r="B214" i="74" l="1"/>
  <c r="B215" i="74" l="1"/>
  <c r="B216" i="74" l="1"/>
  <c r="B217" i="74" l="1"/>
  <c r="B218" i="74" l="1"/>
  <c r="B219" i="74" l="1"/>
  <c r="B220" i="74" l="1"/>
  <c r="B221" i="74" l="1"/>
  <c r="B222" i="74" l="1"/>
  <c r="B223" i="74" l="1"/>
  <c r="B224" i="74" l="1"/>
  <c r="B225" i="74" l="1"/>
  <c r="B226" i="74" l="1"/>
  <c r="B227" i="74" l="1"/>
  <c r="B228" i="74" l="1"/>
  <c r="B229" i="74" l="1"/>
  <c r="B230" i="74" l="1"/>
  <c r="B231" i="74" l="1"/>
  <c r="B232" i="74" l="1"/>
  <c r="B233" i="74" l="1"/>
  <c r="B234" i="74" l="1"/>
  <c r="B235" i="74" l="1"/>
  <c r="B236" i="74" l="1"/>
  <c r="B237" i="74" l="1"/>
  <c r="B238" i="74" l="1"/>
  <c r="B239" i="74" l="1"/>
  <c r="B240" i="74" l="1"/>
  <c r="B241" i="74" l="1"/>
  <c r="B242" i="74" l="1"/>
  <c r="B243" i="74" l="1"/>
  <c r="B244" i="74" l="1"/>
  <c r="B245" i="74" l="1"/>
  <c r="B246" i="74" l="1"/>
  <c r="B247" i="74" l="1"/>
  <c r="B248" i="74" l="1"/>
  <c r="B249" i="74" l="1"/>
  <c r="B250" i="74" l="1"/>
  <c r="B251" i="74" l="1"/>
  <c r="B252" i="74" l="1"/>
  <c r="B253" i="74" l="1"/>
  <c r="B254" i="74" l="1"/>
  <c r="B255" i="74" l="1"/>
  <c r="B256" i="74" l="1"/>
  <c r="B257" i="74" l="1"/>
  <c r="B258" i="74" l="1"/>
  <c r="B259" i="74" l="1"/>
  <c r="B260" i="74" l="1"/>
  <c r="B261" i="74" l="1"/>
  <c r="B262" i="74" l="1"/>
  <c r="B263" i="74" l="1"/>
  <c r="B264" i="74" l="1"/>
  <c r="B265" i="74" l="1"/>
  <c r="B266" i="74" l="1"/>
  <c r="B267" i="74" l="1"/>
  <c r="B268" i="74" l="1"/>
  <c r="B269" i="74" l="1"/>
  <c r="B270" i="74" l="1"/>
  <c r="B271" i="74" l="1"/>
  <c r="B272" i="74" l="1"/>
  <c r="B273" i="74" l="1"/>
  <c r="B274" i="74" l="1"/>
  <c r="B275" i="74" l="1"/>
  <c r="B276" i="74" l="1"/>
  <c r="B277" i="74" l="1"/>
  <c r="B278" i="74" l="1"/>
  <c r="B279" i="74" l="1"/>
  <c r="B280" i="74" l="1"/>
  <c r="B281" i="74" l="1"/>
  <c r="B282" i="74" l="1"/>
  <c r="B283" i="74" l="1"/>
  <c r="B284" i="74" l="1"/>
  <c r="B285" i="74" l="1"/>
  <c r="B286" i="74" l="1"/>
  <c r="B287" i="74" l="1"/>
  <c r="B288" i="74" l="1"/>
  <c r="B289" i="74" l="1"/>
  <c r="B290" i="74" l="1"/>
  <c r="B291" i="74" l="1"/>
  <c r="B292" i="74" l="1"/>
  <c r="B293" i="74" l="1"/>
  <c r="B294" i="74" l="1"/>
  <c r="B295" i="74" l="1"/>
  <c r="B296" i="74" l="1"/>
  <c r="B297" i="74" l="1"/>
  <c r="B298" i="74" l="1"/>
  <c r="B299" i="74" l="1"/>
  <c r="B300" i="74" l="1"/>
  <c r="B301" i="74" l="1"/>
  <c r="B302" i="74" l="1"/>
  <c r="B303" i="74" l="1"/>
  <c r="B304" i="74" l="1"/>
  <c r="B305" i="74" l="1"/>
  <c r="B306" i="74" l="1"/>
  <c r="B307" i="74" l="1"/>
  <c r="B308" i="74" l="1"/>
  <c r="B309" i="74" l="1"/>
  <c r="B310" i="74" l="1"/>
  <c r="B311" i="74" l="1"/>
  <c r="B312" i="74" l="1"/>
  <c r="B313" i="74" l="1"/>
  <c r="B314" i="74" l="1"/>
  <c r="B315" i="74" l="1"/>
  <c r="B316" i="74" l="1"/>
  <c r="B317" i="74" l="1"/>
  <c r="B318" i="74" l="1"/>
  <c r="B319" i="74" l="1"/>
  <c r="B320" i="74" l="1"/>
  <c r="B321" i="74" l="1"/>
  <c r="B322" i="74" l="1"/>
  <c r="B323" i="74" l="1"/>
  <c r="B324" i="74" l="1"/>
  <c r="B325" i="74" l="1"/>
  <c r="B326" i="74" l="1"/>
  <c r="B327" i="74" l="1"/>
  <c r="B328" i="74" l="1"/>
  <c r="B329" i="74" l="1"/>
  <c r="B330" i="74" l="1"/>
  <c r="B331" i="74" l="1"/>
  <c r="B332" i="74" l="1"/>
  <c r="B333" i="74" l="1"/>
  <c r="B334" i="74" l="1"/>
  <c r="B335" i="74" l="1"/>
  <c r="B336" i="74" l="1"/>
  <c r="B337" i="74" l="1"/>
  <c r="B338" i="74" l="1"/>
  <c r="B339" i="74" l="1"/>
  <c r="B340" i="74" l="1"/>
  <c r="B341" i="74" l="1"/>
  <c r="B342" i="74" l="1"/>
  <c r="B343" i="74" l="1"/>
  <c r="B344" i="74" l="1"/>
  <c r="B345" i="74" l="1"/>
  <c r="B346" i="74" l="1"/>
  <c r="B347" i="74" l="1"/>
  <c r="B348" i="74" l="1"/>
  <c r="B349" i="74" l="1"/>
  <c r="B350" i="74" l="1"/>
  <c r="B351" i="74" l="1"/>
  <c r="B352" i="74" l="1"/>
  <c r="B353" i="74" l="1"/>
  <c r="B354" i="74" l="1"/>
  <c r="B355" i="74" l="1"/>
  <c r="B356" i="74" l="1"/>
  <c r="B357" i="74" l="1"/>
  <c r="B358" i="74" l="1"/>
  <c r="B359" i="74" l="1"/>
  <c r="B360" i="74" l="1"/>
  <c r="B361" i="74" l="1"/>
  <c r="B362" i="74" l="1"/>
  <c r="B363" i="74" l="1"/>
  <c r="B364" i="74" l="1"/>
  <c r="B365" i="74" l="1"/>
  <c r="B366" i="74" l="1"/>
  <c r="B367" i="74" l="1"/>
  <c r="B368" i="74" l="1"/>
  <c r="B369" i="74" l="1"/>
  <c r="B370" i="74" l="1"/>
  <c r="B371" i="74" l="1"/>
  <c r="B372" i="74" l="1"/>
  <c r="B373" i="74" l="1"/>
  <c r="B374" i="74" l="1"/>
  <c r="B375" i="74" l="1"/>
  <c r="B376" i="74" l="1"/>
  <c r="B377" i="74" l="1"/>
  <c r="B378" i="74" l="1"/>
  <c r="B379" i="74" l="1"/>
  <c r="B380" i="74" l="1"/>
  <c r="B381" i="74" l="1"/>
  <c r="B382" i="74" l="1"/>
  <c r="B383" i="74" l="1"/>
  <c r="B384" i="74" l="1"/>
  <c r="B385" i="74" l="1"/>
  <c r="B386" i="74" l="1"/>
  <c r="B387" i="74" l="1"/>
  <c r="B388" i="74" l="1"/>
  <c r="B389" i="74" l="1"/>
  <c r="B390" i="74" l="1"/>
  <c r="B391" i="74" l="1"/>
  <c r="B392" i="74" l="1"/>
  <c r="B393" i="74" l="1"/>
  <c r="B394" i="74" l="1"/>
  <c r="B395" i="74" l="1"/>
  <c r="B396" i="74" l="1"/>
  <c r="B397" i="74" l="1"/>
  <c r="B398" i="74" l="1"/>
  <c r="B399" i="74" l="1"/>
  <c r="B400" i="74" l="1"/>
  <c r="B401" i="74" l="1"/>
  <c r="B402" i="74" l="1"/>
  <c r="B403" i="74" l="1"/>
  <c r="B404" i="74" l="1"/>
  <c r="B405" i="74" l="1"/>
  <c r="B406" i="74" l="1"/>
  <c r="B407" i="74" l="1"/>
  <c r="G408" i="74" l="1"/>
  <c r="B408" i="74"/>
  <c r="H408" i="74"/>
  <c r="I408" i="74"/>
  <c r="I42" i="76" l="1"/>
  <c r="I43" i="76" s="1"/>
  <c r="I44" i="76" s="1"/>
  <c r="I45" i="76" s="1"/>
  <c r="G43" i="76"/>
  <c r="I90" i="56" l="1"/>
  <c r="G44" i="76"/>
  <c r="G45" i="76" s="1"/>
  <c r="I89" i="56" l="1"/>
  <c r="K89" i="56" s="1"/>
  <c r="I81" i="56"/>
  <c r="K81" i="56" s="1"/>
  <c r="I82" i="56"/>
  <c r="K82" i="56" s="1"/>
  <c r="I83" i="56"/>
  <c r="K83" i="56" s="1"/>
  <c r="I85" i="56"/>
  <c r="K85" i="56" s="1"/>
  <c r="I87" i="56"/>
  <c r="K87" i="56" s="1"/>
  <c r="I88" i="56"/>
  <c r="K88" i="56" s="1"/>
  <c r="I80" i="56"/>
  <c r="K80" i="56" s="1"/>
  <c r="I84" i="56"/>
  <c r="K84" i="56" s="1"/>
  <c r="I86" i="56"/>
  <c r="K86" i="56" s="1"/>
  <c r="I91" i="56"/>
  <c r="K90" i="56" l="1"/>
  <c r="K91" i="56" s="1"/>
  <c r="E47" i="59" l="1"/>
  <c r="G16" i="59" l="1"/>
  <c r="G47" i="59" s="1"/>
  <c r="D114" i="6"/>
  <c r="G84" i="34"/>
  <c r="K67" i="34"/>
  <c r="K84" i="34" l="1"/>
  <c r="M67" i="34"/>
  <c r="M84" i="34" l="1"/>
  <c r="D117" i="6" l="1"/>
  <c r="D120" i="6" s="1"/>
  <c r="N84" i="34"/>
  <c r="P67" i="34"/>
  <c r="P84" i="34" s="1"/>
  <c r="E120" i="6"/>
  <c r="E124" i="6" s="1"/>
  <c r="E125" i="6" s="1"/>
  <c r="D124" i="6" l="1"/>
  <c r="D125" i="6" s="1"/>
  <c r="C20" i="69" l="1"/>
  <c r="C21" i="69" s="1"/>
  <c r="I43" i="74" l="1"/>
  <c r="G43" i="74" l="1"/>
  <c r="H43" i="74"/>
  <c r="I44" i="74" l="1"/>
  <c r="G44" i="74"/>
  <c r="H44" i="74"/>
  <c r="I45" i="74"/>
  <c r="H45" i="74" l="1"/>
  <c r="G45" i="74"/>
  <c r="I47" i="74"/>
  <c r="I46" i="74"/>
  <c r="H46" i="74" l="1"/>
  <c r="G46" i="74"/>
  <c r="I48" i="74"/>
  <c r="G47" i="74" l="1"/>
  <c r="H47" i="74"/>
  <c r="I49" i="74"/>
  <c r="H48" i="74" l="1"/>
  <c r="G48" i="74"/>
  <c r="H50" i="74" l="1"/>
  <c r="H49" i="74"/>
  <c r="G49" i="74"/>
  <c r="I50" i="74"/>
  <c r="I51" i="74"/>
  <c r="I52" i="74"/>
  <c r="H51" i="74" l="1"/>
  <c r="G51" i="74"/>
  <c r="G50" i="74"/>
  <c r="I53" i="74"/>
  <c r="G52" i="74" l="1"/>
  <c r="H52" i="74"/>
  <c r="I54" i="74"/>
  <c r="G53" i="74" l="1"/>
  <c r="H53" i="74"/>
  <c r="I55" i="74"/>
  <c r="G54" i="74" l="1"/>
  <c r="H54" i="74"/>
  <c r="I56" i="74"/>
  <c r="H55" i="74" l="1"/>
  <c r="G55" i="74"/>
  <c r="I57" i="74"/>
  <c r="G56" i="74" l="1"/>
  <c r="H56" i="74"/>
  <c r="I58" i="74"/>
  <c r="G57" i="74" l="1"/>
  <c r="H57" i="74"/>
  <c r="I59" i="74"/>
  <c r="H58" i="74" l="1"/>
  <c r="G58" i="74"/>
  <c r="I60" i="74"/>
  <c r="H59" i="74" l="1"/>
  <c r="G59" i="74"/>
  <c r="I61" i="74"/>
  <c r="G60" i="74" l="1"/>
  <c r="H60" i="74"/>
  <c r="I62" i="74"/>
  <c r="H61" i="74" l="1"/>
  <c r="G61" i="74"/>
  <c r="I63" i="74"/>
  <c r="H62" i="74" l="1"/>
  <c r="G62" i="74"/>
  <c r="I64" i="74"/>
  <c r="G63" i="74" l="1"/>
  <c r="H63" i="74"/>
  <c r="I65" i="74"/>
  <c r="H64" i="74" l="1"/>
  <c r="G64" i="74"/>
  <c r="I66" i="74"/>
  <c r="G65" i="74" l="1"/>
  <c r="H65" i="74"/>
  <c r="I67" i="74"/>
  <c r="G66" i="74" l="1"/>
  <c r="H66" i="74"/>
  <c r="I68" i="74"/>
  <c r="H67" i="74" l="1"/>
  <c r="G67" i="74"/>
  <c r="I69" i="74"/>
  <c r="G68" i="74" l="1"/>
  <c r="H68" i="74"/>
  <c r="I70" i="74"/>
  <c r="H69" i="74" l="1"/>
  <c r="G69" i="74"/>
  <c r="I71" i="74"/>
  <c r="G70" i="74" l="1"/>
  <c r="H70" i="74"/>
  <c r="I72" i="74"/>
  <c r="G71" i="74" l="1"/>
  <c r="H71" i="74"/>
  <c r="I73" i="74"/>
  <c r="H72" i="74" l="1"/>
  <c r="G72" i="74"/>
  <c r="I74" i="74"/>
  <c r="H73" i="74" l="1"/>
  <c r="G73" i="74"/>
  <c r="I75" i="74"/>
  <c r="G74" i="74" l="1"/>
  <c r="H74" i="74"/>
  <c r="I76" i="74"/>
  <c r="G75" i="74" l="1"/>
  <c r="H75" i="74"/>
  <c r="I77" i="74"/>
  <c r="H76" i="74" l="1"/>
  <c r="G76" i="74"/>
  <c r="I78" i="74"/>
  <c r="H77" i="74" l="1"/>
  <c r="G77" i="74"/>
  <c r="I79" i="74"/>
  <c r="G78" i="74" l="1"/>
  <c r="H78" i="74"/>
  <c r="I80" i="74"/>
  <c r="G79" i="74" l="1"/>
  <c r="H79" i="74"/>
  <c r="I81" i="74"/>
  <c r="H80" i="74" l="1"/>
  <c r="G80" i="74"/>
  <c r="I82" i="74"/>
  <c r="H81" i="74" l="1"/>
  <c r="G81" i="74"/>
  <c r="I83" i="74"/>
  <c r="G82" i="74" l="1"/>
  <c r="H82" i="74"/>
  <c r="I84" i="74"/>
  <c r="G83" i="74" l="1"/>
  <c r="H83" i="74"/>
  <c r="I85" i="74"/>
  <c r="G84" i="74" l="1"/>
  <c r="H84" i="74"/>
  <c r="I86" i="74"/>
  <c r="G85" i="74" l="1"/>
  <c r="H85" i="74"/>
  <c r="I87" i="74"/>
  <c r="H86" i="74" l="1"/>
  <c r="G86" i="74"/>
  <c r="I88" i="74"/>
  <c r="G87" i="74" l="1"/>
  <c r="H87" i="74"/>
  <c r="I89" i="74"/>
  <c r="H88" i="74" l="1"/>
  <c r="G88" i="74"/>
  <c r="I90" i="74"/>
  <c r="G89" i="74" l="1"/>
  <c r="H89" i="74"/>
  <c r="I91" i="74"/>
  <c r="H90" i="74" l="1"/>
  <c r="G90" i="74"/>
  <c r="I92" i="74"/>
  <c r="G91" i="74" l="1"/>
  <c r="H91" i="74"/>
  <c r="I93" i="74"/>
  <c r="G92" i="74" l="1"/>
  <c r="H92" i="74"/>
  <c r="I94" i="74"/>
  <c r="G93" i="74" l="1"/>
  <c r="H93" i="74"/>
  <c r="I95" i="74"/>
  <c r="G94" i="74" l="1"/>
  <c r="H94" i="74"/>
  <c r="I96" i="74"/>
  <c r="G95" i="74" l="1"/>
  <c r="H95" i="74"/>
  <c r="I97" i="74"/>
  <c r="H96" i="74" l="1"/>
  <c r="G96" i="74"/>
  <c r="I98" i="74"/>
  <c r="H97" i="74" l="1"/>
  <c r="G97" i="74"/>
  <c r="I99" i="74"/>
  <c r="G98" i="74" l="1"/>
  <c r="H98" i="74"/>
  <c r="I100" i="74"/>
  <c r="G99" i="74" l="1"/>
  <c r="H99" i="74"/>
  <c r="I101" i="74"/>
  <c r="G100" i="74" l="1"/>
  <c r="H100" i="74"/>
  <c r="I102" i="74"/>
  <c r="G101" i="74" l="1"/>
  <c r="H101" i="74"/>
  <c r="I103" i="74"/>
  <c r="G102" i="74" l="1"/>
  <c r="H102" i="74"/>
  <c r="I104" i="74"/>
  <c r="G103" i="74" l="1"/>
  <c r="H103" i="74"/>
  <c r="I105" i="74"/>
  <c r="H104" i="74" l="1"/>
  <c r="G104" i="74"/>
  <c r="I106" i="74"/>
  <c r="G105" i="74" l="1"/>
  <c r="H105" i="74"/>
  <c r="I107" i="74"/>
  <c r="G106" i="74" l="1"/>
  <c r="H106" i="74"/>
  <c r="I108" i="74"/>
  <c r="G107" i="74" l="1"/>
  <c r="H107" i="74"/>
  <c r="I109" i="74"/>
  <c r="H108" i="74" l="1"/>
  <c r="G108" i="74"/>
  <c r="I110" i="74"/>
  <c r="G109" i="74" l="1"/>
  <c r="H109" i="74"/>
  <c r="I111" i="74"/>
  <c r="H110" i="74" l="1"/>
  <c r="G110" i="74"/>
  <c r="I112" i="74"/>
  <c r="H111" i="74" l="1"/>
  <c r="G111" i="74"/>
  <c r="I113" i="74"/>
  <c r="G112" i="74" l="1"/>
  <c r="H112" i="74"/>
  <c r="I114" i="74"/>
  <c r="G113" i="74" l="1"/>
  <c r="H113" i="74"/>
  <c r="I115" i="74"/>
  <c r="G114" i="74" l="1"/>
  <c r="H114" i="74"/>
  <c r="I116" i="74"/>
  <c r="G115" i="74" l="1"/>
  <c r="H115" i="74"/>
  <c r="I117" i="74"/>
  <c r="G116" i="74" l="1"/>
  <c r="H116" i="74"/>
  <c r="I118" i="74"/>
  <c r="H117" i="74" l="1"/>
  <c r="G117" i="74"/>
  <c r="I119" i="74"/>
  <c r="H118" i="74" l="1"/>
  <c r="G118" i="74"/>
  <c r="I120" i="74"/>
  <c r="G119" i="74" l="1"/>
  <c r="H119" i="74"/>
  <c r="I121" i="74"/>
  <c r="G120" i="74" l="1"/>
  <c r="H120" i="74"/>
  <c r="I122" i="74"/>
  <c r="G121" i="74" l="1"/>
  <c r="H121" i="74"/>
  <c r="I123" i="74"/>
  <c r="H122" i="74" l="1"/>
  <c r="G122" i="74"/>
  <c r="I124" i="74"/>
  <c r="G123" i="74" l="1"/>
  <c r="H123" i="74"/>
  <c r="I125" i="74"/>
  <c r="H124" i="74" l="1"/>
  <c r="G124" i="74"/>
  <c r="I126" i="74"/>
  <c r="G125" i="74" l="1"/>
  <c r="H125" i="74"/>
  <c r="I127" i="74"/>
  <c r="H126" i="74" l="1"/>
  <c r="G126" i="74"/>
  <c r="I128" i="74"/>
  <c r="G127" i="74" l="1"/>
  <c r="H127" i="74"/>
  <c r="I129" i="74"/>
  <c r="H128" i="74" l="1"/>
  <c r="G128" i="74"/>
  <c r="I130" i="74"/>
  <c r="G129" i="74" l="1"/>
  <c r="H129" i="74"/>
  <c r="I131" i="74"/>
  <c r="H130" i="74" l="1"/>
  <c r="G130" i="74"/>
  <c r="I132" i="74"/>
  <c r="H131" i="74" l="1"/>
  <c r="G131" i="74"/>
  <c r="I133" i="74"/>
  <c r="G132" i="74" l="1"/>
  <c r="H132" i="74"/>
  <c r="I134" i="74"/>
  <c r="G133" i="74" l="1"/>
  <c r="H133" i="74"/>
  <c r="I135" i="74"/>
  <c r="H134" i="74" l="1"/>
  <c r="G134" i="74"/>
  <c r="I136" i="74"/>
  <c r="G135" i="74" l="1"/>
  <c r="H135" i="74"/>
  <c r="I137" i="74"/>
  <c r="G136" i="74" l="1"/>
  <c r="H136" i="74"/>
  <c r="I138" i="74"/>
  <c r="G137" i="74" l="1"/>
  <c r="H137" i="74"/>
  <c r="I139" i="74"/>
  <c r="G138" i="74" l="1"/>
  <c r="H138" i="74"/>
  <c r="I140" i="74"/>
  <c r="H139" i="74" l="1"/>
  <c r="G139" i="74"/>
  <c r="I141" i="74"/>
  <c r="G140" i="74" l="1"/>
  <c r="H140" i="74"/>
  <c r="I142" i="74"/>
  <c r="G141" i="74" l="1"/>
  <c r="H141" i="74"/>
  <c r="I143" i="74"/>
  <c r="H142" i="74" l="1"/>
  <c r="G142" i="74"/>
  <c r="I144" i="74"/>
  <c r="G143" i="74" l="1"/>
  <c r="H143" i="74"/>
  <c r="I145" i="74"/>
  <c r="G144" i="74" l="1"/>
  <c r="H144" i="74"/>
  <c r="I146" i="74"/>
  <c r="H145" i="74" l="1"/>
  <c r="G145" i="74"/>
  <c r="I147" i="74"/>
  <c r="G146" i="74" l="1"/>
  <c r="H146" i="74"/>
  <c r="I148" i="74"/>
  <c r="G147" i="74" l="1"/>
  <c r="H147" i="74"/>
  <c r="I149" i="74"/>
  <c r="G148" i="74" l="1"/>
  <c r="H148" i="74"/>
  <c r="I150" i="74"/>
  <c r="H149" i="74" l="1"/>
  <c r="G149" i="74"/>
  <c r="I151" i="74"/>
  <c r="G150" i="74" l="1"/>
  <c r="H150" i="74"/>
  <c r="I152" i="74"/>
  <c r="G151" i="74" l="1"/>
  <c r="H151" i="74"/>
  <c r="I153" i="74"/>
  <c r="G152" i="74" l="1"/>
  <c r="H152" i="74"/>
  <c r="I154" i="74"/>
  <c r="H153" i="74" l="1"/>
  <c r="G153" i="74"/>
  <c r="I155" i="74"/>
  <c r="H154" i="74" l="1"/>
  <c r="G154" i="74"/>
  <c r="I156" i="74"/>
  <c r="G155" i="74" l="1"/>
  <c r="H155" i="74"/>
  <c r="I157" i="74"/>
  <c r="H156" i="74" l="1"/>
  <c r="G156" i="74"/>
  <c r="I158" i="74"/>
  <c r="H157" i="74" l="1"/>
  <c r="G157" i="74"/>
  <c r="I159" i="74"/>
  <c r="H158" i="74" l="1"/>
  <c r="G158" i="74"/>
  <c r="I160" i="74"/>
  <c r="G159" i="74" l="1"/>
  <c r="H159" i="74"/>
  <c r="I161" i="74"/>
  <c r="G160" i="74" l="1"/>
  <c r="H160" i="74"/>
  <c r="I162" i="74"/>
  <c r="H161" i="74" l="1"/>
  <c r="G161" i="74"/>
  <c r="I163" i="74"/>
  <c r="G162" i="74" l="1"/>
  <c r="H162" i="74"/>
  <c r="I164" i="74"/>
  <c r="H163" i="74" l="1"/>
  <c r="G163" i="74"/>
  <c r="I165" i="74"/>
  <c r="G164" i="74" l="1"/>
  <c r="H164" i="74"/>
  <c r="I166" i="74"/>
  <c r="H165" i="74" l="1"/>
  <c r="G165" i="74"/>
  <c r="I167" i="74"/>
  <c r="G166" i="74" l="1"/>
  <c r="H166" i="74"/>
  <c r="I168" i="74"/>
  <c r="H167" i="74" l="1"/>
  <c r="G167" i="74"/>
  <c r="I169" i="74"/>
  <c r="G168" i="74" l="1"/>
  <c r="H168" i="74"/>
  <c r="I170" i="74"/>
  <c r="H169" i="74" l="1"/>
  <c r="G169" i="74"/>
  <c r="I171" i="74"/>
  <c r="H170" i="74" l="1"/>
  <c r="G170" i="74"/>
  <c r="I172" i="74"/>
  <c r="G171" i="74" l="1"/>
  <c r="H171" i="74"/>
  <c r="I173" i="74"/>
  <c r="H172" i="74" l="1"/>
  <c r="G172" i="74"/>
  <c r="I174" i="74"/>
  <c r="G173" i="74" l="1"/>
  <c r="H173" i="74"/>
  <c r="I175" i="74"/>
  <c r="H174" i="74" l="1"/>
  <c r="G174" i="74"/>
  <c r="I176" i="74"/>
  <c r="G175" i="74" l="1"/>
  <c r="H175" i="74"/>
  <c r="I177" i="74"/>
  <c r="G176" i="74" l="1"/>
  <c r="H176" i="74"/>
  <c r="I178" i="74"/>
  <c r="G177" i="74" l="1"/>
  <c r="H177" i="74"/>
  <c r="I179" i="74"/>
  <c r="G178" i="74" l="1"/>
  <c r="H178" i="74"/>
  <c r="I180" i="74"/>
  <c r="G179" i="74" l="1"/>
  <c r="H179" i="74"/>
  <c r="I181" i="74"/>
  <c r="G180" i="74" l="1"/>
  <c r="H180" i="74"/>
  <c r="I182" i="74"/>
  <c r="H181" i="74" l="1"/>
  <c r="G181" i="74"/>
  <c r="I183" i="74"/>
  <c r="H182" i="74" l="1"/>
  <c r="G182" i="74"/>
  <c r="I184" i="74"/>
  <c r="H183" i="74" l="1"/>
  <c r="G183" i="74"/>
  <c r="I185" i="74"/>
  <c r="H184" i="74" l="1"/>
  <c r="G184" i="74"/>
  <c r="I186" i="74"/>
  <c r="H185" i="74" l="1"/>
  <c r="G185" i="74"/>
  <c r="I187" i="74"/>
  <c r="H186" i="74" l="1"/>
  <c r="G186" i="74"/>
  <c r="I188" i="74"/>
  <c r="H187" i="74" l="1"/>
  <c r="G187" i="74"/>
  <c r="I189" i="74"/>
  <c r="G188" i="74" l="1"/>
  <c r="H188" i="74"/>
  <c r="I190" i="74"/>
  <c r="G189" i="74" l="1"/>
  <c r="H189" i="74"/>
  <c r="I191" i="74"/>
  <c r="G190" i="74" l="1"/>
  <c r="H190" i="74"/>
  <c r="I192" i="74"/>
  <c r="H191" i="74" l="1"/>
  <c r="G191" i="74"/>
  <c r="I193" i="74"/>
  <c r="G192" i="74" l="1"/>
  <c r="H192" i="74"/>
  <c r="I194" i="74"/>
  <c r="H193" i="74" l="1"/>
  <c r="G193" i="74"/>
  <c r="I195" i="74"/>
  <c r="H194" i="74" l="1"/>
  <c r="G194" i="74"/>
  <c r="I196" i="74"/>
  <c r="H195" i="74" l="1"/>
  <c r="G195" i="74"/>
  <c r="I197" i="74"/>
  <c r="H196" i="74" l="1"/>
  <c r="G196" i="74"/>
  <c r="I198" i="74"/>
  <c r="G197" i="74" l="1"/>
  <c r="H197" i="74"/>
  <c r="I199" i="74"/>
  <c r="G198" i="74" l="1"/>
  <c r="H198" i="74"/>
  <c r="I200" i="74"/>
  <c r="H199" i="74" l="1"/>
  <c r="G199" i="74"/>
  <c r="I201" i="74"/>
  <c r="H200" i="74" l="1"/>
  <c r="G200" i="74"/>
  <c r="I202" i="74"/>
  <c r="H201" i="74" l="1"/>
  <c r="G201" i="74"/>
  <c r="I203" i="74"/>
  <c r="H202" i="74" l="1"/>
  <c r="G202" i="74"/>
  <c r="I204" i="74"/>
  <c r="H203" i="74" l="1"/>
  <c r="G203" i="74"/>
  <c r="I205" i="74"/>
  <c r="H204" i="74" l="1"/>
  <c r="G204" i="74"/>
  <c r="I206" i="74"/>
  <c r="H205" i="74" l="1"/>
  <c r="G205" i="74"/>
  <c r="I207" i="74"/>
  <c r="G206" i="74" l="1"/>
  <c r="H206" i="74"/>
  <c r="I208" i="74"/>
  <c r="H207" i="74" l="1"/>
  <c r="G207" i="74"/>
  <c r="I209" i="74"/>
  <c r="G208" i="74" l="1"/>
  <c r="H208" i="74"/>
  <c r="I210" i="74"/>
  <c r="G209" i="74" l="1"/>
  <c r="H209" i="74"/>
  <c r="I211" i="74"/>
  <c r="G210" i="74" l="1"/>
  <c r="H210" i="74"/>
  <c r="I212" i="74"/>
  <c r="G211" i="74" l="1"/>
  <c r="H211" i="74"/>
  <c r="I213" i="74"/>
  <c r="H212" i="74" l="1"/>
  <c r="G212" i="74"/>
  <c r="I214" i="74"/>
  <c r="H213" i="74" l="1"/>
  <c r="G213" i="74"/>
  <c r="I215" i="74"/>
  <c r="G214" i="74" l="1"/>
  <c r="H214" i="74"/>
  <c r="I216" i="74"/>
  <c r="G215" i="74" l="1"/>
  <c r="H215" i="74"/>
  <c r="I217" i="74"/>
  <c r="G216" i="74" l="1"/>
  <c r="H216" i="74"/>
  <c r="I218" i="74"/>
  <c r="H217" i="74" l="1"/>
  <c r="G217" i="74"/>
  <c r="I219" i="74"/>
  <c r="G218" i="74" l="1"/>
  <c r="H218" i="74"/>
  <c r="I220" i="74"/>
  <c r="H219" i="74" l="1"/>
  <c r="G219" i="74"/>
  <c r="I221" i="74"/>
  <c r="H220" i="74" l="1"/>
  <c r="G220" i="74"/>
  <c r="I222" i="74"/>
  <c r="H221" i="74" l="1"/>
  <c r="G221" i="74"/>
  <c r="I223" i="74"/>
  <c r="H222" i="74" l="1"/>
  <c r="G222" i="74"/>
  <c r="I224" i="74"/>
  <c r="H223" i="74" l="1"/>
  <c r="G223" i="74"/>
  <c r="I225" i="74"/>
  <c r="H224" i="74" l="1"/>
  <c r="G224" i="74"/>
  <c r="I226" i="74"/>
  <c r="H225" i="74" l="1"/>
  <c r="G225" i="74"/>
  <c r="I227" i="74"/>
  <c r="H226" i="74" l="1"/>
  <c r="G226" i="74"/>
  <c r="I228" i="74"/>
  <c r="G227" i="74" l="1"/>
  <c r="H227" i="74"/>
  <c r="I229" i="74"/>
  <c r="G228" i="74" l="1"/>
  <c r="H228" i="74"/>
  <c r="I230" i="74"/>
  <c r="H229" i="74" l="1"/>
  <c r="G229" i="74"/>
  <c r="I231" i="74"/>
  <c r="G230" i="74" l="1"/>
  <c r="H230" i="74"/>
  <c r="I232" i="74"/>
  <c r="G231" i="74" l="1"/>
  <c r="H231" i="74"/>
  <c r="I233" i="74"/>
  <c r="G232" i="74" l="1"/>
  <c r="H232" i="74"/>
  <c r="I234" i="74"/>
  <c r="H233" i="74" l="1"/>
  <c r="G233" i="74"/>
  <c r="I235" i="74"/>
  <c r="H234" i="74" l="1"/>
  <c r="G234" i="74"/>
  <c r="I236" i="74"/>
  <c r="G235" i="74" l="1"/>
  <c r="H235" i="74"/>
  <c r="I237" i="74"/>
  <c r="G236" i="74" l="1"/>
  <c r="H236" i="74"/>
  <c r="I238" i="74"/>
  <c r="G237" i="74" l="1"/>
  <c r="H237" i="74"/>
  <c r="I239" i="74"/>
  <c r="H238" i="74" l="1"/>
  <c r="G238" i="74"/>
  <c r="I240" i="74"/>
  <c r="G239" i="74" l="1"/>
  <c r="H239" i="74"/>
  <c r="I241" i="74"/>
  <c r="G240" i="74" l="1"/>
  <c r="H240" i="74"/>
  <c r="I242" i="74"/>
  <c r="G241" i="74" l="1"/>
  <c r="H241" i="74"/>
  <c r="I243" i="74"/>
  <c r="H242" i="74" l="1"/>
  <c r="G242" i="74"/>
  <c r="I244" i="74"/>
  <c r="H243" i="74" l="1"/>
  <c r="G243" i="74"/>
  <c r="I245" i="74"/>
  <c r="G244" i="74" l="1"/>
  <c r="H244" i="74"/>
  <c r="I246" i="74"/>
  <c r="H245" i="74" l="1"/>
  <c r="G245" i="74"/>
  <c r="I247" i="74"/>
  <c r="H246" i="74" l="1"/>
  <c r="G246" i="74"/>
  <c r="I248" i="74"/>
  <c r="G247" i="74" l="1"/>
  <c r="H247" i="74"/>
  <c r="I249" i="74"/>
  <c r="H248" i="74" l="1"/>
  <c r="G248" i="74"/>
  <c r="I250" i="74"/>
  <c r="H249" i="74" l="1"/>
  <c r="G249" i="74"/>
  <c r="I251" i="74"/>
  <c r="G250" i="74" l="1"/>
  <c r="H250" i="74"/>
  <c r="I252" i="74"/>
  <c r="H251" i="74" l="1"/>
  <c r="G251" i="74"/>
  <c r="I253" i="74"/>
  <c r="G252" i="74" l="1"/>
  <c r="H252" i="74"/>
  <c r="I254" i="74"/>
  <c r="H253" i="74" l="1"/>
  <c r="G253" i="74"/>
  <c r="I255" i="74"/>
  <c r="G254" i="74" l="1"/>
  <c r="H254" i="74"/>
  <c r="I256" i="74"/>
  <c r="H255" i="74" l="1"/>
  <c r="G255" i="74"/>
  <c r="I257" i="74"/>
  <c r="G256" i="74" l="1"/>
  <c r="H256" i="74"/>
  <c r="I258" i="74"/>
  <c r="H257" i="74" l="1"/>
  <c r="G257" i="74"/>
  <c r="I259" i="74"/>
  <c r="G258" i="74" l="1"/>
  <c r="H258" i="74"/>
  <c r="I260" i="74"/>
  <c r="H259" i="74" l="1"/>
  <c r="G259" i="74"/>
  <c r="I261" i="74"/>
  <c r="G260" i="74" l="1"/>
  <c r="H260" i="74"/>
  <c r="I262" i="74"/>
  <c r="H261" i="74" l="1"/>
  <c r="G261" i="74"/>
  <c r="I263" i="74"/>
  <c r="H262" i="74" l="1"/>
  <c r="G262" i="74"/>
  <c r="I264" i="74"/>
  <c r="G263" i="74" l="1"/>
  <c r="H263" i="74"/>
  <c r="I265" i="74"/>
  <c r="G264" i="74" l="1"/>
  <c r="H264" i="74"/>
  <c r="I266" i="74"/>
  <c r="H265" i="74" l="1"/>
  <c r="G265" i="74"/>
  <c r="I267" i="74"/>
  <c r="H266" i="74" l="1"/>
  <c r="G266" i="74"/>
  <c r="I268" i="74"/>
  <c r="G267" i="74" l="1"/>
  <c r="H267" i="74"/>
  <c r="I269" i="74"/>
  <c r="H268" i="74" l="1"/>
  <c r="G268" i="74"/>
  <c r="I270" i="74"/>
  <c r="H269" i="74" l="1"/>
  <c r="G269" i="74"/>
  <c r="I271" i="74"/>
  <c r="G270" i="74" l="1"/>
  <c r="H270" i="74"/>
  <c r="I272" i="74"/>
  <c r="H271" i="74" l="1"/>
  <c r="G271" i="74"/>
  <c r="I273" i="74"/>
  <c r="G272" i="74" l="1"/>
  <c r="H272" i="74"/>
  <c r="I274" i="74"/>
  <c r="H273" i="74" l="1"/>
  <c r="G273" i="74"/>
  <c r="I275" i="74"/>
  <c r="H274" i="74" l="1"/>
  <c r="G274" i="74"/>
  <c r="I276" i="74"/>
  <c r="H275" i="74" l="1"/>
  <c r="G275" i="74"/>
  <c r="I277" i="74"/>
  <c r="H276" i="74" l="1"/>
  <c r="G276" i="74"/>
  <c r="I278" i="74"/>
  <c r="H277" i="74" l="1"/>
  <c r="G277" i="74"/>
  <c r="I279" i="74"/>
  <c r="H278" i="74" l="1"/>
  <c r="G278" i="74"/>
  <c r="I280" i="74"/>
  <c r="H279" i="74" l="1"/>
  <c r="G279" i="74"/>
  <c r="I281" i="74"/>
  <c r="H280" i="74" l="1"/>
  <c r="G280" i="74"/>
  <c r="I282" i="74"/>
  <c r="G281" i="74" l="1"/>
  <c r="H281" i="74"/>
  <c r="I283" i="74"/>
  <c r="H282" i="74" l="1"/>
  <c r="G282" i="74"/>
  <c r="I284" i="74"/>
  <c r="G283" i="74" l="1"/>
  <c r="H283" i="74"/>
  <c r="I285" i="74"/>
  <c r="H284" i="74" l="1"/>
  <c r="G284" i="74"/>
  <c r="I286" i="74"/>
  <c r="G285" i="74" l="1"/>
  <c r="H285" i="74"/>
  <c r="I287" i="74"/>
  <c r="G286" i="74" l="1"/>
  <c r="H286" i="74"/>
  <c r="I288" i="74"/>
  <c r="G287" i="74" l="1"/>
  <c r="H287" i="74"/>
  <c r="I289" i="74"/>
  <c r="H288" i="74" l="1"/>
  <c r="G288" i="74"/>
  <c r="I290" i="74"/>
  <c r="G289" i="74" l="1"/>
  <c r="H289" i="74"/>
  <c r="I291" i="74"/>
  <c r="G290" i="74" l="1"/>
  <c r="H290" i="74"/>
  <c r="I292" i="74"/>
  <c r="G291" i="74" l="1"/>
  <c r="H291" i="74"/>
  <c r="I293" i="74"/>
  <c r="H292" i="74" l="1"/>
  <c r="G292" i="74"/>
  <c r="I294" i="74"/>
  <c r="G293" i="74" l="1"/>
  <c r="H293" i="74"/>
  <c r="I295" i="74"/>
  <c r="H294" i="74" l="1"/>
  <c r="G294" i="74"/>
  <c r="I296" i="74"/>
  <c r="G295" i="74" l="1"/>
  <c r="H295" i="74"/>
  <c r="I297" i="74"/>
  <c r="G296" i="74" l="1"/>
  <c r="H296" i="74"/>
  <c r="I298" i="74"/>
  <c r="H297" i="74" l="1"/>
  <c r="G297" i="74"/>
  <c r="I299" i="74"/>
  <c r="H298" i="74" l="1"/>
  <c r="G298" i="74"/>
  <c r="I300" i="74"/>
  <c r="H299" i="74" l="1"/>
  <c r="G299" i="74"/>
  <c r="I301" i="74"/>
  <c r="G300" i="74" l="1"/>
  <c r="H300" i="74"/>
  <c r="I302" i="74"/>
  <c r="H301" i="74" l="1"/>
  <c r="G301" i="74"/>
  <c r="I303" i="74"/>
  <c r="H302" i="74" l="1"/>
  <c r="G302" i="74"/>
  <c r="I304" i="74"/>
  <c r="G303" i="74" l="1"/>
  <c r="H303" i="74"/>
  <c r="I305" i="74"/>
  <c r="H304" i="74" l="1"/>
  <c r="G304" i="74"/>
  <c r="I306" i="74"/>
  <c r="H305" i="74" l="1"/>
  <c r="G305" i="74"/>
  <c r="I307" i="74"/>
  <c r="G306" i="74" l="1"/>
  <c r="H306" i="74"/>
  <c r="I308" i="74"/>
  <c r="G307" i="74" l="1"/>
  <c r="H307" i="74"/>
  <c r="I309" i="74"/>
  <c r="H308" i="74" l="1"/>
  <c r="G308" i="74"/>
  <c r="I310" i="74"/>
  <c r="G309" i="74" l="1"/>
  <c r="H309" i="74"/>
  <c r="I311" i="74"/>
  <c r="H310" i="74" l="1"/>
  <c r="G310" i="74"/>
  <c r="I312" i="74"/>
  <c r="G311" i="74" l="1"/>
  <c r="H311" i="74"/>
  <c r="I313" i="74"/>
  <c r="G312" i="74" l="1"/>
  <c r="H312" i="74"/>
  <c r="I314" i="74"/>
  <c r="H313" i="74" l="1"/>
  <c r="G313" i="74"/>
  <c r="I315" i="74"/>
  <c r="G314" i="74" l="1"/>
  <c r="H314" i="74"/>
  <c r="I316" i="74"/>
  <c r="G315" i="74" l="1"/>
  <c r="H315" i="74"/>
  <c r="I317" i="74"/>
  <c r="G316" i="74" l="1"/>
  <c r="H316" i="74"/>
  <c r="I318" i="74"/>
  <c r="G317" i="74" l="1"/>
  <c r="H317" i="74"/>
  <c r="I319" i="74"/>
  <c r="H318" i="74" l="1"/>
  <c r="G318" i="74"/>
  <c r="I320" i="74"/>
  <c r="H319" i="74" l="1"/>
  <c r="G319" i="74"/>
  <c r="I321" i="74"/>
  <c r="G320" i="74" l="1"/>
  <c r="H320" i="74"/>
  <c r="I322" i="74"/>
  <c r="G321" i="74" l="1"/>
  <c r="H321" i="74"/>
  <c r="I323" i="74"/>
  <c r="H322" i="74" l="1"/>
  <c r="G322" i="74"/>
  <c r="I324" i="74"/>
  <c r="H323" i="74" l="1"/>
  <c r="G323" i="74"/>
  <c r="I325" i="74"/>
  <c r="G324" i="74" l="1"/>
  <c r="H324" i="74"/>
  <c r="I326" i="74"/>
  <c r="G325" i="74" l="1"/>
  <c r="H325" i="74"/>
  <c r="I327" i="74"/>
  <c r="H326" i="74" l="1"/>
  <c r="G326" i="74"/>
  <c r="I328" i="74"/>
  <c r="G327" i="74" l="1"/>
  <c r="H327" i="74"/>
  <c r="I329" i="74"/>
  <c r="H328" i="74" l="1"/>
  <c r="G328" i="74"/>
  <c r="I330" i="74"/>
  <c r="H329" i="74" l="1"/>
  <c r="G329" i="74"/>
  <c r="I331" i="74"/>
  <c r="H330" i="74" l="1"/>
  <c r="G330" i="74"/>
  <c r="I332" i="74"/>
  <c r="G331" i="74" l="1"/>
  <c r="H331" i="74"/>
  <c r="I333" i="74"/>
  <c r="G332" i="74" l="1"/>
  <c r="H332" i="74"/>
  <c r="I334" i="74"/>
  <c r="G333" i="74" l="1"/>
  <c r="H333" i="74"/>
  <c r="I335" i="74"/>
  <c r="H334" i="74" l="1"/>
  <c r="G334" i="74"/>
  <c r="I336" i="74"/>
  <c r="H335" i="74" l="1"/>
  <c r="G335" i="74"/>
  <c r="I337" i="74"/>
  <c r="G336" i="74" l="1"/>
  <c r="H336" i="74"/>
  <c r="I338" i="74"/>
  <c r="G337" i="74" l="1"/>
  <c r="H337" i="74"/>
  <c r="I339" i="74"/>
  <c r="G338" i="74" l="1"/>
  <c r="H338" i="74"/>
  <c r="I340" i="74"/>
  <c r="H339" i="74" l="1"/>
  <c r="G339" i="74"/>
  <c r="I341" i="74"/>
  <c r="H340" i="74" l="1"/>
  <c r="G340" i="74"/>
  <c r="I342" i="74"/>
  <c r="G341" i="74" l="1"/>
  <c r="H341" i="74"/>
  <c r="I343" i="74"/>
  <c r="G342" i="74" l="1"/>
  <c r="H342" i="74"/>
  <c r="I344" i="74"/>
  <c r="H343" i="74" l="1"/>
  <c r="G343" i="74"/>
  <c r="I345" i="74"/>
  <c r="H344" i="74" l="1"/>
  <c r="G344" i="74"/>
  <c r="I346" i="74"/>
  <c r="G345" i="74" l="1"/>
  <c r="H345" i="74"/>
  <c r="I347" i="74"/>
  <c r="G346" i="74" l="1"/>
  <c r="H346" i="74"/>
  <c r="I348" i="74"/>
  <c r="H347" i="74" l="1"/>
  <c r="G347" i="74"/>
  <c r="I349" i="74"/>
  <c r="H348" i="74" l="1"/>
  <c r="G348" i="74"/>
  <c r="I350" i="74"/>
  <c r="H349" i="74" l="1"/>
  <c r="G349" i="74"/>
  <c r="I351" i="74"/>
  <c r="G350" i="74" l="1"/>
  <c r="H350" i="74"/>
  <c r="I352" i="74"/>
  <c r="H351" i="74" l="1"/>
  <c r="G351" i="74"/>
  <c r="I353" i="74"/>
  <c r="G352" i="74" l="1"/>
  <c r="H352" i="74"/>
  <c r="I354" i="74"/>
  <c r="H353" i="74" l="1"/>
  <c r="G353" i="74"/>
  <c r="I355" i="74"/>
  <c r="G354" i="74" l="1"/>
  <c r="H354" i="74"/>
  <c r="I356" i="74"/>
  <c r="H355" i="74" l="1"/>
  <c r="G355" i="74"/>
  <c r="I357" i="74"/>
  <c r="G356" i="74" l="1"/>
  <c r="H356" i="74"/>
  <c r="I358" i="74"/>
  <c r="G357" i="74" l="1"/>
  <c r="H357" i="74"/>
  <c r="I359" i="74"/>
  <c r="G358" i="74" l="1"/>
  <c r="H358" i="74"/>
  <c r="I360" i="74"/>
  <c r="G359" i="74" l="1"/>
  <c r="H359" i="74"/>
  <c r="I361" i="74"/>
  <c r="G360" i="74" l="1"/>
  <c r="H360" i="74"/>
  <c r="I362" i="74"/>
  <c r="G361" i="74" l="1"/>
  <c r="H361" i="74"/>
  <c r="I363" i="74"/>
  <c r="H362" i="74" l="1"/>
  <c r="G362" i="74"/>
  <c r="I364" i="74"/>
  <c r="G363" i="74" l="1"/>
  <c r="H363" i="74"/>
  <c r="I365" i="74"/>
  <c r="H364" i="74" l="1"/>
  <c r="G364" i="74"/>
  <c r="I366" i="74"/>
  <c r="G365" i="74" l="1"/>
  <c r="H365" i="74"/>
  <c r="I367" i="74"/>
  <c r="G366" i="74" l="1"/>
  <c r="H366" i="74"/>
  <c r="I368" i="74"/>
  <c r="H367" i="74" l="1"/>
  <c r="G367" i="74"/>
  <c r="I369" i="74"/>
  <c r="H368" i="74" l="1"/>
  <c r="G368" i="74"/>
  <c r="I370" i="74"/>
  <c r="H369" i="74" l="1"/>
  <c r="G369" i="74"/>
  <c r="I371" i="74"/>
  <c r="H370" i="74" l="1"/>
  <c r="G370" i="74"/>
  <c r="I372" i="74"/>
  <c r="G371" i="74" l="1"/>
  <c r="H371" i="74"/>
  <c r="I373" i="74"/>
  <c r="G372" i="74" l="1"/>
  <c r="H372" i="74"/>
  <c r="I374" i="74"/>
  <c r="G373" i="74" l="1"/>
  <c r="H373" i="74"/>
  <c r="I375" i="74"/>
  <c r="H374" i="74" l="1"/>
  <c r="G374" i="74"/>
  <c r="I376" i="74"/>
  <c r="G375" i="74" l="1"/>
  <c r="H375" i="74"/>
  <c r="I377" i="74"/>
  <c r="G376" i="74" l="1"/>
  <c r="H376" i="74"/>
  <c r="I378" i="74"/>
  <c r="G377" i="74" l="1"/>
  <c r="H377" i="74"/>
  <c r="I379" i="74"/>
  <c r="G378" i="74" l="1"/>
  <c r="H378" i="74"/>
  <c r="I380" i="74"/>
  <c r="G379" i="74" l="1"/>
  <c r="H379" i="74"/>
  <c r="I381" i="74"/>
  <c r="H380" i="74" l="1"/>
  <c r="G380" i="74"/>
  <c r="I382" i="74"/>
  <c r="G381" i="74" l="1"/>
  <c r="H381" i="74"/>
  <c r="I383" i="74"/>
  <c r="H382" i="74" l="1"/>
  <c r="G382" i="74"/>
  <c r="I384" i="74"/>
  <c r="H383" i="74" l="1"/>
  <c r="G383" i="74"/>
  <c r="I385" i="74"/>
  <c r="H384" i="74" l="1"/>
  <c r="G384" i="74"/>
  <c r="I386" i="74"/>
  <c r="G385" i="74" l="1"/>
  <c r="H385" i="74"/>
  <c r="I387" i="74"/>
  <c r="G386" i="74" l="1"/>
  <c r="H386" i="74"/>
  <c r="I388" i="74"/>
  <c r="G387" i="74" l="1"/>
  <c r="H387" i="74"/>
  <c r="I389" i="74"/>
  <c r="H388" i="74" l="1"/>
  <c r="G388" i="74"/>
  <c r="I390" i="74"/>
  <c r="G389" i="74" l="1"/>
  <c r="H389" i="74"/>
  <c r="I391" i="74"/>
  <c r="H390" i="74" l="1"/>
  <c r="G390" i="74"/>
  <c r="I392" i="74"/>
  <c r="G391" i="74" l="1"/>
  <c r="H391" i="74"/>
  <c r="I393" i="74"/>
  <c r="H392" i="74" l="1"/>
  <c r="G392" i="74"/>
  <c r="I394" i="74"/>
  <c r="H393" i="74" l="1"/>
  <c r="G393" i="74"/>
  <c r="I395" i="74"/>
  <c r="G394" i="74" l="1"/>
  <c r="H394" i="74"/>
  <c r="I396" i="74"/>
  <c r="H395" i="74" l="1"/>
  <c r="G395" i="74"/>
  <c r="I397" i="74"/>
  <c r="G396" i="74" l="1"/>
  <c r="H396" i="74"/>
  <c r="I398" i="74"/>
  <c r="H397" i="74" l="1"/>
  <c r="G397" i="74"/>
  <c r="I399" i="74"/>
  <c r="G398" i="74" l="1"/>
  <c r="H398" i="74"/>
  <c r="I400" i="74"/>
  <c r="G399" i="74" l="1"/>
  <c r="H399" i="74"/>
  <c r="I401" i="74"/>
  <c r="G400" i="74" l="1"/>
  <c r="H400" i="74"/>
  <c r="I402" i="74"/>
  <c r="H401" i="74" l="1"/>
  <c r="G401" i="74"/>
  <c r="I403" i="74"/>
  <c r="G402" i="74" l="1"/>
  <c r="H402" i="74"/>
  <c r="I404" i="74"/>
  <c r="G403" i="74" l="1"/>
  <c r="H403" i="74"/>
  <c r="I405" i="74"/>
  <c r="H404" i="74" l="1"/>
  <c r="G404" i="74"/>
  <c r="I406" i="74"/>
  <c r="H405" i="74" l="1"/>
  <c r="G405" i="74"/>
  <c r="I407" i="74" l="1"/>
  <c r="I42" i="74" s="1"/>
  <c r="E42" i="74"/>
  <c r="H406" i="74"/>
  <c r="G406" i="74"/>
  <c r="H407" i="74" l="1"/>
  <c r="H42" i="74" s="1"/>
  <c r="G407" i="74"/>
  <c r="G42" i="7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0436DB55-C948-4530-90E0-09509384AF8B}">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B94ABF8A-37DC-4265-99FF-06749955D3B1}">
      <text>
        <r>
          <rPr>
            <sz val="9"/>
            <color indexed="81"/>
            <rFont val="Tahoma"/>
            <family val="2"/>
          </rPr>
          <t>The sum of percentages should not be greater than 100%. If above 100%, the cell will be shaded red. If less than 100%, it will be shaded in light red.</t>
        </r>
      </text>
    </comment>
    <comment ref="C35" authorId="0" shapeId="0" xr:uid="{8C75B24E-22A3-439B-A79F-5A5AB40AC9F7}">
      <text>
        <r>
          <rPr>
            <sz val="9"/>
            <color indexed="81"/>
            <rFont val="Tahoma"/>
            <family val="2"/>
          </rPr>
          <t>The sum of percentages should not be greater than 100%. If above 100%, the cell will be shaded red. If less than 100%, it will be shaded in light red.</t>
        </r>
      </text>
    </comment>
    <comment ref="C47" authorId="0" shapeId="0" xr:uid="{543A5F51-56B6-413B-9D25-BBC06D1F15DF}">
      <text>
        <r>
          <rPr>
            <sz val="9"/>
            <color indexed="81"/>
            <rFont val="Tahoma"/>
            <family val="2"/>
          </rPr>
          <t>The sum of percentages should not be greater than 100%. If above 100%, the cell will be shaded red. If less than 100%, it will be shaded in light red.</t>
        </r>
      </text>
    </comment>
    <comment ref="C66" authorId="0" shapeId="0" xr:uid="{EBDBFC92-3B0E-4A8A-816D-42E01FF71804}">
      <text>
        <r>
          <rPr>
            <sz val="9"/>
            <color indexed="81"/>
            <rFont val="Tahoma"/>
            <family val="2"/>
          </rPr>
          <t>The sum of percentages should not be greater than 100%. If above 100%, the cell will be shaded red. If less than 100%, it will be shaded in light red.</t>
        </r>
      </text>
    </comment>
    <comment ref="C78" authorId="0" shapeId="0" xr:uid="{95471DDB-EFFD-4061-9149-366D7528D74E}">
      <text>
        <r>
          <rPr>
            <sz val="9"/>
            <color indexed="81"/>
            <rFont val="Tahoma"/>
            <family val="2"/>
          </rPr>
          <t>The sum of percentages should not be greater than 100%. If above 100%, the cell will be shaded red. If less than 100%, it will be shaded in light red.</t>
        </r>
      </text>
    </comment>
    <comment ref="C90" authorId="0" shapeId="0" xr:uid="{F8AF4BC2-2E05-4A19-BCBB-BDFB788DAB03}">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931DFE73-9643-483D-8BAE-281BBB1A4008}">
      <text>
        <r>
          <rPr>
            <sz val="9"/>
            <color indexed="81"/>
            <rFont val="Tahoma"/>
            <family val="2"/>
          </rPr>
          <t>This item only to be used for periods from the implementation of the revised accounting standard on leases AASB16</t>
        </r>
      </text>
    </comment>
    <comment ref="D27" authorId="0" shapeId="0" xr:uid="{ECFABECE-1354-48F0-9AB9-450DDF9D84C9}">
      <text>
        <r>
          <rPr>
            <sz val="9"/>
            <color indexed="81"/>
            <rFont val="Tahoma"/>
            <family val="2"/>
          </rPr>
          <t>This item only to be used for periods from the implementation of the revised accounting standard on leases AASB16</t>
        </r>
      </text>
    </comment>
    <comment ref="D34" authorId="0" shapeId="0" xr:uid="{BD589DFB-AE8D-4A4E-B11B-6FAED5639530}">
      <text>
        <r>
          <rPr>
            <sz val="9"/>
            <color indexed="81"/>
            <rFont val="Tahoma"/>
            <family val="2"/>
          </rPr>
          <t>This item only to be used for periods from the implementation of the revised accounting standard on leases AASB16</t>
        </r>
      </text>
    </comment>
    <comment ref="D35" authorId="1" shapeId="0" xr:uid="{26497F02-F9FF-488B-8A97-13BDDC02F682}">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1644E961-C538-44D8-8C2E-34BA754CEC8F}">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<sst xmlns="http://schemas.openxmlformats.org/spreadsheetml/2006/main" count="1374" uniqueCount="523">
  <si>
    <t>Category</t>
  </si>
  <si>
    <t>Colour coding of input sheets:</t>
  </si>
  <si>
    <t>Leave coloured cells blank if no information exists - PLEASE DO NOT ENTER TEXT unless specifically requested to do so.</t>
  </si>
  <si>
    <t>Business address</t>
  </si>
  <si>
    <t>Address</t>
  </si>
  <si>
    <t>Suburb</t>
  </si>
  <si>
    <t>State</t>
  </si>
  <si>
    <t>Postcode</t>
  </si>
  <si>
    <t>Postal address</t>
  </si>
  <si>
    <t>Contact name/s</t>
  </si>
  <si>
    <t>Contact phone/s</t>
  </si>
  <si>
    <t>Contact email address/s</t>
  </si>
  <si>
    <t xml:space="preserve"> </t>
  </si>
  <si>
    <t>Description</t>
  </si>
  <si>
    <t>Profit from sale of fixed assets</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</si>
  <si>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</si>
  <si>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</si>
  <si>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</si>
  <si>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</si>
  <si>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</si>
  <si>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</si>
  <si>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</si>
  <si>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</si>
  <si>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</si>
  <si>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</si>
  <si>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</si>
  <si>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</si>
  <si>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</si>
  <si>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Storage services</t>
  </si>
  <si>
    <t>Trading services</t>
  </si>
  <si>
    <t>Other (please specify)</t>
  </si>
  <si>
    <t>Provided to related parties</t>
  </si>
  <si>
    <t>Direct revenue</t>
  </si>
  <si>
    <t>Customer contribution revenue</t>
  </si>
  <si>
    <t>Other direct revenue</t>
  </si>
  <si>
    <t>Insurance</t>
  </si>
  <si>
    <t>Licence and regulatory costs</t>
  </si>
  <si>
    <t>Directly attributable finance charges</t>
  </si>
  <si>
    <t>Indirect revenue allocated</t>
  </si>
  <si>
    <t xml:space="preserve">Shared asset depreciation </t>
  </si>
  <si>
    <t>Loss from sale of shared fixed assets</t>
  </si>
  <si>
    <t>Amounts excluding related party transactions</t>
  </si>
  <si>
    <t>Related party transactions</t>
  </si>
  <si>
    <t>Information technology and communication costs</t>
  </si>
  <si>
    <t>Rental and leasing costs</t>
  </si>
  <si>
    <t>Leasing and rental costs</t>
  </si>
  <si>
    <t>Pipeline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</si>
  <si>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</si>
  <si>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</si>
  <si>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</si>
  <si>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</si>
  <si>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</si>
  <si>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</si>
  <si>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</si>
  <si>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</si>
  <si>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</si>
  <si>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</si>
  <si>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</si>
  <si>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Year</t>
  </si>
  <si>
    <t>Asset description</t>
  </si>
  <si>
    <t>Closing compressors carrying value</t>
  </si>
  <si>
    <t>Closing buildings carrying value</t>
  </si>
  <si>
    <t>Total allocated to pipeline excluding related parties</t>
  </si>
  <si>
    <t>Total related party amounts allocated to pipeline</t>
  </si>
  <si>
    <t>Total assets</t>
  </si>
  <si>
    <t>Pipeline information</t>
  </si>
  <si>
    <t>Revenue</t>
  </si>
  <si>
    <t>Operating expenses</t>
  </si>
  <si>
    <t>Net tax liabilities</t>
  </si>
  <si>
    <t>Shared supporting assets</t>
  </si>
  <si>
    <t xml:space="preserve">Inventories </t>
  </si>
  <si>
    <t>Deferred tax assets</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</si>
  <si>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</si>
  <si>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</si>
  <si>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</si>
  <si>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</si>
  <si>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</si>
  <si>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</si>
  <si>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</si>
  <si>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</si>
  <si>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</si>
  <si>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</si>
  <si>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</si>
  <si>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</si>
  <si>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</si>
  <si>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</si>
  <si>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Asset useful life</t>
  </si>
  <si>
    <t>Total capitalised pipeline construction costs</t>
  </si>
  <si>
    <t>Closing city gates, supply regulators and valve stations carrying value</t>
  </si>
  <si>
    <t>Closing SCADA carrying value</t>
  </si>
  <si>
    <t>Land and easements</t>
  </si>
  <si>
    <t>Closing land and easements carrying value</t>
  </si>
  <si>
    <t>Other non-depreciable pipeline assets</t>
  </si>
  <si>
    <t>Estimated residual value</t>
  </si>
  <si>
    <t>Asset impairment</t>
  </si>
  <si>
    <t>Impairment date</t>
  </si>
  <si>
    <t>Basis for impairment</t>
  </si>
  <si>
    <t>Reporting period start date:</t>
  </si>
  <si>
    <t>Reporting period end date:</t>
  </si>
  <si>
    <t>Shared assets</t>
  </si>
  <si>
    <t>Return on capital</t>
  </si>
  <si>
    <t>Total Return of Capital</t>
  </si>
  <si>
    <t>Reversal date</t>
  </si>
  <si>
    <t>Basis for Reversal</t>
  </si>
  <si>
    <t>Description (list each individual shared asset category greater than 5%)</t>
  </si>
  <si>
    <t>Category of shared assets</t>
  </si>
  <si>
    <t>Total amount</t>
  </si>
  <si>
    <t>Description of works</t>
  </si>
  <si>
    <t>Date recognised</t>
  </si>
  <si>
    <t xml:space="preserve">Year ending </t>
  </si>
  <si>
    <t>$ nominal</t>
  </si>
  <si>
    <t>Table 1.1: Pipeline details</t>
  </si>
  <si>
    <t>Table 1.2: Pipeline services provided</t>
  </si>
  <si>
    <t xml:space="preserve">Description </t>
  </si>
  <si>
    <t>(list each individual revenue item)</t>
  </si>
  <si>
    <t>Indirect revenue</t>
  </si>
  <si>
    <t xml:space="preserve"> (list each individual cost)</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</si>
  <si>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</si>
  <si>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</si>
  <si>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</si>
  <si>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</si>
  <si>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</si>
  <si>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</si>
  <si>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</si>
  <si>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</si>
  <si>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Service provider:</t>
  </si>
  <si>
    <t>Pipeline name:</t>
  </si>
  <si>
    <t>Indirect revenue excluding related parties</t>
  </si>
  <si>
    <t>Table 4.2: Pipeline details</t>
  </si>
  <si>
    <t>Reporting period</t>
  </si>
  <si>
    <t>Previous reporting period</t>
  </si>
  <si>
    <t>Other depreciable pipeline assets</t>
  </si>
  <si>
    <t>Closing other depreciable pipeline assets carrying value</t>
  </si>
  <si>
    <t>Stand-alone compression services</t>
  </si>
  <si>
    <t>Date</t>
  </si>
  <si>
    <t>AER amendment#</t>
  </si>
  <si>
    <t>Worksheet</t>
  </si>
  <si>
    <t>Table</t>
  </si>
  <si>
    <t>Change</t>
  </si>
  <si>
    <t>Reason</t>
  </si>
  <si>
    <t>2. Revenue and expenses</t>
  </si>
  <si>
    <t>Prior years' accumulated depreciation</t>
  </si>
  <si>
    <t>Cell</t>
  </si>
  <si>
    <t>Closing leased asset carrying value</t>
  </si>
  <si>
    <t>Cover</t>
  </si>
  <si>
    <t>Shared leased assets</t>
  </si>
  <si>
    <t>Leased Asset</t>
  </si>
  <si>
    <t>Leased Asset Interest/Financing Charge</t>
  </si>
  <si>
    <t xml:space="preserve">Total assets </t>
  </si>
  <si>
    <t>All numbers are expressed in $nominal</t>
  </si>
  <si>
    <t>Indirect operating expenses</t>
  </si>
  <si>
    <t>Impairment losses (nature of the impairment loss)</t>
  </si>
  <si>
    <r>
      <t xml:space="preserve">Current year </t>
    </r>
    <r>
      <rPr>
        <b/>
        <sz val="10"/>
        <color indexed="9"/>
        <rFont val="Arial"/>
        <family val="2"/>
      </rPr>
      <t>depreciation</t>
    </r>
  </si>
  <si>
    <t>Shared property, plant and equipment</t>
  </si>
  <si>
    <t>Government contribution revenue</t>
  </si>
  <si>
    <t>Opening asset value</t>
  </si>
  <si>
    <t>Capitalised maintenance or improvements</t>
  </si>
  <si>
    <t>Depreciation</t>
  </si>
  <si>
    <t>Closing pipelines carrying value</t>
  </si>
  <si>
    <t xml:space="preserve">Additions </t>
  </si>
  <si>
    <t>Closing metering carrying value</t>
  </si>
  <si>
    <t>Shared supporting assets allocated</t>
  </si>
  <si>
    <t xml:space="preserve">Total shared supporting assets allocated </t>
  </si>
  <si>
    <t>Closing leased assets carrying value</t>
  </si>
  <si>
    <t>Closing shared property, plant and equipment carrying value</t>
  </si>
  <si>
    <t>Disposals or early termination (at cost)</t>
  </si>
  <si>
    <t>Has any information in this template been amended since last published within this current reporting period?</t>
  </si>
  <si>
    <t>Summary</t>
  </si>
  <si>
    <t>Pipeline assets cost base</t>
  </si>
  <si>
    <t>Shared assets cost base</t>
  </si>
  <si>
    <r>
      <t>Other</t>
    </r>
    <r>
      <rPr>
        <b/>
        <sz val="10"/>
        <color indexed="10"/>
        <rFont val="Arial"/>
        <family val="2"/>
      </rPr>
      <t xml:space="preserve"> </t>
    </r>
    <r>
      <rPr>
        <b/>
        <sz val="10"/>
        <color indexed="51"/>
        <rFont val="Arial"/>
        <family val="2"/>
      </rPr>
      <t>assets</t>
    </r>
  </si>
  <si>
    <t>For information</t>
  </si>
  <si>
    <t>Rate of return (WACC)</t>
  </si>
  <si>
    <t>other service (insert description)</t>
  </si>
  <si>
    <t>Reported information is current as at:</t>
  </si>
  <si>
    <t>Current year depreciation</t>
  </si>
  <si>
    <t>1. Pipeline information</t>
  </si>
  <si>
    <t>Closing odorant plants carrying value</t>
  </si>
  <si>
    <t>Construction cost or acquisition cost (where allowed) apportioned</t>
  </si>
  <si>
    <t xml:space="preserve">Publication date of this financial report: </t>
  </si>
  <si>
    <t>Type of regulated pipeline:</t>
  </si>
  <si>
    <t>Acquisition date (provide a range)</t>
  </si>
  <si>
    <t>Indirect revenue from related parties</t>
  </si>
  <si>
    <t>Description of the matter</t>
  </si>
  <si>
    <t>Proposed expenditure (if available, required for publicly announced expansions)</t>
  </si>
  <si>
    <t>Total proposed expenditure</t>
  </si>
  <si>
    <t>GJ/day</t>
  </si>
  <si>
    <t>Historical demand</t>
  </si>
  <si>
    <t>Publicly available link on Gas Bulletin Board</t>
  </si>
  <si>
    <t>Description of the information</t>
  </si>
  <si>
    <t>For information required to be published on the Gas Bulletin Board, please provide a publicly available link on their website to the relevant part of the Gas Bulletin Board.</t>
  </si>
  <si>
    <t>% Cost adjustment for accelerated depreciation (if applicable)</t>
  </si>
  <si>
    <t>Adjusted cost base</t>
  </si>
  <si>
    <t>Total amounts allocated to pipeline</t>
  </si>
  <si>
    <t>28. Estimated remaining direct asset lives</t>
  </si>
  <si>
    <t>Estimated one-year direct asset depreciation</t>
  </si>
  <si>
    <t>Estimated remaining asset life</t>
  </si>
  <si>
    <t>Revenue and expenses</t>
  </si>
  <si>
    <t>CONTENTS</t>
  </si>
  <si>
    <t>Revenue contributions</t>
  </si>
  <si>
    <t>Depreciation amortisation</t>
  </si>
  <si>
    <t>SUMMARY</t>
  </si>
  <si>
    <t>Price benchmarks</t>
  </si>
  <si>
    <t>2. REVENUE AND EXPENSES</t>
  </si>
  <si>
    <t>1. PIPELINE INFORMATION</t>
  </si>
  <si>
    <t>4.1 Pipelines capex</t>
  </si>
  <si>
    <t>Utilised capacity</t>
  </si>
  <si>
    <t>Available capacity-total</t>
  </si>
  <si>
    <t>Available capacity-firm</t>
  </si>
  <si>
    <t>Available contracted capacity</t>
  </si>
  <si>
    <t>Contracted firm capacity-storage</t>
  </si>
  <si>
    <t>Contracted firm capacity-transportation</t>
  </si>
  <si>
    <t>TJ/day</t>
  </si>
  <si>
    <t>Current reporting period</t>
  </si>
  <si>
    <t>Table 5.1: Historical demand information</t>
  </si>
  <si>
    <t>Table 5.3: Daily demand</t>
  </si>
  <si>
    <t>Total expenditure</t>
  </si>
  <si>
    <t xml:space="preserve">2.3 Revenue contributions </t>
  </si>
  <si>
    <t>2.4 Indirect revenue</t>
  </si>
  <si>
    <t>Fixed operating costs</t>
  </si>
  <si>
    <t>Low</t>
  </si>
  <si>
    <t>High</t>
  </si>
  <si>
    <t>2 Fixed operating costs</t>
  </si>
  <si>
    <t>Return on capital &amp; Tax</t>
  </si>
  <si>
    <t>Average regulatory return on debt</t>
  </si>
  <si>
    <t>Gearing</t>
  </si>
  <si>
    <t>Statutory tax rate</t>
  </si>
  <si>
    <t>Gamma</t>
  </si>
  <si>
    <t>30-31. Depreciation on (total: direct and shared/direct) assets per unit of capacity</t>
  </si>
  <si>
    <t>34. Estimation of taxes</t>
  </si>
  <si>
    <t>Pipeline rate of return</t>
  </si>
  <si>
    <t>Post-tax return on equity</t>
  </si>
  <si>
    <t>Estimated pretax return on equity</t>
  </si>
  <si>
    <t>Tax as a % of equity</t>
  </si>
  <si>
    <t>32. Estimated RCM depreciation per unit of capacity</t>
  </si>
  <si>
    <t>Tax as a % of assets</t>
  </si>
  <si>
    <t>Closing asset value based on Table 4.1</t>
  </si>
  <si>
    <t>Pre-tax rate of return</t>
  </si>
  <si>
    <t>Estimated yearly depreciation</t>
  </si>
  <si>
    <t>Tax estimate</t>
  </si>
  <si>
    <t>Allocation to pipeline service</t>
  </si>
  <si>
    <t>%</t>
  </si>
  <si>
    <t>Capital contributions</t>
  </si>
  <si>
    <t>Total capital contributions</t>
  </si>
  <si>
    <t>Total indirect revenue</t>
  </si>
  <si>
    <t>Total depreciation</t>
  </si>
  <si>
    <t>Total net revenue</t>
  </si>
  <si>
    <t>Average regulatory rate of return</t>
  </si>
  <si>
    <t>Commission date (provide a range)</t>
  </si>
  <si>
    <t>Direct revenue (excl. capital contributions)</t>
  </si>
  <si>
    <t>Total direct revenue (excl. capital contributions)</t>
  </si>
  <si>
    <t>Expenses</t>
  </si>
  <si>
    <t>Total Expenses</t>
  </si>
  <si>
    <t>Direct expenses</t>
  </si>
  <si>
    <t>Other direct expenses</t>
  </si>
  <si>
    <t>Shared expenses</t>
  </si>
  <si>
    <t>Employee expenses</t>
  </si>
  <si>
    <t>Total expenses</t>
  </si>
  <si>
    <t>Other shared expenses</t>
  </si>
  <si>
    <t>Direct expenses (excl. depreciation)</t>
  </si>
  <si>
    <t>Total direct expenses (excl. depreciation)</t>
  </si>
  <si>
    <t>Shared expenses allocated (excl. depreciation)</t>
  </si>
  <si>
    <t>Total shared expenses (excl. depreciation)</t>
  </si>
  <si>
    <t>Shared expenses excluding related parties</t>
  </si>
  <si>
    <t>Shared expenses paid to related parties</t>
  </si>
  <si>
    <t>Other indirect revenue</t>
  </si>
  <si>
    <t>Table 2.2.1:  Revenue by service</t>
  </si>
  <si>
    <t>Table 2.2.2:  Expenses by service</t>
  </si>
  <si>
    <t>Table 2.3.1: Customer contributions received</t>
  </si>
  <si>
    <t>Table 2.3.2: Government contributions received</t>
  </si>
  <si>
    <t>Table 2.4.1: Indirect revenue allocation</t>
  </si>
  <si>
    <t>Table 2.5.1: Shared expense allocation</t>
  </si>
  <si>
    <t>Shared expenses allocated</t>
  </si>
  <si>
    <t>Total costs less depreciation in Table 2.1.1</t>
  </si>
  <si>
    <t>Direct costs less depreciation in Table 2.1.1</t>
  </si>
  <si>
    <t>Service provider inputs</t>
  </si>
  <si>
    <t>AER inputs</t>
  </si>
  <si>
    <t>29. Three estimates of opex per unit of capacity</t>
  </si>
  <si>
    <t>Total asset depreciation in Table 2.1.1</t>
  </si>
  <si>
    <t>Direct asset depreciation in Table 2.1.1</t>
  </si>
  <si>
    <t>2.5 Shared expenses</t>
  </si>
  <si>
    <t>5. HISTORICAL DEMAND</t>
  </si>
  <si>
    <t>35. Based on the inferred rates of return under Depreciated book value method</t>
  </si>
  <si>
    <t>6.1 Inputs</t>
  </si>
  <si>
    <t>6.3 Elements calculated</t>
  </si>
  <si>
    <t>6.4 Calculation process</t>
  </si>
  <si>
    <t>Table 2.1:  Statement of pipeline revenue and expenses by service</t>
  </si>
  <si>
    <t>Grey = Not applicable/No inputs required</t>
  </si>
  <si>
    <t>Pipeline length (kilometres)</t>
  </si>
  <si>
    <t>Direct revenue by pipeline</t>
  </si>
  <si>
    <t>Total direct revenue by pipeline</t>
  </si>
  <si>
    <t>Total indirect revenue by pipeline</t>
  </si>
  <si>
    <t>Total revenue by pipeline</t>
  </si>
  <si>
    <t>Total direct expenses by pipeline</t>
  </si>
  <si>
    <t>Indirect revenue allocated to pipeline</t>
  </si>
  <si>
    <t>Direct expenses by pipeline</t>
  </si>
  <si>
    <t>Shared expenses by pipeline</t>
  </si>
  <si>
    <t>Total shared expenses allocated to pipeline</t>
  </si>
  <si>
    <t>Total expenses by pipeline</t>
  </si>
  <si>
    <t>Please ensure allocation methodologies are explained in sufficient detail in the Basis of Preparation as required under the Guideline.</t>
  </si>
  <si>
    <t>Pricing template</t>
  </si>
  <si>
    <t>Part 10 Financial Reporting Template</t>
  </si>
  <si>
    <t>Part 10 Financial Reporting</t>
  </si>
  <si>
    <t>Asset value - Recovered Capital Method (RCM)</t>
  </si>
  <si>
    <t>6. PRICING TEMPLATE</t>
  </si>
  <si>
    <t>Pipeline capital expenditure</t>
  </si>
  <si>
    <t>All dollar amounts are to be unrounded, and in nominal terms.</t>
  </si>
  <si>
    <t>Basis of Preparation ID</t>
  </si>
  <si>
    <t>Basis of preparation ID</t>
  </si>
  <si>
    <t>Recovered capital method  (Table 4.1)</t>
  </si>
  <si>
    <t>Return on assets</t>
  </si>
  <si>
    <t>Other</t>
  </si>
  <si>
    <t>2.1 Profit &amp; Loss by component</t>
  </si>
  <si>
    <t>3 Return on capital &amp; Tax</t>
  </si>
  <si>
    <t>3 Return of capital</t>
  </si>
  <si>
    <t>6.2 Pricing benchmarks</t>
  </si>
  <si>
    <t>Table 2.1.1:  Statement of pipeline revenue and expenses by component</t>
  </si>
  <si>
    <t>Measurement unit</t>
  </si>
  <si>
    <t>Fixed operating costs per unit</t>
  </si>
  <si>
    <t>Return of capital per unit</t>
  </si>
  <si>
    <t>Return on capital &amp; Tax per unit</t>
  </si>
  <si>
    <t>Total cost per unit</t>
  </si>
  <si>
    <t>$/GJ/day of Pipeline MDQ</t>
  </si>
  <si>
    <t>$/GJ of MDQ traded</t>
  </si>
  <si>
    <t>$/GJ traded</t>
  </si>
  <si>
    <t>Pricing benchmarks summary</t>
  </si>
  <si>
    <t>Data visualisation</t>
  </si>
  <si>
    <t>Financial summary</t>
  </si>
  <si>
    <t>Revenue &amp; Expense allocation to pipeline services</t>
  </si>
  <si>
    <t>Orange = Input cells</t>
  </si>
  <si>
    <t>Light Blue / Dark Blue = AER instructions / headings</t>
  </si>
  <si>
    <t>Basis of preparation document is to be uploaded alongside this financial template, providing assumptions, methodologies, and other relevant information.</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</si>
  <si>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</si>
  <si>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</si>
  <si>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</si>
  <si>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</si>
  <si>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</si>
  <si>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Return on capital per capacity denominator</t>
  </si>
  <si>
    <t>Tax estimate per capacity denominator</t>
  </si>
  <si>
    <t xml:space="preserve">Pipelines </t>
  </si>
  <si>
    <t xml:space="preserve">Compressors </t>
  </si>
  <si>
    <t xml:space="preserve">City Gates, supply regulators and valve stations </t>
  </si>
  <si>
    <t xml:space="preserve">Metering </t>
  </si>
  <si>
    <t xml:space="preserve">Odorant plants </t>
  </si>
  <si>
    <t xml:space="preserve">SCADA (Communications) </t>
  </si>
  <si>
    <t xml:space="preserve">Buildings </t>
  </si>
  <si>
    <t xml:space="preserve">Leased assets </t>
  </si>
  <si>
    <t>Capacity denominator (report period) TJ</t>
  </si>
  <si>
    <t>Table 4.1.1: Capital expenditure greater than 5% of construction cost</t>
  </si>
  <si>
    <t>Table 4.1.2: Historical expansions and extensions</t>
  </si>
  <si>
    <t>Please report all historical expansions/extensions in table 4.1.2, regardless of value.
Please ensure all extensions/expansions in the next 12 months that have advanced to the "Final Investment Decision" stage are comprehensively reported in table 4.1.3.</t>
  </si>
  <si>
    <t>Closing other non-depreciable pipeline assets carrying value</t>
  </si>
  <si>
    <t>Pipeline nameplate capacity</t>
  </si>
  <si>
    <t>Depreciation (excl. impairment)</t>
  </si>
  <si>
    <t>Impairment losses</t>
  </si>
  <si>
    <t>Depreciation (Amortisation) (excl. impairment)</t>
  </si>
  <si>
    <t>Table 4.1.3: Planned expansions and extensions of capacity</t>
  </si>
  <si>
    <t>Facility's proposed nameplate rating, or the estimated likely range during affected period</t>
  </si>
  <si>
    <t>Proposed commissioning date, or a range of dates</t>
  </si>
  <si>
    <t>Expected end date, or a range of dates</t>
  </si>
  <si>
    <t>Firm forward haul transportation service</t>
  </si>
  <si>
    <t>Backhaul services</t>
  </si>
  <si>
    <t>Interruptible or as available transportation service</t>
  </si>
  <si>
    <t>Firm stand-alone compression service</t>
  </si>
  <si>
    <t>Interruptible or as available stand-alone compression service</t>
  </si>
  <si>
    <t>Park services</t>
  </si>
  <si>
    <t>Park and loan services</t>
  </si>
  <si>
    <t>Capacity trading service</t>
  </si>
  <si>
    <t>In pipe trading service</t>
  </si>
  <si>
    <t>Profit &amp; Loss statement by component</t>
  </si>
  <si>
    <t>Table 3.1.1: Pipeline assets (DBVM)</t>
  </si>
  <si>
    <t>Table 3.2.1: Pipeline assets (RAB)</t>
  </si>
  <si>
    <t>Contracted MDQ</t>
  </si>
  <si>
    <t>Table 5.2: Demand by pipeline service</t>
  </si>
  <si>
    <t>Opening Cost Base</t>
  </si>
  <si>
    <t>Current year additions</t>
  </si>
  <si>
    <t>Current year disposals or Early termination</t>
  </si>
  <si>
    <t>Modify cost adjustment column if accelerated depreciation is applicable.</t>
  </si>
  <si>
    <t>$</t>
  </si>
  <si>
    <t>Date RAB estabilished</t>
  </si>
  <si>
    <t xml:space="preserve"> Pipelines </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</si>
  <si>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</si>
  <si>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</si>
  <si>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</si>
  <si>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</si>
  <si>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</si>
  <si>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</si>
  <si>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</si>
  <si>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</si>
  <si>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</si>
  <si>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</si>
  <si>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</si>
  <si>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</si>
  <si>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</si>
  <si>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</si>
  <si>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</si>
  <si>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</si>
  <si>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</si>
  <si>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</si>
  <si>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</si>
  <si>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</si>
  <si>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</si>
  <si>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</si>
  <si>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</si>
  <si>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</si>
  <si>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</si>
  <si>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</si>
  <si>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</si>
  <si>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</si>
  <si>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</si>
  <si>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</si>
  <si>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</si>
  <si>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</si>
  <si>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</si>
  <si>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</si>
  <si>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</si>
  <si>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</si>
  <si>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</si>
  <si>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</si>
  <si>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</si>
  <si>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</si>
  <si>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</si>
  <si>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</si>
  <si>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</si>
  <si>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</si>
  <si>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</si>
  <si>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 xml:space="preserve"> Odorant plants </t>
  </si>
  <si>
    <t>Depreciable direct assets in Table 3.1.1 or 3.2.1</t>
  </si>
  <si>
    <t xml:space="preserve">Depreciated book value method (Table 3.1.1 for Non-scheme pipelines) </t>
  </si>
  <si>
    <t xml:space="preserve">Regulatory Asset Base (Table 3.2.1 for Scheme pipelines) </t>
  </si>
  <si>
    <t>Table 3.3.1: Asset useful life</t>
  </si>
  <si>
    <t>Table 3.4.1: Assets impaired</t>
  </si>
  <si>
    <t>Table 3.4.2: Asset impairment reversals</t>
  </si>
  <si>
    <t>Table 3.5.1: Pipeline assets at cost</t>
  </si>
  <si>
    <t>Table 3.6.1: Shared supporting asset allocation</t>
  </si>
  <si>
    <t>Table 3.5.2: Shared assets at cost</t>
  </si>
  <si>
    <t>Table 4.1: Pipeline assets (RCM)</t>
  </si>
  <si>
    <t>3.3 Asset useful life</t>
  </si>
  <si>
    <t>3.4 Asset impairment</t>
  </si>
  <si>
    <t>3.5 Depreciation amortisation</t>
  </si>
  <si>
    <t>3.6 Shared supporting assets</t>
  </si>
  <si>
    <t>3.1 ASSET VALUE - DEPRICIATED BOOK VALUE METHOD (DBVM)</t>
  </si>
  <si>
    <t>4. ASSET VALUE - RECOVERED CAPITAL METHOD (RCM)</t>
  </si>
  <si>
    <t>3.2 ASSET VALUE - REGULATORY ASSET BASE (RAB)</t>
  </si>
  <si>
    <t>Asset value - Depreciated Book Value Method (DBVM) (For Non-scheme pipeline only)</t>
  </si>
  <si>
    <t>Asset value - Regulatory Asset Base (RAB) (For Scheme pipeline only)</t>
  </si>
  <si>
    <t>Please ensure allocation methodologies are explained in sufficient detail within the Basis of Preparation as required under the Guideline.</t>
  </si>
  <si>
    <t>Current year capitalised maintenance or improvements</t>
  </si>
  <si>
    <t>Asset allocation to pipeline service</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</si>
  <si>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</si>
  <si>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Backhaul service</t>
  </si>
  <si>
    <t>Park service</t>
  </si>
  <si>
    <t>Allocation to pipeline services</t>
  </si>
  <si>
    <t>2.2 Allocation to pipeline services</t>
  </si>
  <si>
    <t xml:space="preserve"> -</t>
  </si>
  <si>
    <t>Residual Value</t>
  </si>
  <si>
    <t>This template is for a non-indexed asset value derived from a regulator-determined initial regulatory asset base and capital expenditure with straight-line depreciation, for scheme pipelines.</t>
  </si>
  <si>
    <t>All numbers are expressed in $nominal.</t>
  </si>
  <si>
    <t xml:space="preserve"> Shared supporting assets (RAB)</t>
  </si>
  <si>
    <t>Depreciable direct assets in Table 3.1.1 or 3.2.1 (Including Land and easements)</t>
  </si>
  <si>
    <t>Profit and loss (Table 2.1.1)</t>
  </si>
  <si>
    <t>Value as at current reporting period</t>
  </si>
  <si>
    <t>36. Based on the average regulatory rate of return</t>
  </si>
  <si>
    <t>Based on the inferred rates of return under Depreciated book value method</t>
  </si>
  <si>
    <t>Based on the average regulatory rate of return</t>
  </si>
  <si>
    <t>Earnings before interest and tax (EBIT)</t>
  </si>
  <si>
    <t>Earnings before interest and tax (EBIT) by service</t>
  </si>
  <si>
    <t>This template is for a non-indexed asset value based on original construction costs and “depreciation” based on a notional cash-flow based “return of capital” approach, for non-scheme pipelines.</t>
  </si>
  <si>
    <t>Table 3.1.2:  Initial costs of pipeline assets (DBVM)</t>
  </si>
  <si>
    <t xml:space="preserve">This template is for a non-indexed asset value based on the Australian Accounting Standards, featuring allowances for acquisition costs and asset impairments, for non-scheme pipelines.
</t>
  </si>
  <si>
    <t>C16</t>
  </si>
  <si>
    <t>Column C, D, E, F, I, J, K</t>
  </si>
  <si>
    <t>change the format of cell C16 from “date” to “number”</t>
  </si>
  <si>
    <t>this cell currently displays # symbols instead of a number</t>
  </si>
  <si>
    <t>update the formula</t>
  </si>
  <si>
    <t>Table 2.1: Statement of pipeline revenue and expenses by service</t>
  </si>
  <si>
    <t>the restricted cell space precludes the complete display of service provider name</t>
  </si>
  <si>
    <t>D12-D21, F12-F21</t>
  </si>
  <si>
    <t xml:space="preserve">#N/A in the cells cause the sum formula in cells D22/F22 to return an error </t>
  </si>
  <si>
    <t>adjust column width to allow more characters</t>
  </si>
  <si>
    <t>APA Pipelines Investments (BWP) Pty Limited</t>
  </si>
  <si>
    <t>86 091 258 418</t>
  </si>
  <si>
    <t>Queensland</t>
  </si>
  <si>
    <t>Transmission</t>
  </si>
  <si>
    <t>Berwyndale Wallumbilla Pipeline</t>
  </si>
  <si>
    <t>Non-scheme pipeline</t>
  </si>
  <si>
    <t>No</t>
  </si>
  <si>
    <t>N/A</t>
  </si>
  <si>
    <t>Sydney</t>
  </si>
  <si>
    <t>NSW</t>
  </si>
  <si>
    <t>PO Box R41</t>
  </si>
  <si>
    <t>Royal Exchange</t>
  </si>
  <si>
    <t>Andrew Nairn (General Manager Investor Relations)</t>
  </si>
  <si>
    <t>+61 (03) 8416 2887</t>
  </si>
  <si>
    <t>APARegReporting@apa.com.au</t>
  </si>
  <si>
    <t>Information Technology</t>
  </si>
  <si>
    <t>Shared corporate operating expense</t>
  </si>
  <si>
    <t>Shared lease asset interest expense</t>
  </si>
  <si>
    <t>Shared lease asset depreciation</t>
  </si>
  <si>
    <t xml:space="preserve">Indefinite </t>
  </si>
  <si>
    <t>Various</t>
  </si>
  <si>
    <t>Yes</t>
  </si>
  <si>
    <t xml:space="preserve">Auction service </t>
  </si>
  <si>
    <t>https://aemo.com.au/energy-systems/gas/gas-bulletin-board-gbb/data-gbb/gas-flows</t>
  </si>
  <si>
    <t>Nameplate capacity</t>
  </si>
  <si>
    <t>2012</t>
  </si>
  <si>
    <t>Section 12</t>
  </si>
  <si>
    <t xml:space="preserve">Section 13 </t>
  </si>
  <si>
    <t>Section 15</t>
  </si>
  <si>
    <t>Section 17</t>
  </si>
  <si>
    <t>Section 19</t>
  </si>
  <si>
    <t>Section 21</t>
  </si>
  <si>
    <t>Section 22</t>
  </si>
  <si>
    <t>Section 23</t>
  </si>
  <si>
    <t>Section 24</t>
  </si>
  <si>
    <t>Section 25</t>
  </si>
  <si>
    <t>164 TJ Western-haul</t>
  </si>
  <si>
    <t>Section 11</t>
  </si>
  <si>
    <t>Section 16</t>
  </si>
  <si>
    <t>Level 10, 121 Castlereagh Street</t>
  </si>
  <si>
    <t>Weighted Average Statutory Accounting Useful life</t>
  </si>
  <si>
    <t>Section 21 &amp; Section 22</t>
  </si>
  <si>
    <t>Silver Springs Lateral Pipeline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</si>
</sst>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s>
  <fonts count="80" x14ac:knownFonts="1">
    <font>
      <sz val="10"/>
      <name val="Arial"/>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b/>
      <sz val="10"/>
      <color rgb="FFFFFFFF"/>
      <name val="Arial"/>
      <family val="2"/>
    </font>
    <font>
      <sz val="12"/>
      <color rgb="FFFFFFFF"/>
      <name val="Arial"/>
      <family val="2"/>
    </font>
    <font>
      <b/>
      <sz val="20"/>
      <color rgb="FF17415D"/>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10"/>
      <color theme="1"/>
      <name val="Century Gothic"/>
      <family val="2"/>
    </font>
    <font>
      <u/>
      <sz val="11"/>
      <color theme="10"/>
      <name val="Calibri"/>
      <family val="2"/>
      <scheme val="minor"/>
    </font>
    <font>
      <sz val="9"/>
      <name val="Calibri"/>
      <family val="2"/>
    </font>
  </fonts>
  <fills count="4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theme="4"/>
        <bgColor indexed="64"/>
      </patternFill>
    </fill>
  </fills>
  <borders count="4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style="thin">
        <color theme="4"/>
      </left>
      <right style="thin">
        <color theme="4"/>
      </right>
      <top style="thin">
        <color theme="4"/>
      </top>
      <bottom style="thin">
        <color theme="4"/>
      </bottom>
      <diagonal/>
    </border>
  </borders>
  <cellStyleXfs count="334">
    <xf numFmtId="0" fontId="0" fillId="0" borderId="0"/>
    <xf numFmtId="0" fontId="7" fillId="0" borderId="0" applyNumberFormat="0" applyFill="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164" fontId="7" fillId="13" borderId="0" applyNumberFormat="0" applyFont="0" applyBorder="0" applyAlignment="0">
      <alignment horizontal="right"/>
    </xf>
    <xf numFmtId="41" fontId="7" fillId="13" borderId="0" applyNumberFormat="0" applyFont="0" applyBorder="0" applyAlignment="0">
      <alignment horizontal="right"/>
    </xf>
    <xf numFmtId="41" fontId="36"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36"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41" fontId="7" fillId="13" borderId="0" applyNumberFormat="0" applyFont="0" applyBorder="0" applyAlignment="0">
      <alignment horizontal="right"/>
    </xf>
    <xf numFmtId="0" fontId="16" fillId="8" borderId="1" applyNumberFormat="0" applyAlignment="0" applyProtection="0"/>
    <xf numFmtId="0" fontId="16" fillId="9" borderId="1" applyNumberFormat="0" applyAlignment="0" applyProtection="0"/>
    <xf numFmtId="0" fontId="17" fillId="26" borderId="2" applyNumberFormat="0" applyAlignment="0" applyProtection="0"/>
    <xf numFmtId="0" fontId="17" fillId="27" borderId="2" applyNumberFormat="0" applyAlignment="0" applyProtection="0"/>
    <xf numFmtId="43" fontId="2"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41" fillId="0" borderId="0" applyFont="0" applyFill="0" applyBorder="0" applyAlignment="0" applyProtection="0"/>
    <xf numFmtId="43" fontId="7" fillId="0" borderId="0" applyFont="0" applyFill="0" applyBorder="0" applyAlignment="0" applyProtection="0"/>
    <xf numFmtId="44" fontId="41"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51" fillId="32" borderId="0">
      <alignment vertical="center"/>
    </xf>
    <xf numFmtId="49" fontId="51" fillId="33" borderId="0">
      <alignment vertical="center"/>
    </xf>
    <xf numFmtId="0" fontId="18" fillId="0" borderId="0" applyNumberForma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12" fillId="0" borderId="0" applyNumberFormat="0" applyFill="0" applyBorder="0" applyAlignment="0" applyProtection="0">
      <alignment vertical="top"/>
      <protection locked="0"/>
    </xf>
    <xf numFmtId="0" fontId="23" fillId="4" borderId="1" applyNumberFormat="0" applyAlignment="0" applyProtection="0"/>
    <xf numFmtId="0" fontId="23" fillId="5" borderId="1" applyNumberFormat="0" applyAlignment="0" applyProtection="0"/>
    <xf numFmtId="164" fontId="2" fillId="31" borderId="0" applyFont="0" applyBorder="0" applyAlignment="0">
      <alignment horizontal="right"/>
      <protection locked="0"/>
    </xf>
    <xf numFmtId="41" fontId="7" fillId="31" borderId="0" applyFont="0" applyBorder="0" applyAlignment="0">
      <alignment horizontal="right"/>
      <protection locked="0"/>
    </xf>
    <xf numFmtId="41" fontId="36"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36"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7" fillId="31" borderId="0" applyFont="0" applyBorder="0" applyAlignment="0">
      <alignment horizontal="right"/>
      <protection locked="0"/>
    </xf>
    <xf numFmtId="41" fontId="41" fillId="31" borderId="0" applyFont="0" applyBorder="0" applyAlignment="0">
      <alignment horizontal="right"/>
      <protection locked="0"/>
    </xf>
    <xf numFmtId="41" fontId="7" fillId="31" borderId="0" applyFont="0" applyBorder="0" applyAlignment="0">
      <alignment horizontal="right"/>
      <protection locked="0"/>
    </xf>
    <xf numFmtId="165" fontId="7" fillId="30" borderId="0" applyFont="0" applyBorder="0">
      <alignment horizontal="right"/>
      <protection locked="0"/>
    </xf>
    <xf numFmtId="165" fontId="36" fillId="30" borderId="0" applyFont="0" applyBorder="0">
      <alignment horizontal="right"/>
      <protection locked="0"/>
    </xf>
    <xf numFmtId="165" fontId="7" fillId="30" borderId="0" applyFont="0" applyBorder="0">
      <alignment horizontal="right"/>
      <protection locked="0"/>
    </xf>
    <xf numFmtId="164" fontId="7" fillId="7" borderId="0" applyFont="0" applyBorder="0">
      <alignment horizontal="right"/>
      <protection locked="0"/>
    </xf>
    <xf numFmtId="41" fontId="7" fillId="7" borderId="0" applyFont="0" applyBorder="0">
      <alignment horizontal="right"/>
      <protection locked="0"/>
    </xf>
    <xf numFmtId="41" fontId="36"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36"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41" fontId="7" fillId="7" borderId="0" applyFont="0" applyBorder="0">
      <alignment horizontal="right"/>
      <protection locked="0"/>
    </xf>
    <xf numFmtId="0" fontId="24" fillId="0" borderId="6" applyNumberFormat="0" applyFill="0" applyAlignment="0" applyProtection="0"/>
    <xf numFmtId="0" fontId="25" fillId="10" borderId="0" applyNumberFormat="0" applyBorder="0" applyAlignment="0" applyProtection="0"/>
    <xf numFmtId="0" fontId="25" fillId="11" borderId="0" applyNumberFormat="0" applyBorder="0" applyAlignment="0" applyProtection="0"/>
    <xf numFmtId="0" fontId="52" fillId="0" borderId="0"/>
    <xf numFmtId="0" fontId="35" fillId="0" borderId="0"/>
    <xf numFmtId="0" fontId="53" fillId="0" borderId="0"/>
    <xf numFmtId="0" fontId="7" fillId="0" borderId="0"/>
    <xf numFmtId="0" fontId="36" fillId="0" borderId="0"/>
    <xf numFmtId="0" fontId="7" fillId="0" borderId="0"/>
    <xf numFmtId="0" fontId="7" fillId="0" borderId="0"/>
    <xf numFmtId="0" fontId="7" fillId="0" borderId="0" applyNumberFormat="0" applyFill="0" applyBorder="0" applyAlignment="0" applyProtection="0"/>
    <xf numFmtId="0" fontId="54" fillId="0" borderId="0"/>
    <xf numFmtId="0" fontId="53" fillId="0" borderId="0"/>
    <xf numFmtId="0" fontId="2" fillId="9" borderId="0"/>
    <xf numFmtId="0" fontId="2" fillId="9" borderId="0"/>
    <xf numFmtId="0" fontId="2" fillId="9" borderId="0"/>
    <xf numFmtId="0" fontId="2" fillId="0" borderId="0"/>
    <xf numFmtId="0" fontId="2" fillId="9" borderId="0"/>
    <xf numFmtId="0" fontId="7" fillId="9" borderId="0"/>
    <xf numFmtId="0" fontId="2" fillId="9" borderId="0"/>
    <xf numFmtId="0" fontId="2" fillId="9" borderId="0"/>
    <xf numFmtId="0" fontId="36" fillId="9" borderId="0"/>
    <xf numFmtId="0" fontId="2" fillId="9" borderId="0"/>
    <xf numFmtId="0" fontId="41" fillId="9" borderId="0"/>
    <xf numFmtId="0" fontId="7" fillId="6" borderId="7" applyNumberFormat="0" applyFont="0" applyAlignment="0" applyProtection="0"/>
    <xf numFmtId="0" fontId="36" fillId="7" borderId="7" applyNumberFormat="0" applyFont="0" applyAlignment="0" applyProtection="0"/>
    <xf numFmtId="0" fontId="7" fillId="7" borderId="7" applyNumberFormat="0" applyFont="0" applyAlignment="0" applyProtection="0"/>
    <xf numFmtId="0" fontId="26" fillId="8" borderId="8" applyNumberFormat="0" applyAlignment="0" applyProtection="0"/>
    <xf numFmtId="0" fontId="26" fillId="9" borderId="8" applyNumberFormat="0" applyAlignment="0" applyProtection="0"/>
    <xf numFmtId="9" fontId="2" fillId="0" borderId="0" applyFont="0" applyFill="0" applyBorder="0" applyAlignment="0" applyProtection="0"/>
    <xf numFmtId="9" fontId="7" fillId="0" borderId="0" applyFont="0" applyFill="0" applyBorder="0" applyAlignment="0" applyProtection="0"/>
    <xf numFmtId="9" fontId="4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 fillId="0" borderId="0"/>
    <xf numFmtId="0" fontId="7" fillId="0" borderId="0"/>
    <xf numFmtId="0" fontId="36" fillId="0" borderId="0"/>
    <xf numFmtId="0" fontId="7" fillId="0" borderId="0"/>
    <xf numFmtId="0" fontId="36" fillId="0" borderId="0"/>
    <xf numFmtId="0" fontId="7" fillId="0" borderId="0"/>
    <xf numFmtId="0" fontId="41" fillId="0" borderId="0"/>
    <xf numFmtId="0" fontId="7" fillId="0" borderId="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41" fontId="2" fillId="13" borderId="0" applyNumberFormat="0" applyFont="0" applyBorder="0" applyAlignment="0">
      <alignment horizontal="right"/>
    </xf>
    <xf numFmtId="41" fontId="2" fillId="13" borderId="0" applyNumberFormat="0" applyFont="0" applyBorder="0" applyAlignment="0">
      <alignment horizontal="right"/>
    </xf>
    <xf numFmtId="41" fontId="2" fillId="13" borderId="0" applyNumberFormat="0" applyFont="0" applyBorder="0" applyAlignment="0">
      <alignment horizontal="right"/>
    </xf>
    <xf numFmtId="41" fontId="2" fillId="13" borderId="0" applyNumberFormat="0" applyFont="0" applyBorder="0" applyAlignment="0">
      <alignment horizontal="right"/>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31" borderId="0" applyFont="0" applyBorder="0" applyAlignment="0">
      <alignment horizontal="right"/>
      <protection locked="0"/>
    </xf>
    <xf numFmtId="41" fontId="2" fillId="31" borderId="0" applyFont="0" applyBorder="0" applyAlignment="0">
      <alignment horizontal="right"/>
      <protection locked="0"/>
    </xf>
    <xf numFmtId="41" fontId="2" fillId="31" borderId="0" applyFont="0" applyBorder="0" applyAlignment="0">
      <alignment horizontal="right"/>
      <protection locked="0"/>
    </xf>
    <xf numFmtId="41" fontId="2" fillId="31" borderId="0" applyFont="0" applyBorder="0" applyAlignment="0">
      <alignment horizontal="right"/>
      <protection locked="0"/>
    </xf>
    <xf numFmtId="165" fontId="2" fillId="30" borderId="0" applyFont="0" applyBorder="0">
      <alignment horizontal="right"/>
      <protection locked="0"/>
    </xf>
    <xf numFmtId="165" fontId="2" fillId="30" borderId="0" applyFont="0" applyBorder="0">
      <alignment horizontal="right"/>
      <protection locked="0"/>
    </xf>
    <xf numFmtId="41" fontId="2" fillId="7" borderId="0" applyFont="0" applyBorder="0">
      <alignment horizontal="right"/>
      <protection locked="0"/>
    </xf>
    <xf numFmtId="41" fontId="2" fillId="7" borderId="0" applyFont="0" applyBorder="0">
      <alignment horizontal="right"/>
      <protection locked="0"/>
    </xf>
    <xf numFmtId="41" fontId="2" fillId="7" borderId="0" applyFont="0" applyBorder="0">
      <alignment horizontal="right"/>
      <protection locked="0"/>
    </xf>
    <xf numFmtId="41" fontId="2" fillId="7" borderId="0" applyFont="0" applyBorder="0">
      <alignment horizontal="right"/>
      <protection locked="0"/>
    </xf>
    <xf numFmtId="0" fontId="2" fillId="0" borderId="0"/>
    <xf numFmtId="1" fontId="70" fillId="0" borderId="0"/>
    <xf numFmtId="0" fontId="2" fillId="6" borderId="7" applyNumberFormat="0" applyFont="0" applyAlignment="0" applyProtection="0"/>
    <xf numFmtId="0" fontId="2" fillId="7" borderId="7" applyNumberFormat="0" applyFont="0" applyAlignment="0" applyProtection="0"/>
    <xf numFmtId="0" fontId="2" fillId="0" borderId="0"/>
    <xf numFmtId="0" fontId="2" fillId="0" borderId="0"/>
    <xf numFmtId="0" fontId="2" fillId="0" borderId="0"/>
    <xf numFmtId="0" fontId="74" fillId="42" borderId="44" applyNumberFormat="0" applyProtection="0"/>
    <xf numFmtId="0" fontId="75" fillId="0" borderId="44" applyNumberFormat="0" applyFill="0" applyProtection="0"/>
    <xf numFmtId="0" fontId="76" fillId="0" borderId="44" applyNumberFormat="0" applyFill="0" applyProtection="0"/>
    <xf numFmtId="9"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0" fontId="50"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77" fillId="0" borderId="0"/>
    <xf numFmtId="0" fontId="54"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44" fontId="2" fillId="0" borderId="0" applyFont="0" applyFill="0" applyBorder="0" applyAlignment="0" applyProtection="0"/>
    <xf numFmtId="43" fontId="2" fillId="0" borderId="0" applyFont="0" applyFill="0" applyBorder="0" applyAlignment="0" applyProtection="0"/>
    <xf numFmtId="0" fontId="1" fillId="0" borderId="0"/>
    <xf numFmtId="0" fontId="78"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43" fontId="50"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79" fillId="0" borderId="0"/>
  </cellStyleXfs>
  <cellXfs count="442">
    <xf numFmtId="0" fontId="0" fillId="0" borderId="0" xfId="0"/>
    <xf numFmtId="0" fontId="10" fillId="9" borderId="0" xfId="228" applyFont="1"/>
    <xf numFmtId="0" fontId="11" fillId="9" borderId="0" xfId="228" applyFont="1" applyAlignment="1">
      <alignment vertical="center"/>
    </xf>
    <xf numFmtId="0" fontId="10" fillId="9" borderId="0" xfId="228" applyFont="1" applyAlignment="1">
      <alignment vertical="center"/>
    </xf>
    <xf numFmtId="0" fontId="2" fillId="9" borderId="0" xfId="232"/>
    <xf numFmtId="0" fontId="0" fillId="0" borderId="0" xfId="0" applyAlignment="1">
      <alignment horizontal="center" vertical="center"/>
    </xf>
    <xf numFmtId="0" fontId="7" fillId="0" borderId="0" xfId="0" applyFont="1"/>
    <xf numFmtId="43" fontId="0" fillId="0" borderId="0" xfId="0" applyNumberFormat="1"/>
    <xf numFmtId="164" fontId="34" fillId="13" borderId="10" xfId="78" applyNumberFormat="1" applyFont="1" applyFill="1" applyBorder="1" applyAlignment="1"/>
    <xf numFmtId="0" fontId="2" fillId="9" borderId="0" xfId="232" applyProtection="1">
      <protection locked="0"/>
    </xf>
    <xf numFmtId="164" fontId="7" fillId="13" borderId="10" xfId="78" applyNumberFormat="1" applyFont="1" applyFill="1" applyBorder="1" applyAlignment="1" applyProtection="1">
      <alignment horizontal="right"/>
    </xf>
    <xf numFmtId="164" fontId="4" fillId="13" borderId="10" xfId="78" applyNumberFormat="1" applyFont="1" applyFill="1" applyBorder="1" applyAlignment="1" applyProtection="1">
      <alignment horizontal="right"/>
    </xf>
    <xf numFmtId="10" fontId="4" fillId="13" borderId="10" xfId="235" applyNumberFormat="1" applyFont="1" applyFill="1" applyBorder="1" applyAlignment="1">
      <alignment horizontal="right"/>
    </xf>
    <xf numFmtId="168" fontId="7" fillId="34" borderId="10" xfId="235" applyNumberFormat="1" applyFont="1" applyFill="1" applyBorder="1"/>
    <xf numFmtId="164" fontId="7" fillId="34" borderId="10" xfId="78" applyNumberFormat="1" applyFont="1" applyFill="1" applyBorder="1" applyAlignment="1" applyProtection="1">
      <alignment horizontal="right"/>
    </xf>
    <xf numFmtId="167" fontId="9" fillId="28" borderId="0" xfId="0" applyNumberFormat="1" applyFont="1" applyFill="1" applyAlignment="1">
      <alignment horizontal="left" vertical="center" wrapText="1"/>
    </xf>
    <xf numFmtId="169" fontId="4" fillId="13" borderId="10" xfId="237" applyNumberFormat="1" applyFont="1" applyFill="1" applyBorder="1" applyAlignment="1">
      <alignment horizontal="right"/>
    </xf>
    <xf numFmtId="166" fontId="4" fillId="13" borderId="10" xfId="237" applyNumberFormat="1" applyFont="1" applyFill="1" applyBorder="1" applyAlignment="1">
      <alignment horizontal="right"/>
    </xf>
    <xf numFmtId="43" fontId="4" fillId="13" borderId="10" xfId="78" applyFont="1" applyFill="1" applyBorder="1" applyAlignment="1" applyProtection="1">
      <alignment horizontal="right"/>
    </xf>
    <xf numFmtId="49" fontId="9" fillId="35" borderId="10" xfId="232" applyNumberFormat="1" applyFont="1" applyFill="1" applyBorder="1" applyAlignment="1">
      <alignment horizontal="left"/>
    </xf>
    <xf numFmtId="49" fontId="55" fillId="35" borderId="10" xfId="232" applyNumberFormat="1" applyFont="1" applyFill="1" applyBorder="1" applyAlignment="1">
      <alignment horizontal="left"/>
    </xf>
    <xf numFmtId="2" fontId="32" fillId="35" borderId="11" xfId="233" applyNumberFormat="1" applyFont="1" applyFill="1" applyBorder="1" applyAlignment="1">
      <alignment horizontal="left" vertical="center" wrapText="1"/>
    </xf>
    <xf numFmtId="167" fontId="9" fillId="35" borderId="10" xfId="232" quotePrefix="1" applyNumberFormat="1" applyFont="1" applyFill="1" applyBorder="1" applyAlignment="1">
      <alignment vertical="center" wrapText="1"/>
    </xf>
    <xf numFmtId="49" fontId="32" fillId="35" borderId="10" xfId="232" applyNumberFormat="1" applyFont="1" applyFill="1" applyBorder="1" applyAlignment="1">
      <alignment horizontal="center" vertical="center" wrapText="1"/>
    </xf>
    <xf numFmtId="167" fontId="38" fillId="35" borderId="10" xfId="232" quotePrefix="1" applyNumberFormat="1" applyFont="1" applyFill="1" applyBorder="1" applyAlignment="1">
      <alignment horizontal="left" vertical="center" wrapText="1"/>
    </xf>
    <xf numFmtId="167" fontId="55" fillId="35" borderId="10" xfId="232" quotePrefix="1" applyNumberFormat="1" applyFont="1" applyFill="1" applyBorder="1" applyAlignment="1">
      <alignment horizontal="left" vertical="center" wrapText="1" indent="1"/>
    </xf>
    <xf numFmtId="167" fontId="56" fillId="35" borderId="10" xfId="232" quotePrefix="1" applyNumberFormat="1" applyFont="1" applyFill="1" applyBorder="1" applyAlignment="1">
      <alignment horizontal="left" vertical="center" wrapText="1"/>
    </xf>
    <xf numFmtId="49" fontId="55" fillId="35" borderId="10" xfId="232" applyNumberFormat="1" applyFont="1" applyFill="1" applyBorder="1" applyAlignment="1">
      <alignment horizontal="left" indent="1"/>
    </xf>
    <xf numFmtId="49" fontId="55" fillId="35" borderId="10" xfId="236" applyNumberFormat="1" applyFont="1" applyFill="1" applyBorder="1" applyAlignment="1">
      <alignment horizontal="left" vertical="center" wrapText="1" indent="1"/>
    </xf>
    <xf numFmtId="167" fontId="32" fillId="35" borderId="10" xfId="232" quotePrefix="1" applyNumberFormat="1" applyFont="1" applyFill="1" applyBorder="1" applyAlignment="1">
      <alignment horizontal="center" vertical="center" wrapText="1"/>
    </xf>
    <xf numFmtId="2" fontId="32" fillId="35" borderId="10" xfId="232" applyNumberFormat="1" applyFont="1" applyFill="1" applyBorder="1" applyAlignment="1">
      <alignment horizontal="center" vertical="center" wrapText="1"/>
    </xf>
    <xf numFmtId="2" fontId="9" fillId="35" borderId="10" xfId="78" applyNumberFormat="1" applyFont="1" applyFill="1" applyBorder="1" applyAlignment="1" applyProtection="1">
      <alignment horizontal="center"/>
    </xf>
    <xf numFmtId="49" fontId="9" fillId="35" borderId="10" xfId="232" applyNumberFormat="1" applyFont="1" applyFill="1" applyBorder="1"/>
    <xf numFmtId="49" fontId="32" fillId="35" borderId="10" xfId="232" applyNumberFormat="1" applyFont="1" applyFill="1" applyBorder="1" applyAlignment="1">
      <alignment horizontal="left"/>
    </xf>
    <xf numFmtId="49" fontId="9" fillId="35" borderId="10" xfId="232" applyNumberFormat="1" applyFont="1" applyFill="1" applyBorder="1" applyAlignment="1">
      <alignment horizontal="left" wrapText="1"/>
    </xf>
    <xf numFmtId="49" fontId="32" fillId="35" borderId="12" xfId="232" applyNumberFormat="1" applyFont="1" applyFill="1" applyBorder="1" applyAlignment="1">
      <alignment horizontal="center" vertical="center" wrapText="1"/>
    </xf>
    <xf numFmtId="49" fontId="32" fillId="35" borderId="13" xfId="232" applyNumberFormat="1" applyFont="1" applyFill="1" applyBorder="1" applyAlignment="1">
      <alignment horizontal="center" vertical="center" wrapText="1"/>
    </xf>
    <xf numFmtId="49" fontId="32" fillId="35" borderId="10" xfId="235" applyNumberFormat="1" applyFont="1" applyFill="1" applyBorder="1" applyAlignment="1">
      <alignment horizontal="center" vertical="center" wrapText="1"/>
    </xf>
    <xf numFmtId="164" fontId="32" fillId="35" borderId="10" xfId="235" applyNumberFormat="1" applyFont="1" applyFill="1" applyBorder="1" applyAlignment="1">
      <alignment horizontal="right" vertical="center" wrapText="1"/>
    </xf>
    <xf numFmtId="49" fontId="32" fillId="35" borderId="10" xfId="235" applyNumberFormat="1" applyFont="1" applyFill="1" applyBorder="1" applyAlignment="1">
      <alignment horizontal="center"/>
    </xf>
    <xf numFmtId="166" fontId="9" fillId="35" borderId="14" xfId="78" applyNumberFormat="1" applyFont="1" applyFill="1" applyBorder="1" applyAlignment="1" applyProtection="1">
      <alignment horizontal="right" vertical="center"/>
    </xf>
    <xf numFmtId="49" fontId="32" fillId="35" borderId="10" xfId="235" applyNumberFormat="1" applyFont="1" applyFill="1" applyBorder="1" applyAlignment="1">
      <alignment horizontal="right" vertical="center" wrapText="1"/>
    </xf>
    <xf numFmtId="49" fontId="32" fillId="35" borderId="14" xfId="235" applyNumberFormat="1" applyFont="1" applyFill="1" applyBorder="1" applyAlignment="1">
      <alignment horizontal="center"/>
    </xf>
    <xf numFmtId="49" fontId="9" fillId="35" borderId="10" xfId="232" applyNumberFormat="1" applyFont="1" applyFill="1" applyBorder="1" applyAlignment="1">
      <alignment wrapText="1"/>
    </xf>
    <xf numFmtId="167" fontId="32" fillId="35" borderId="10" xfId="233" quotePrefix="1" applyNumberFormat="1" applyFont="1" applyFill="1" applyBorder="1" applyAlignment="1">
      <alignment horizontal="center" vertical="center" wrapText="1"/>
    </xf>
    <xf numFmtId="2" fontId="32" fillId="35" borderId="11" xfId="233" applyNumberFormat="1" applyFont="1" applyFill="1" applyBorder="1" applyAlignment="1">
      <alignment horizontal="center" vertical="center" wrapText="1"/>
    </xf>
    <xf numFmtId="2" fontId="57" fillId="35" borderId="11" xfId="233" applyNumberFormat="1" applyFont="1" applyFill="1" applyBorder="1" applyAlignment="1">
      <alignment horizontal="left" vertical="center" wrapText="1"/>
    </xf>
    <xf numFmtId="41" fontId="9" fillId="35" borderId="15" xfId="233" applyNumberFormat="1" applyFont="1" applyFill="1" applyBorder="1" applyAlignment="1">
      <alignment horizontal="left" indent="1"/>
    </xf>
    <xf numFmtId="41" fontId="6" fillId="35" borderId="15" xfId="233" applyNumberFormat="1" applyFont="1" applyFill="1" applyBorder="1"/>
    <xf numFmtId="164" fontId="32" fillId="35" borderId="10" xfId="235" applyNumberFormat="1" applyFont="1" applyFill="1" applyBorder="1" applyAlignment="1">
      <alignment horizontal="center" vertical="center" wrapText="1"/>
    </xf>
    <xf numFmtId="167" fontId="32" fillId="35" borderId="10" xfId="237" applyNumberFormat="1" applyFont="1" applyFill="1" applyBorder="1" applyAlignment="1">
      <alignment horizontal="center" vertical="center" wrapText="1"/>
    </xf>
    <xf numFmtId="49" fontId="32" fillId="35" borderId="10" xfId="237" applyNumberFormat="1" applyFont="1" applyFill="1" applyBorder="1" applyAlignment="1">
      <alignment horizontal="center" vertical="center" wrapText="1"/>
    </xf>
    <xf numFmtId="49" fontId="57" fillId="35" borderId="10" xfId="237" applyNumberFormat="1" applyFont="1" applyFill="1" applyBorder="1" applyAlignment="1">
      <alignment horizontal="center" vertical="center" wrapText="1"/>
    </xf>
    <xf numFmtId="166" fontId="9" fillId="35" borderId="14" xfId="78" applyNumberFormat="1" applyFont="1" applyFill="1" applyBorder="1" applyAlignment="1" applyProtection="1">
      <alignment horizontal="center" vertical="center"/>
    </xf>
    <xf numFmtId="166" fontId="55" fillId="35" borderId="14" xfId="78" applyNumberFormat="1" applyFont="1" applyFill="1" applyBorder="1" applyAlignment="1" applyProtection="1">
      <alignment horizontal="center" vertical="center"/>
    </xf>
    <xf numFmtId="2" fontId="55" fillId="35" borderId="14" xfId="78" applyNumberFormat="1" applyFont="1" applyFill="1" applyBorder="1" applyAlignment="1" applyProtection="1">
      <alignment horizontal="center" vertical="center"/>
    </xf>
    <xf numFmtId="1" fontId="9" fillId="35" borderId="14" xfId="78" applyNumberFormat="1" applyFont="1" applyFill="1" applyBorder="1" applyAlignment="1" applyProtection="1">
      <alignment horizontal="center" vertical="center"/>
    </xf>
    <xf numFmtId="49" fontId="32" fillId="35" borderId="10" xfId="237" applyNumberFormat="1" applyFont="1" applyFill="1" applyBorder="1" applyAlignment="1">
      <alignment horizontal="left" vertical="center" wrapText="1"/>
    </xf>
    <xf numFmtId="167" fontId="9" fillId="35" borderId="10" xfId="0" applyNumberFormat="1" applyFont="1" applyFill="1" applyBorder="1" applyAlignment="1">
      <alignment horizontal="left" vertical="center" wrapText="1"/>
    </xf>
    <xf numFmtId="49" fontId="9" fillId="35" borderId="10" xfId="237" applyNumberFormat="1" applyFont="1" applyFill="1" applyBorder="1" applyAlignment="1">
      <alignment horizontal="left" vertical="center" wrapText="1"/>
    </xf>
    <xf numFmtId="49" fontId="55" fillId="35" borderId="10" xfId="237" applyNumberFormat="1" applyFont="1" applyFill="1" applyBorder="1" applyAlignment="1">
      <alignment horizontal="left" vertical="center" wrapText="1"/>
    </xf>
    <xf numFmtId="166" fontId="58" fillId="35" borderId="10" xfId="237" applyNumberFormat="1" applyFont="1" applyFill="1" applyBorder="1" applyAlignment="1">
      <alignment horizontal="left"/>
    </xf>
    <xf numFmtId="0" fontId="7" fillId="36" borderId="16" xfId="232" applyFont="1" applyFill="1" applyBorder="1" applyAlignment="1" applyProtection="1">
      <alignment horizontal="center"/>
      <protection locked="0"/>
    </xf>
    <xf numFmtId="166" fontId="7" fillId="36" borderId="16" xfId="232" applyNumberFormat="1" applyFont="1" applyFill="1" applyBorder="1" applyAlignment="1" applyProtection="1">
      <alignment horizontal="center"/>
      <protection locked="0"/>
    </xf>
    <xf numFmtId="166" fontId="7" fillId="36" borderId="10" xfId="232" applyNumberFormat="1" applyFont="1" applyFill="1" applyBorder="1" applyAlignment="1" applyProtection="1">
      <alignment horizontal="center"/>
      <protection locked="0"/>
    </xf>
    <xf numFmtId="166" fontId="7" fillId="36" borderId="10" xfId="232" applyNumberFormat="1" applyFont="1" applyFill="1" applyBorder="1" applyAlignment="1" applyProtection="1">
      <alignment horizontal="left" indent="1"/>
      <protection locked="0"/>
    </xf>
    <xf numFmtId="164" fontId="7" fillId="36" borderId="10" xfId="78" applyNumberFormat="1" applyFont="1" applyFill="1" applyBorder="1" applyAlignment="1" applyProtection="1">
      <alignment horizontal="right"/>
      <protection locked="0"/>
    </xf>
    <xf numFmtId="166" fontId="7" fillId="36" borderId="10" xfId="232" applyNumberFormat="1" applyFont="1" applyFill="1" applyBorder="1" applyAlignment="1" applyProtection="1">
      <alignment horizontal="right"/>
      <protection locked="0"/>
    </xf>
    <xf numFmtId="164" fontId="7" fillId="36" borderId="16" xfId="232" applyNumberFormat="1" applyFont="1" applyFill="1" applyBorder="1" applyAlignment="1" applyProtection="1">
      <alignment horizontal="right"/>
      <protection locked="0"/>
    </xf>
    <xf numFmtId="166" fontId="7" fillId="36" borderId="16" xfId="232" applyNumberFormat="1" applyFont="1" applyFill="1" applyBorder="1" applyAlignment="1" applyProtection="1">
      <alignment horizontal="right"/>
      <protection locked="0"/>
    </xf>
    <xf numFmtId="0" fontId="7" fillId="36" borderId="10" xfId="235" applyFont="1" applyFill="1" applyBorder="1" applyProtection="1">
      <protection locked="0"/>
    </xf>
    <xf numFmtId="164" fontId="7" fillId="36" borderId="10" xfId="235" applyNumberFormat="1" applyFont="1" applyFill="1" applyBorder="1" applyAlignment="1" applyProtection="1">
      <alignment horizontal="right"/>
      <protection locked="0"/>
    </xf>
    <xf numFmtId="10" fontId="7" fillId="36" borderId="10" xfId="235" applyNumberFormat="1" applyFont="1" applyFill="1" applyBorder="1" applyAlignment="1" applyProtection="1">
      <alignment horizontal="right"/>
      <protection locked="0"/>
    </xf>
    <xf numFmtId="168" fontId="7" fillId="36" borderId="10" xfId="235" applyNumberFormat="1" applyFont="1" applyFill="1" applyBorder="1" applyProtection="1">
      <protection locked="0"/>
    </xf>
    <xf numFmtId="14" fontId="7" fillId="36" borderId="10" xfId="235" applyNumberFormat="1" applyFont="1" applyFill="1" applyBorder="1" applyAlignment="1" applyProtection="1">
      <alignment horizontal="center"/>
      <protection locked="0"/>
    </xf>
    <xf numFmtId="169" fontId="7" fillId="36" borderId="16" xfId="232" applyNumberFormat="1" applyFont="1" applyFill="1" applyBorder="1" applyAlignment="1" applyProtection="1">
      <alignment horizontal="right"/>
      <protection locked="0"/>
    </xf>
    <xf numFmtId="166" fontId="7" fillId="36" borderId="10" xfId="237" applyNumberFormat="1" applyFont="1" applyFill="1" applyBorder="1" applyAlignment="1" applyProtection="1">
      <alignment horizontal="right"/>
      <protection locked="0"/>
    </xf>
    <xf numFmtId="169" fontId="7" fillId="36" borderId="10" xfId="237" applyNumberFormat="1" applyFont="1" applyFill="1" applyBorder="1" applyAlignment="1" applyProtection="1">
      <alignment horizontal="right"/>
      <protection locked="0"/>
    </xf>
    <xf numFmtId="1" fontId="7" fillId="36" borderId="10" xfId="237" applyNumberFormat="1" applyFont="1" applyFill="1" applyBorder="1" applyAlignment="1" applyProtection="1">
      <alignment horizontal="right"/>
      <protection locked="0"/>
    </xf>
    <xf numFmtId="164" fontId="7" fillId="36" borderId="10" xfId="237" applyNumberFormat="1" applyFont="1" applyFill="1" applyBorder="1" applyAlignment="1" applyProtection="1">
      <alignment horizontal="right"/>
      <protection locked="0"/>
    </xf>
    <xf numFmtId="14" fontId="7" fillId="36" borderId="10" xfId="235" applyNumberFormat="1" applyFont="1" applyFill="1" applyBorder="1" applyProtection="1">
      <protection locked="0"/>
    </xf>
    <xf numFmtId="164" fontId="7" fillId="36" borderId="10" xfId="235" applyNumberFormat="1" applyFont="1" applyFill="1" applyBorder="1" applyProtection="1">
      <protection locked="0"/>
    </xf>
    <xf numFmtId="167" fontId="39" fillId="37" borderId="0" xfId="0" applyNumberFormat="1" applyFont="1" applyFill="1" applyAlignment="1">
      <alignment horizontal="left" vertical="center" wrapText="1"/>
    </xf>
    <xf numFmtId="10" fontId="34" fillId="13" borderId="10" xfId="244" applyNumberFormat="1" applyFont="1" applyFill="1" applyBorder="1" applyAlignment="1">
      <alignment horizontal="right"/>
    </xf>
    <xf numFmtId="41" fontId="9" fillId="37" borderId="10" xfId="233" applyNumberFormat="1" applyFont="1" applyFill="1" applyBorder="1"/>
    <xf numFmtId="41" fontId="57" fillId="37" borderId="10" xfId="233" applyNumberFormat="1" applyFont="1" applyFill="1" applyBorder="1" applyAlignment="1">
      <alignment horizontal="left"/>
    </xf>
    <xf numFmtId="41" fontId="32" fillId="37" borderId="10" xfId="233" applyNumberFormat="1" applyFont="1" applyFill="1" applyBorder="1"/>
    <xf numFmtId="49" fontId="9" fillId="37" borderId="10" xfId="232" applyNumberFormat="1" applyFont="1" applyFill="1" applyBorder="1"/>
    <xf numFmtId="167" fontId="9" fillId="37" borderId="0" xfId="0" applyNumberFormat="1" applyFont="1" applyFill="1" applyAlignment="1">
      <alignment horizontal="left" vertical="center" wrapText="1"/>
    </xf>
    <xf numFmtId="49" fontId="32" fillId="35" borderId="10" xfId="235" applyNumberFormat="1" applyFont="1" applyFill="1" applyBorder="1" applyAlignment="1">
      <alignment horizontal="center" vertical="center"/>
    </xf>
    <xf numFmtId="164" fontId="7" fillId="38" borderId="10" xfId="78" applyNumberFormat="1" applyFont="1" applyFill="1" applyBorder="1" applyAlignment="1" applyProtection="1">
      <alignment horizontal="right"/>
    </xf>
    <xf numFmtId="0" fontId="51" fillId="32" borderId="0" xfId="154">
      <alignment vertical="center"/>
    </xf>
    <xf numFmtId="0" fontId="43" fillId="0" borderId="0" xfId="0" applyFont="1" applyAlignment="1">
      <alignment horizontal="right" indent="2"/>
    </xf>
    <xf numFmtId="0" fontId="43" fillId="0" borderId="0" xfId="0" applyFont="1"/>
    <xf numFmtId="0" fontId="43" fillId="0" borderId="17" xfId="0" applyFont="1" applyBorder="1"/>
    <xf numFmtId="0" fontId="43" fillId="0" borderId="18" xfId="0" applyFont="1" applyBorder="1"/>
    <xf numFmtId="49" fontId="59" fillId="37" borderId="0" xfId="155" applyFont="1" applyFill="1">
      <alignment vertical="center"/>
    </xf>
    <xf numFmtId="14" fontId="59" fillId="37" borderId="0" xfId="232" applyNumberFormat="1" applyFont="1" applyFill="1" applyAlignment="1">
      <alignment horizontal="left"/>
    </xf>
    <xf numFmtId="14" fontId="59" fillId="37" borderId="0" xfId="232" applyNumberFormat="1" applyFont="1" applyFill="1" applyAlignment="1">
      <alignment horizontal="right"/>
    </xf>
    <xf numFmtId="14" fontId="51" fillId="37" borderId="0" xfId="232" applyNumberFormat="1" applyFont="1" applyFill="1" applyAlignment="1">
      <alignment horizontal="right"/>
    </xf>
    <xf numFmtId="0" fontId="0" fillId="9" borderId="0" xfId="232" applyFont="1"/>
    <xf numFmtId="167" fontId="9" fillId="35" borderId="10" xfId="0" applyNumberFormat="1" applyFont="1" applyFill="1" applyBorder="1" applyAlignment="1">
      <alignment horizontal="center" vertical="center" wrapText="1"/>
    </xf>
    <xf numFmtId="167" fontId="32" fillId="35" borderId="10" xfId="0" applyNumberFormat="1" applyFont="1" applyFill="1" applyBorder="1" applyAlignment="1">
      <alignment horizontal="center" vertical="center" wrapText="1"/>
    </xf>
    <xf numFmtId="167" fontId="58" fillId="35" borderId="10" xfId="0" applyNumberFormat="1" applyFont="1" applyFill="1" applyBorder="1" applyAlignment="1">
      <alignment horizontal="center" vertical="center" wrapText="1"/>
    </xf>
    <xf numFmtId="0" fontId="7" fillId="36" borderId="10" xfId="232" applyFont="1" applyFill="1" applyBorder="1" applyAlignment="1" applyProtection="1">
      <alignment horizontal="center"/>
      <protection locked="0"/>
    </xf>
    <xf numFmtId="0" fontId="0" fillId="39" borderId="0" xfId="0" applyFill="1"/>
    <xf numFmtId="0" fontId="5" fillId="39" borderId="0" xfId="0" applyFont="1" applyFill="1"/>
    <xf numFmtId="49" fontId="32" fillId="35" borderId="10" xfId="232" applyNumberFormat="1" applyFont="1" applyFill="1" applyBorder="1" applyAlignment="1">
      <alignment horizontal="left" vertical="center" wrapText="1"/>
    </xf>
    <xf numFmtId="2" fontId="9" fillId="35" borderId="0" xfId="78" applyNumberFormat="1" applyFont="1" applyFill="1" applyBorder="1" applyAlignment="1" applyProtection="1">
      <alignment horizontal="center"/>
    </xf>
    <xf numFmtId="49" fontId="9" fillId="35" borderId="10" xfId="233" applyNumberFormat="1" applyFont="1" applyFill="1" applyBorder="1" applyAlignment="1">
      <alignment horizontal="center" vertical="center"/>
    </xf>
    <xf numFmtId="170" fontId="7" fillId="13" borderId="10" xfId="80" applyNumberFormat="1" applyFont="1" applyFill="1" applyBorder="1" applyAlignment="1" applyProtection="1">
      <alignment horizontal="right"/>
    </xf>
    <xf numFmtId="2" fontId="9" fillId="35" borderId="10" xfId="80" applyNumberFormat="1" applyFont="1" applyFill="1" applyBorder="1" applyAlignment="1" applyProtection="1">
      <alignment horizontal="center"/>
    </xf>
    <xf numFmtId="49" fontId="55" fillId="35" borderId="10" xfId="233" applyNumberFormat="1" applyFont="1" applyFill="1" applyBorder="1"/>
    <xf numFmtId="164" fontId="7" fillId="13" borderId="10" xfId="80" applyNumberFormat="1" applyFont="1" applyFill="1" applyBorder="1" applyAlignment="1" applyProtection="1">
      <alignment horizontal="right"/>
    </xf>
    <xf numFmtId="164" fontId="4" fillId="13" borderId="10" xfId="80" applyNumberFormat="1" applyFont="1" applyFill="1" applyBorder="1" applyAlignment="1" applyProtection="1">
      <alignment horizontal="right"/>
    </xf>
    <xf numFmtId="164" fontId="4" fillId="38" borderId="10" xfId="80" applyNumberFormat="1" applyFont="1" applyFill="1" applyBorder="1" applyAlignment="1" applyProtection="1">
      <alignment horizontal="right"/>
    </xf>
    <xf numFmtId="49" fontId="9" fillId="35" borderId="10" xfId="232" applyNumberFormat="1" applyFont="1" applyFill="1" applyBorder="1" applyAlignment="1">
      <alignment horizontal="left" vertical="center" wrapText="1"/>
    </xf>
    <xf numFmtId="49" fontId="9" fillId="37" borderId="10" xfId="232" applyNumberFormat="1" applyFont="1" applyFill="1" applyBorder="1" applyAlignment="1">
      <alignment horizontal="left" vertical="center" wrapText="1"/>
    </xf>
    <xf numFmtId="10" fontId="4" fillId="13" borderId="10" xfId="80" applyNumberFormat="1" applyFont="1" applyFill="1" applyBorder="1" applyAlignment="1" applyProtection="1">
      <alignment horizontal="right"/>
    </xf>
    <xf numFmtId="0" fontId="9" fillId="35" borderId="10" xfId="232" applyFont="1" applyFill="1" applyBorder="1" applyAlignment="1">
      <alignment horizontal="left"/>
    </xf>
    <xf numFmtId="49" fontId="32" fillId="37" borderId="10" xfId="232" applyNumberFormat="1" applyFont="1" applyFill="1" applyBorder="1" applyAlignment="1">
      <alignment horizontal="left"/>
    </xf>
    <xf numFmtId="164" fontId="34" fillId="13" borderId="10" xfId="78" applyNumberFormat="1" applyFont="1" applyFill="1" applyBorder="1" applyAlignment="1">
      <alignment horizontal="right"/>
    </xf>
    <xf numFmtId="0" fontId="7" fillId="36" borderId="16" xfId="232" applyFont="1" applyFill="1" applyBorder="1" applyAlignment="1" applyProtection="1">
      <alignment horizontal="right"/>
      <protection locked="0"/>
    </xf>
    <xf numFmtId="2" fontId="7" fillId="36" borderId="16" xfId="232" applyNumberFormat="1" applyFont="1" applyFill="1" applyBorder="1" applyAlignment="1" applyProtection="1">
      <alignment horizontal="right"/>
      <protection locked="0"/>
    </xf>
    <xf numFmtId="167" fontId="9" fillId="35" borderId="10" xfId="232" quotePrefix="1" applyNumberFormat="1" applyFont="1" applyFill="1" applyBorder="1" applyAlignment="1">
      <alignment horizontal="left" vertical="center" wrapText="1"/>
    </xf>
    <xf numFmtId="0" fontId="7" fillId="36" borderId="10" xfId="235" applyFont="1" applyFill="1" applyBorder="1" applyAlignment="1" applyProtection="1">
      <alignment horizontal="left" vertical="center"/>
      <protection locked="0"/>
    </xf>
    <xf numFmtId="164" fontId="7" fillId="39" borderId="10" xfId="235" applyNumberFormat="1" applyFont="1" applyFill="1" applyBorder="1" applyAlignment="1">
      <alignment horizontal="right"/>
    </xf>
    <xf numFmtId="10" fontId="7" fillId="39" borderId="10" xfId="235" applyNumberFormat="1" applyFont="1" applyFill="1" applyBorder="1" applyAlignment="1">
      <alignment horizontal="right"/>
    </xf>
    <xf numFmtId="10" fontId="7" fillId="13" borderId="10" xfId="78" applyNumberFormat="1" applyFont="1" applyFill="1" applyBorder="1" applyAlignment="1" applyProtection="1">
      <alignment horizontal="right"/>
    </xf>
    <xf numFmtId="164" fontId="34" fillId="13" borderId="10" xfId="78" applyNumberFormat="1" applyFont="1" applyFill="1" applyBorder="1" applyAlignment="1" applyProtection="1">
      <alignment horizontal="right"/>
    </xf>
    <xf numFmtId="164" fontId="7" fillId="35" borderId="10" xfId="78" applyNumberFormat="1" applyFont="1" applyFill="1" applyBorder="1" applyAlignment="1" applyProtection="1">
      <alignment horizontal="right"/>
    </xf>
    <xf numFmtId="164" fontId="7" fillId="36" borderId="10" xfId="78" applyNumberFormat="1" applyFont="1" applyFill="1" applyBorder="1" applyAlignment="1" applyProtection="1">
      <alignment horizontal="right" indent="1"/>
      <protection locked="0"/>
    </xf>
    <xf numFmtId="164" fontId="33" fillId="13" borderId="10" xfId="78" applyNumberFormat="1" applyFont="1" applyFill="1" applyBorder="1" applyAlignment="1" applyProtection="1">
      <alignment horizontal="right"/>
    </xf>
    <xf numFmtId="168" fontId="7" fillId="36" borderId="10" xfId="235" applyNumberFormat="1" applyFont="1" applyFill="1" applyBorder="1" applyAlignment="1" applyProtection="1">
      <alignment horizontal="center" vertical="center"/>
      <protection locked="0"/>
    </xf>
    <xf numFmtId="168" fontId="7" fillId="36" borderId="10" xfId="235" applyNumberFormat="1" applyFont="1" applyFill="1" applyBorder="1" applyAlignment="1" applyProtection="1">
      <alignment horizontal="center" vertical="center" wrapText="1"/>
      <protection locked="0"/>
    </xf>
    <xf numFmtId="49" fontId="51" fillId="37" borderId="0" xfId="155" applyFill="1">
      <alignment vertical="center"/>
    </xf>
    <xf numFmtId="167" fontId="32" fillId="35" borderId="10" xfId="232" quotePrefix="1" applyNumberFormat="1" applyFont="1" applyFill="1" applyBorder="1" applyAlignment="1">
      <alignment horizontal="left" vertical="center" wrapText="1"/>
    </xf>
    <xf numFmtId="49" fontId="32" fillId="37" borderId="10" xfId="232" applyNumberFormat="1" applyFont="1" applyFill="1" applyBorder="1"/>
    <xf numFmtId="173" fontId="34" fillId="13" borderId="10" xfId="80" applyNumberFormat="1" applyFont="1" applyFill="1" applyBorder="1" applyAlignment="1">
      <alignment horizontal="right"/>
    </xf>
    <xf numFmtId="173" fontId="34" fillId="13" borderId="10" xfId="80" applyNumberFormat="1" applyFont="1" applyFill="1" applyBorder="1" applyAlignment="1">
      <alignment horizontal="center" vertical="center"/>
    </xf>
    <xf numFmtId="1" fontId="7" fillId="36" borderId="16" xfId="232" applyNumberFormat="1" applyFont="1" applyFill="1" applyBorder="1" applyAlignment="1" applyProtection="1">
      <alignment horizontal="right"/>
      <protection locked="0"/>
    </xf>
    <xf numFmtId="14" fontId="7" fillId="36" borderId="16" xfId="232" applyNumberFormat="1" applyFont="1" applyFill="1" applyBorder="1" applyAlignment="1" applyProtection="1">
      <alignment horizontal="right"/>
      <protection locked="0"/>
    </xf>
    <xf numFmtId="164" fontId="4" fillId="38" borderId="10" xfId="78" applyNumberFormat="1" applyFont="1" applyFill="1" applyBorder="1" applyAlignment="1" applyProtection="1">
      <alignment horizontal="right"/>
    </xf>
    <xf numFmtId="0" fontId="44" fillId="0" borderId="19" xfId="0" applyFont="1" applyBorder="1"/>
    <xf numFmtId="0" fontId="44" fillId="0" borderId="20" xfId="0" applyFont="1" applyBorder="1"/>
    <xf numFmtId="0" fontId="44" fillId="0" borderId="21" xfId="0" applyFont="1" applyBorder="1"/>
    <xf numFmtId="0" fontId="44" fillId="0" borderId="17" xfId="0" applyFont="1" applyBorder="1"/>
    <xf numFmtId="0" fontId="44" fillId="0" borderId="18" xfId="0" applyFont="1" applyBorder="1"/>
    <xf numFmtId="0" fontId="44" fillId="0" borderId="0" xfId="0" applyFont="1"/>
    <xf numFmtId="0" fontId="44" fillId="0" borderId="22" xfId="0" applyFont="1" applyBorder="1"/>
    <xf numFmtId="0" fontId="44" fillId="0" borderId="23" xfId="0" applyFont="1" applyBorder="1" applyAlignment="1">
      <alignment horizontal="right" indent="2"/>
    </xf>
    <xf numFmtId="0" fontId="44" fillId="0" borderId="23" xfId="0" applyFont="1" applyBorder="1"/>
    <xf numFmtId="0" fontId="44" fillId="0" borderId="24" xfId="0" applyFont="1" applyBorder="1"/>
    <xf numFmtId="0" fontId="59" fillId="37" borderId="0" xfId="0" applyFont="1" applyFill="1" applyAlignment="1">
      <alignment horizontal="right" indent="2"/>
    </xf>
    <xf numFmtId="0" fontId="60" fillId="37" borderId="0" xfId="163" quotePrefix="1" applyFont="1" applyFill="1" applyBorder="1" applyAlignment="1" applyProtection="1"/>
    <xf numFmtId="0" fontId="60" fillId="37" borderId="0" xfId="0" quotePrefix="1" applyFont="1" applyFill="1" applyAlignment="1">
      <alignment horizontal="left"/>
    </xf>
    <xf numFmtId="0" fontId="61" fillId="39" borderId="0" xfId="163" quotePrefix="1" applyFont="1" applyFill="1" applyBorder="1" applyAlignment="1" applyProtection="1"/>
    <xf numFmtId="0" fontId="61" fillId="39" borderId="0" xfId="0" quotePrefix="1" applyFont="1" applyFill="1" applyAlignment="1">
      <alignment horizontal="left"/>
    </xf>
    <xf numFmtId="0" fontId="45" fillId="36" borderId="12" xfId="233" applyFont="1" applyFill="1" applyBorder="1" applyAlignment="1" applyProtection="1">
      <alignment horizontal="right" vertical="center"/>
      <protection locked="0"/>
    </xf>
    <xf numFmtId="0" fontId="47" fillId="40" borderId="0" xfId="0" applyFont="1" applyFill="1"/>
    <xf numFmtId="0" fontId="62" fillId="40" borderId="0" xfId="0" applyFont="1" applyFill="1"/>
    <xf numFmtId="0" fontId="7" fillId="36" borderId="10" xfId="237" applyFont="1" applyFill="1" applyBorder="1" applyAlignment="1" applyProtection="1">
      <alignment horizontal="right"/>
      <protection locked="0"/>
    </xf>
    <xf numFmtId="2" fontId="9" fillId="35" borderId="10" xfId="233" applyNumberFormat="1" applyFont="1" applyFill="1" applyBorder="1" applyAlignment="1">
      <alignment horizontal="center" vertical="center" wrapText="1"/>
    </xf>
    <xf numFmtId="41" fontId="9" fillId="35" borderId="10" xfId="233" applyNumberFormat="1" applyFont="1" applyFill="1" applyBorder="1" applyAlignment="1">
      <alignment horizontal="left" indent="1"/>
    </xf>
    <xf numFmtId="49" fontId="57" fillId="35" borderId="10" xfId="233" applyNumberFormat="1" applyFont="1" applyFill="1" applyBorder="1" applyAlignment="1">
      <alignment horizontal="left" vertical="center" wrapText="1"/>
    </xf>
    <xf numFmtId="10" fontId="7" fillId="0" borderId="0" xfId="221" applyNumberFormat="1"/>
    <xf numFmtId="166" fontId="34" fillId="38" borderId="10" xfId="80" applyNumberFormat="1" applyFont="1" applyFill="1" applyBorder="1" applyAlignment="1" applyProtection="1">
      <alignment horizontal="right"/>
    </xf>
    <xf numFmtId="49" fontId="57" fillId="35" borderId="10" xfId="233" applyNumberFormat="1" applyFont="1" applyFill="1" applyBorder="1"/>
    <xf numFmtId="171" fontId="34" fillId="13" borderId="10" xfId="80" applyNumberFormat="1" applyFont="1" applyFill="1" applyBorder="1" applyAlignment="1" applyProtection="1">
      <alignment horizontal="right"/>
    </xf>
    <xf numFmtId="164" fontId="34" fillId="13" borderId="10" xfId="80" applyNumberFormat="1" applyFont="1" applyFill="1" applyBorder="1" applyAlignment="1" applyProtection="1"/>
    <xf numFmtId="170" fontId="34" fillId="13" borderId="10" xfId="80" applyNumberFormat="1" applyFont="1" applyFill="1" applyBorder="1" applyAlignment="1" applyProtection="1"/>
    <xf numFmtId="0" fontId="7" fillId="0" borderId="0" xfId="221" applyAlignment="1">
      <alignment horizontal="left" vertical="center" wrapText="1"/>
    </xf>
    <xf numFmtId="49" fontId="9" fillId="35" borderId="10" xfId="233" applyNumberFormat="1" applyFont="1" applyFill="1" applyBorder="1" applyAlignment="1">
      <alignment horizontal="left" vertical="center" wrapText="1"/>
    </xf>
    <xf numFmtId="49" fontId="32" fillId="35" borderId="10" xfId="233" applyNumberFormat="1" applyFont="1" applyFill="1" applyBorder="1" applyAlignment="1">
      <alignment horizontal="left" vertical="center" wrapText="1"/>
    </xf>
    <xf numFmtId="172" fontId="34" fillId="13" borderId="25" xfId="80" applyNumberFormat="1" applyFont="1" applyFill="1" applyBorder="1" applyAlignment="1" applyProtection="1">
      <alignment horizontal="right"/>
    </xf>
    <xf numFmtId="172" fontId="34" fillId="13" borderId="26" xfId="80" applyNumberFormat="1" applyFont="1" applyFill="1" applyBorder="1" applyAlignment="1" applyProtection="1">
      <alignment horizontal="right"/>
    </xf>
    <xf numFmtId="172" fontId="34" fillId="13" borderId="27" xfId="80" applyNumberFormat="1" applyFont="1" applyFill="1" applyBorder="1" applyAlignment="1" applyProtection="1">
      <alignment horizontal="right"/>
    </xf>
    <xf numFmtId="172" fontId="34" fillId="13" borderId="10" xfId="80" applyNumberFormat="1" applyFont="1" applyFill="1" applyBorder="1" applyAlignment="1" applyProtection="1">
      <alignment horizontal="right"/>
    </xf>
    <xf numFmtId="172" fontId="34" fillId="13" borderId="28" xfId="80" applyNumberFormat="1" applyFont="1" applyFill="1" applyBorder="1" applyAlignment="1" applyProtection="1">
      <alignment horizontal="right"/>
    </xf>
    <xf numFmtId="172" fontId="34" fillId="13" borderId="29" xfId="80" applyNumberFormat="1" applyFont="1" applyFill="1" applyBorder="1" applyAlignment="1" applyProtection="1">
      <alignment horizontal="right"/>
    </xf>
    <xf numFmtId="49" fontId="9" fillId="35" borderId="29" xfId="233" applyNumberFormat="1" applyFont="1" applyFill="1" applyBorder="1" applyAlignment="1">
      <alignment horizontal="center" vertical="center" wrapText="1"/>
    </xf>
    <xf numFmtId="0" fontId="7" fillId="0" borderId="0" xfId="221" applyAlignment="1">
      <alignment horizontal="center" vertical="center"/>
    </xf>
    <xf numFmtId="49" fontId="32" fillId="35" borderId="15" xfId="233" applyNumberFormat="1" applyFont="1" applyFill="1" applyBorder="1" applyAlignment="1">
      <alignment horizontal="center" vertical="center"/>
    </xf>
    <xf numFmtId="0" fontId="5" fillId="39" borderId="0" xfId="233" applyFont="1" applyFill="1"/>
    <xf numFmtId="173" fontId="34" fillId="13" borderId="10" xfId="80" applyNumberFormat="1" applyFont="1" applyFill="1" applyBorder="1" applyAlignment="1" applyProtection="1">
      <alignment horizontal="right"/>
    </xf>
    <xf numFmtId="49" fontId="55" fillId="35" borderId="10" xfId="233" applyNumberFormat="1" applyFont="1" applyFill="1" applyBorder="1" applyAlignment="1">
      <alignment horizontal="center" vertical="center"/>
    </xf>
    <xf numFmtId="49" fontId="55" fillId="37" borderId="10" xfId="233" applyNumberFormat="1" applyFont="1" applyFill="1" applyBorder="1"/>
    <xf numFmtId="49" fontId="9" fillId="35" borderId="0" xfId="233" applyNumberFormat="1" applyFont="1" applyFill="1" applyAlignment="1">
      <alignment horizontal="left"/>
    </xf>
    <xf numFmtId="49" fontId="9" fillId="35" borderId="10" xfId="233" applyNumberFormat="1" applyFont="1" applyFill="1" applyBorder="1" applyAlignment="1">
      <alignment horizontal="left"/>
    </xf>
    <xf numFmtId="0" fontId="5" fillId="9" borderId="0" xfId="233" applyFont="1"/>
    <xf numFmtId="0" fontId="7" fillId="0" borderId="0" xfId="221"/>
    <xf numFmtId="0" fontId="7" fillId="9" borderId="0" xfId="233"/>
    <xf numFmtId="14" fontId="55" fillId="35" borderId="10" xfId="232" applyNumberFormat="1" applyFont="1" applyFill="1" applyBorder="1" applyAlignment="1">
      <alignment horizontal="right"/>
    </xf>
    <xf numFmtId="14" fontId="57" fillId="35" borderId="10" xfId="232" applyNumberFormat="1" applyFont="1" applyFill="1" applyBorder="1" applyAlignment="1">
      <alignment horizontal="right"/>
    </xf>
    <xf numFmtId="49" fontId="55" fillId="35" borderId="10" xfId="236" applyNumberFormat="1" applyFont="1" applyFill="1" applyBorder="1" applyAlignment="1">
      <alignment horizontal="left" vertical="center" wrapText="1"/>
    </xf>
    <xf numFmtId="0" fontId="63" fillId="0" borderId="0" xfId="0" applyFont="1"/>
    <xf numFmtId="0" fontId="0" fillId="0" borderId="0" xfId="0" applyAlignment="1">
      <alignment horizontal="left" vertical="center"/>
    </xf>
    <xf numFmtId="0" fontId="5" fillId="0" borderId="0" xfId="0" applyFont="1"/>
    <xf numFmtId="9" fontId="34" fillId="36" borderId="10" xfId="247" applyFont="1" applyFill="1" applyBorder="1" applyAlignment="1" applyProtection="1">
      <alignment horizontal="right"/>
      <protection locked="0"/>
    </xf>
    <xf numFmtId="10" fontId="34" fillId="36" borderId="10" xfId="247" applyNumberFormat="1" applyFont="1" applyFill="1" applyBorder="1" applyAlignment="1" applyProtection="1">
      <alignment horizontal="right"/>
      <protection locked="0"/>
    </xf>
    <xf numFmtId="49" fontId="32" fillId="35" borderId="0" xfId="233" applyNumberFormat="1" applyFont="1" applyFill="1" applyAlignment="1">
      <alignment horizontal="left" vertical="center" wrapText="1"/>
    </xf>
    <xf numFmtId="2" fontId="34" fillId="13" borderId="10" xfId="80" applyNumberFormat="1" applyFont="1" applyFill="1" applyBorder="1" applyAlignment="1" applyProtection="1">
      <alignment horizontal="right"/>
    </xf>
    <xf numFmtId="49" fontId="9" fillId="35" borderId="0" xfId="233" applyNumberFormat="1" applyFont="1" applyFill="1" applyAlignment="1">
      <alignment horizontal="left" vertical="center" wrapText="1"/>
    </xf>
    <xf numFmtId="10" fontId="7" fillId="38" borderId="10" xfId="80" applyNumberFormat="1" applyFont="1" applyFill="1" applyBorder="1" applyAlignment="1" applyProtection="1">
      <alignment horizontal="right"/>
    </xf>
    <xf numFmtId="0" fontId="31" fillId="9" borderId="0" xfId="231" applyFont="1" applyFill="1"/>
    <xf numFmtId="0" fontId="2" fillId="9" borderId="0" xfId="235"/>
    <xf numFmtId="0" fontId="3" fillId="9" borderId="0" xfId="235" applyFont="1"/>
    <xf numFmtId="166" fontId="5" fillId="9" borderId="0" xfId="235" applyNumberFormat="1" applyFont="1" applyAlignment="1">
      <alignment horizontal="left"/>
    </xf>
    <xf numFmtId="49" fontId="7" fillId="9" borderId="0" xfId="235" applyNumberFormat="1" applyFont="1"/>
    <xf numFmtId="164" fontId="7" fillId="38" borderId="10" xfId="235" applyNumberFormat="1" applyFont="1" applyFill="1" applyBorder="1" applyAlignment="1">
      <alignment horizontal="right"/>
    </xf>
    <xf numFmtId="166" fontId="5" fillId="0" borderId="0" xfId="235" applyNumberFormat="1" applyFont="1" applyFill="1" applyAlignment="1">
      <alignment horizontal="left"/>
    </xf>
    <xf numFmtId="164" fontId="7" fillId="9" borderId="0" xfId="235" applyNumberFormat="1" applyFont="1"/>
    <xf numFmtId="49" fontId="32" fillId="35" borderId="10" xfId="238" applyNumberFormat="1" applyFont="1" applyFill="1" applyBorder="1" applyAlignment="1">
      <alignment horizontal="left" vertical="center" wrapText="1"/>
    </xf>
    <xf numFmtId="0" fontId="64" fillId="0" borderId="0" xfId="0" applyFont="1" applyAlignment="1">
      <alignment vertical="center"/>
    </xf>
    <xf numFmtId="0" fontId="5" fillId="9" borderId="0" xfId="232" applyFont="1"/>
    <xf numFmtId="166" fontId="4" fillId="9" borderId="0" xfId="232" applyNumberFormat="1" applyFont="1" applyAlignment="1">
      <alignment horizontal="left"/>
    </xf>
    <xf numFmtId="164" fontId="7" fillId="9" borderId="0" xfId="232" applyNumberFormat="1" applyFont="1" applyAlignment="1">
      <alignment horizontal="center"/>
    </xf>
    <xf numFmtId="14" fontId="7" fillId="38" borderId="16" xfId="232" applyNumberFormat="1" applyFont="1" applyFill="1" applyBorder="1" applyAlignment="1">
      <alignment horizontal="center"/>
    </xf>
    <xf numFmtId="0" fontId="65" fillId="0" borderId="0" xfId="0" applyFont="1"/>
    <xf numFmtId="49" fontId="9" fillId="35" borderId="28" xfId="233" applyNumberFormat="1" applyFont="1" applyFill="1" applyBorder="1" applyAlignment="1">
      <alignment horizontal="center" vertical="center" wrapText="1"/>
    </xf>
    <xf numFmtId="2" fontId="32" fillId="35" borderId="10" xfId="233" applyNumberFormat="1" applyFont="1" applyFill="1" applyBorder="1" applyAlignment="1">
      <alignment horizontal="center" vertical="center" wrapText="1"/>
    </xf>
    <xf numFmtId="49" fontId="32" fillId="35" borderId="30" xfId="237" applyNumberFormat="1" applyFont="1" applyFill="1" applyBorder="1" applyAlignment="1">
      <alignment horizontal="center" vertical="center" wrapText="1"/>
    </xf>
    <xf numFmtId="49" fontId="32" fillId="35" borderId="0" xfId="237" applyNumberFormat="1" applyFont="1" applyFill="1" applyAlignment="1">
      <alignment horizontal="center" vertical="center" wrapText="1"/>
    </xf>
    <xf numFmtId="0" fontId="2" fillId="9" borderId="0" xfId="230"/>
    <xf numFmtId="0" fontId="51" fillId="37" borderId="0" xfId="230" applyFont="1" applyFill="1" applyAlignment="1">
      <alignment vertical="center"/>
    </xf>
    <xf numFmtId="0" fontId="2" fillId="9" borderId="0" xfId="230" applyAlignment="1">
      <alignment horizontal="left" vertical="center"/>
    </xf>
    <xf numFmtId="0" fontId="66" fillId="35" borderId="0" xfId="230" applyFont="1" applyFill="1" applyAlignment="1">
      <alignment vertical="center"/>
    </xf>
    <xf numFmtId="0" fontId="67" fillId="35" borderId="0" xfId="230" applyFont="1" applyFill="1" applyAlignment="1">
      <alignment vertical="center"/>
    </xf>
    <xf numFmtId="0" fontId="57" fillId="35" borderId="0" xfId="230" applyFont="1" applyFill="1" applyAlignment="1">
      <alignment vertical="center"/>
    </xf>
    <xf numFmtId="0" fontId="4" fillId="9" borderId="0" xfId="230" applyFont="1"/>
    <xf numFmtId="0" fontId="45" fillId="9" borderId="0" xfId="230" applyFont="1" applyAlignment="1">
      <alignment horizontal="left" vertical="center"/>
    </xf>
    <xf numFmtId="0" fontId="68" fillId="35" borderId="17" xfId="230" applyFont="1" applyFill="1" applyBorder="1" applyAlignment="1">
      <alignment vertical="center"/>
    </xf>
    <xf numFmtId="0" fontId="68" fillId="35" borderId="0" xfId="230" applyFont="1" applyFill="1" applyAlignment="1">
      <alignment vertical="center"/>
    </xf>
    <xf numFmtId="0" fontId="68" fillId="37" borderId="0" xfId="230" applyFont="1" applyFill="1" applyAlignment="1">
      <alignment vertical="center"/>
    </xf>
    <xf numFmtId="0" fontId="68" fillId="37" borderId="18" xfId="230" applyFont="1" applyFill="1" applyBorder="1" applyAlignment="1">
      <alignment vertical="center"/>
    </xf>
    <xf numFmtId="2" fontId="5" fillId="9" borderId="0" xfId="230" applyNumberFormat="1" applyFont="1" applyAlignment="1">
      <alignment horizontal="left" vertical="center"/>
    </xf>
    <xf numFmtId="0" fontId="5" fillId="9" borderId="0" xfId="230" applyFont="1" applyAlignment="1">
      <alignment horizontal="left" vertical="center"/>
    </xf>
    <xf numFmtId="0" fontId="45" fillId="9" borderId="0" xfId="230" applyFont="1" applyAlignment="1">
      <alignment horizontal="right" vertical="center"/>
    </xf>
    <xf numFmtId="0" fontId="45" fillId="9" borderId="0" xfId="230" applyFont="1"/>
    <xf numFmtId="0" fontId="46" fillId="35" borderId="0" xfId="233" applyFont="1" applyFill="1"/>
    <xf numFmtId="0" fontId="46" fillId="35" borderId="0" xfId="233" applyFont="1" applyFill="1" applyAlignment="1">
      <alignment horizontal="right" indent="1"/>
    </xf>
    <xf numFmtId="0" fontId="45" fillId="35" borderId="0" xfId="233" applyFont="1" applyFill="1"/>
    <xf numFmtId="0" fontId="68" fillId="35" borderId="17" xfId="233" applyFont="1" applyFill="1" applyBorder="1" applyAlignment="1">
      <alignment horizontal="left" indent="1"/>
    </xf>
    <xf numFmtId="0" fontId="69" fillId="9" borderId="0" xfId="230" applyFont="1"/>
    <xf numFmtId="0" fontId="3" fillId="9" borderId="0" xfId="232" applyFont="1"/>
    <xf numFmtId="164" fontId="7" fillId="9" borderId="0" xfId="232" applyNumberFormat="1" applyFont="1"/>
    <xf numFmtId="39" fontId="7" fillId="9" borderId="0" xfId="232" applyNumberFormat="1" applyFont="1"/>
    <xf numFmtId="0" fontId="7" fillId="9" borderId="0" xfId="232" applyFont="1"/>
    <xf numFmtId="0" fontId="37" fillId="34" borderId="10" xfId="232" applyFont="1" applyFill="1" applyBorder="1"/>
    <xf numFmtId="0" fontId="7" fillId="41" borderId="0" xfId="232" applyFont="1" applyFill="1"/>
    <xf numFmtId="0" fontId="5" fillId="0" borderId="0" xfId="234" applyFont="1" applyFill="1" applyAlignment="1">
      <alignment vertical="center"/>
    </xf>
    <xf numFmtId="166" fontId="4" fillId="9" borderId="0" xfId="233" applyNumberFormat="1" applyFont="1" applyAlignment="1">
      <alignment horizontal="left"/>
    </xf>
    <xf numFmtId="49" fontId="7" fillId="9" borderId="0" xfId="233" applyNumberFormat="1"/>
    <xf numFmtId="2" fontId="7" fillId="9" borderId="0" xfId="233" applyNumberFormat="1"/>
    <xf numFmtId="49" fontId="32" fillId="35" borderId="10" xfId="233" applyNumberFormat="1" applyFont="1" applyFill="1" applyBorder="1" applyAlignment="1">
      <alignment horizontal="center" vertical="center" wrapText="1"/>
    </xf>
    <xf numFmtId="166" fontId="9" fillId="35" borderId="10" xfId="233" applyNumberFormat="1" applyFont="1" applyFill="1" applyBorder="1" applyAlignment="1">
      <alignment horizontal="left"/>
    </xf>
    <xf numFmtId="0" fontId="9" fillId="35" borderId="10" xfId="233" applyFont="1" applyFill="1" applyBorder="1"/>
    <xf numFmtId="0" fontId="7" fillId="36" borderId="10" xfId="80" applyNumberFormat="1" applyFont="1" applyFill="1" applyBorder="1" applyAlignment="1" applyProtection="1">
      <alignment horizontal="right"/>
    </xf>
    <xf numFmtId="0" fontId="32" fillId="35" borderId="10" xfId="233" applyFont="1" applyFill="1" applyBorder="1"/>
    <xf numFmtId="49" fontId="32" fillId="37" borderId="10" xfId="233" applyNumberFormat="1" applyFont="1" applyFill="1" applyBorder="1"/>
    <xf numFmtId="49" fontId="7" fillId="9" borderId="0" xfId="232" applyNumberFormat="1" applyFont="1"/>
    <xf numFmtId="0" fontId="57" fillId="35" borderId="10" xfId="233" applyFont="1" applyFill="1" applyBorder="1"/>
    <xf numFmtId="164" fontId="7" fillId="38" borderId="10" xfId="80" applyNumberFormat="1" applyFont="1" applyFill="1" applyBorder="1" applyAlignment="1" applyProtection="1">
      <alignment horizontal="right"/>
    </xf>
    <xf numFmtId="0" fontId="0" fillId="9" borderId="0" xfId="233" applyFont="1"/>
    <xf numFmtId="0" fontId="37" fillId="34" borderId="10" xfId="233" applyFont="1" applyFill="1" applyBorder="1"/>
    <xf numFmtId="0" fontId="2" fillId="9" borderId="0" xfId="235" applyAlignment="1">
      <alignment horizontal="center" vertical="center"/>
    </xf>
    <xf numFmtId="0" fontId="65" fillId="9" borderId="0" xfId="232" applyFont="1"/>
    <xf numFmtId="0" fontId="7" fillId="41" borderId="0" xfId="234" applyFont="1" applyFill="1" applyAlignment="1">
      <alignment vertical="center"/>
    </xf>
    <xf numFmtId="0" fontId="2" fillId="9" borderId="0" xfId="232" applyAlignment="1">
      <alignment horizontal="left" indent="1"/>
    </xf>
    <xf numFmtId="0" fontId="7" fillId="9" borderId="0" xfId="232" applyFont="1" applyAlignment="1">
      <alignment horizontal="left" indent="1"/>
    </xf>
    <xf numFmtId="43" fontId="2" fillId="9" borderId="0" xfId="232" applyNumberFormat="1"/>
    <xf numFmtId="49" fontId="9" fillId="35" borderId="14" xfId="235" applyNumberFormat="1" applyFont="1" applyFill="1" applyBorder="1" applyAlignment="1">
      <alignment horizontal="center"/>
    </xf>
    <xf numFmtId="2" fontId="9" fillId="35" borderId="10" xfId="78" applyNumberFormat="1" applyFont="1" applyFill="1" applyBorder="1" applyAlignment="1" applyProtection="1">
      <alignment horizontal="center" wrapText="1"/>
    </xf>
    <xf numFmtId="0" fontId="0" fillId="9" borderId="0" xfId="235" applyFont="1"/>
    <xf numFmtId="166" fontId="7" fillId="13" borderId="10" xfId="237" applyNumberFormat="1" applyFont="1" applyFill="1" applyBorder="1" applyAlignment="1">
      <alignment horizontal="right"/>
    </xf>
    <xf numFmtId="0" fontId="70" fillId="36" borderId="10" xfId="0" applyFont="1" applyFill="1" applyBorder="1" applyAlignment="1" applyProtection="1">
      <alignment horizontal="right"/>
      <protection locked="0"/>
    </xf>
    <xf numFmtId="0" fontId="4" fillId="9" borderId="0" xfId="235" applyFont="1" applyAlignment="1">
      <alignment horizontal="right"/>
    </xf>
    <xf numFmtId="0" fontId="2" fillId="9" borderId="0" xfId="235" applyAlignment="1">
      <alignment horizontal="right"/>
    </xf>
    <xf numFmtId="0" fontId="7" fillId="9" borderId="0" xfId="235" applyFont="1"/>
    <xf numFmtId="0" fontId="32" fillId="37" borderId="15" xfId="235" applyFont="1" applyFill="1" applyBorder="1" applyAlignment="1">
      <alignment horizontal="left"/>
    </xf>
    <xf numFmtId="10" fontId="7" fillId="36" borderId="10" xfId="78" applyNumberFormat="1" applyFont="1" applyFill="1" applyBorder="1" applyAlignment="1" applyProtection="1">
      <alignment horizontal="right"/>
      <protection locked="0"/>
    </xf>
    <xf numFmtId="49" fontId="57" fillId="35" borderId="10" xfId="233" applyNumberFormat="1" applyFont="1" applyFill="1" applyBorder="1" applyAlignment="1">
      <alignment vertical="center" wrapText="1"/>
    </xf>
    <xf numFmtId="49" fontId="32" fillId="35" borderId="31" xfId="233" applyNumberFormat="1" applyFont="1" applyFill="1" applyBorder="1" applyAlignment="1">
      <alignment horizontal="left" vertical="center" wrapText="1"/>
    </xf>
    <xf numFmtId="0" fontId="7" fillId="0" borderId="0" xfId="221" applyAlignment="1">
      <alignment vertical="center" wrapText="1"/>
    </xf>
    <xf numFmtId="168" fontId="7" fillId="36" borderId="10" xfId="235" applyNumberFormat="1" applyFont="1" applyFill="1" applyBorder="1" applyAlignment="1" applyProtection="1">
      <alignment horizontal="left" wrapText="1"/>
      <protection locked="0"/>
    </xf>
    <xf numFmtId="0" fontId="7" fillId="36" borderId="10" xfId="235" applyFont="1" applyFill="1" applyBorder="1" applyAlignment="1" applyProtection="1">
      <alignment horizontal="left" wrapText="1"/>
      <protection locked="0"/>
    </xf>
    <xf numFmtId="49" fontId="7" fillId="36" borderId="10" xfId="78" applyNumberFormat="1" applyFont="1" applyFill="1" applyBorder="1" applyAlignment="1" applyProtection="1">
      <alignment horizontal="right"/>
      <protection locked="0"/>
    </xf>
    <xf numFmtId="49" fontId="7" fillId="35" borderId="10" xfId="233" applyNumberFormat="1" applyFill="1" applyBorder="1" applyAlignment="1">
      <alignment horizontal="left"/>
    </xf>
    <xf numFmtId="49" fontId="7" fillId="36" borderId="10" xfId="235" applyNumberFormat="1" applyFont="1" applyFill="1" applyBorder="1" applyProtection="1">
      <protection locked="0"/>
    </xf>
    <xf numFmtId="49" fontId="32" fillId="13" borderId="15" xfId="235" applyNumberFormat="1" applyFont="1" applyFill="1" applyBorder="1" applyAlignment="1">
      <alignment horizontal="right"/>
    </xf>
    <xf numFmtId="49" fontId="58" fillId="35" borderId="10" xfId="233" applyNumberFormat="1" applyFont="1" applyFill="1" applyBorder="1" applyAlignment="1">
      <alignment horizontal="left"/>
    </xf>
    <xf numFmtId="49" fontId="7" fillId="36" borderId="10" xfId="78" applyNumberFormat="1" applyFont="1" applyFill="1" applyBorder="1" applyAlignment="1" applyProtection="1">
      <protection locked="0"/>
    </xf>
    <xf numFmtId="49" fontId="32" fillId="35" borderId="10" xfId="233" quotePrefix="1" applyNumberFormat="1" applyFont="1" applyFill="1" applyBorder="1" applyAlignment="1">
      <alignment horizontal="center" vertical="center" wrapText="1"/>
    </xf>
    <xf numFmtId="49" fontId="58" fillId="35" borderId="10" xfId="237" applyNumberFormat="1" applyFont="1" applyFill="1" applyBorder="1" applyAlignment="1">
      <alignment horizontal="left"/>
    </xf>
    <xf numFmtId="49" fontId="7" fillId="36" borderId="10" xfId="237" applyNumberFormat="1" applyFont="1" applyFill="1" applyBorder="1" applyAlignment="1" applyProtection="1">
      <alignment horizontal="right"/>
      <protection locked="0"/>
    </xf>
    <xf numFmtId="49" fontId="7" fillId="13" borderId="10" xfId="237" applyNumberFormat="1" applyFont="1" applyFill="1" applyBorder="1" applyAlignment="1">
      <alignment horizontal="right"/>
    </xf>
    <xf numFmtId="49" fontId="55" fillId="35" borderId="10" xfId="237" applyNumberFormat="1" applyFont="1" applyFill="1" applyBorder="1" applyAlignment="1">
      <alignment horizontal="left"/>
    </xf>
    <xf numFmtId="49" fontId="7" fillId="36" borderId="10" xfId="237" applyNumberFormat="1" applyFont="1" applyFill="1" applyBorder="1" applyAlignment="1" applyProtection="1">
      <alignment vertical="top"/>
      <protection locked="0"/>
    </xf>
    <xf numFmtId="49" fontId="7" fillId="36" borderId="10" xfId="232" applyNumberFormat="1" applyFont="1" applyFill="1" applyBorder="1" applyAlignment="1" applyProtection="1">
      <alignment horizontal="center"/>
      <protection locked="0"/>
    </xf>
    <xf numFmtId="41" fontId="9" fillId="35" borderId="15" xfId="233" applyNumberFormat="1" applyFont="1" applyFill="1" applyBorder="1" applyAlignment="1" applyProtection="1">
      <alignment horizontal="left" indent="1"/>
      <protection locked="0"/>
    </xf>
    <xf numFmtId="164" fontId="7" fillId="36" borderId="10" xfId="78" applyNumberFormat="1" applyFont="1" applyFill="1" applyBorder="1" applyAlignment="1" applyProtection="1">
      <protection locked="0"/>
    </xf>
    <xf numFmtId="174" fontId="4" fillId="13" borderId="10" xfId="80" applyNumberFormat="1" applyFont="1" applyFill="1" applyBorder="1" applyAlignment="1" applyProtection="1">
      <alignment horizontal="right"/>
    </xf>
    <xf numFmtId="0" fontId="57" fillId="35" borderId="42" xfId="0" applyFont="1" applyFill="1" applyBorder="1"/>
    <xf numFmtId="0" fontId="57" fillId="35" borderId="0" xfId="0" applyFont="1" applyFill="1" applyAlignment="1">
      <alignment horizontal="center"/>
    </xf>
    <xf numFmtId="0" fontId="57" fillId="35" borderId="0" xfId="0" applyFont="1" applyFill="1"/>
    <xf numFmtId="0" fontId="57" fillId="35" borderId="43" xfId="0" applyFont="1" applyFill="1" applyBorder="1"/>
    <xf numFmtId="14" fontId="0" fillId="0" borderId="0" xfId="0" applyNumberFormat="1"/>
    <xf numFmtId="14" fontId="7" fillId="36" borderId="16" xfId="232" quotePrefix="1" applyNumberFormat="1" applyFont="1" applyFill="1" applyBorder="1" applyAlignment="1" applyProtection="1">
      <alignment horizontal="right"/>
      <protection locked="0"/>
    </xf>
    <xf numFmtId="169" fontId="7" fillId="36" borderId="10" xfId="237" quotePrefix="1" applyNumberFormat="1" applyFont="1" applyFill="1" applyBorder="1" applyAlignment="1" applyProtection="1">
      <alignment horizontal="right"/>
      <protection locked="0"/>
    </xf>
    <xf numFmtId="166" fontId="2" fillId="36" borderId="10" xfId="232" applyNumberFormat="1" applyFill="1" applyBorder="1" applyAlignment="1" applyProtection="1">
      <alignment horizontal="left" indent="1"/>
      <protection locked="0"/>
    </xf>
    <xf numFmtId="166" fontId="2" fillId="36" borderId="16" xfId="232" applyNumberFormat="1" applyFill="1" applyBorder="1" applyAlignment="1" applyProtection="1">
      <alignment horizontal="center"/>
      <protection locked="0"/>
    </xf>
    <xf numFmtId="14" fontId="2" fillId="36" borderId="10" xfId="235" quotePrefix="1" applyNumberFormat="1" applyFill="1" applyBorder="1" applyProtection="1">
      <protection locked="0"/>
    </xf>
    <xf numFmtId="0" fontId="2" fillId="36" borderId="10" xfId="273" applyNumberFormat="1" applyFont="1" applyFill="1" applyBorder="1" applyAlignment="1" applyProtection="1">
      <alignment horizontal="center"/>
    </xf>
    <xf numFmtId="49" fontId="2" fillId="36" borderId="10" xfId="232" quotePrefix="1" applyNumberFormat="1" applyFill="1" applyBorder="1" applyAlignment="1" applyProtection="1">
      <alignment horizontal="center" vertical="center" wrapText="1"/>
      <protection locked="0"/>
    </xf>
    <xf numFmtId="49" fontId="2" fillId="36" borderId="10" xfId="78" applyNumberFormat="1" applyFont="1" applyFill="1" applyBorder="1" applyAlignment="1" applyProtection="1">
      <alignment horizontal="center"/>
      <protection locked="0"/>
    </xf>
    <xf numFmtId="49" fontId="2" fillId="36" borderId="10" xfId="78" applyNumberFormat="1" applyFont="1" applyFill="1" applyBorder="1" applyAlignment="1" applyProtection="1">
      <alignment horizontal="right"/>
      <protection locked="0"/>
    </xf>
    <xf numFmtId="49" fontId="2" fillId="36" borderId="10" xfId="273" applyNumberFormat="1" applyFont="1" applyFill="1" applyBorder="1" applyAlignment="1" applyProtection="1">
      <alignment horizontal="center"/>
      <protection locked="0"/>
    </xf>
    <xf numFmtId="49" fontId="0" fillId="36" borderId="10" xfId="273" applyNumberFormat="1" applyFont="1" applyFill="1" applyBorder="1" applyAlignment="1" applyProtection="1">
      <alignment horizontal="center"/>
      <protection locked="0"/>
    </xf>
    <xf numFmtId="49" fontId="2" fillId="36" borderId="10" xfId="235" applyNumberFormat="1" applyFill="1" applyBorder="1" applyAlignment="1" applyProtection="1">
      <alignment horizontal="center"/>
      <protection locked="0"/>
    </xf>
    <xf numFmtId="49" fontId="7" fillId="35" borderId="10" xfId="233" applyNumberFormat="1" applyFill="1" applyBorder="1" applyAlignment="1">
      <alignment horizontal="center"/>
    </xf>
    <xf numFmtId="49" fontId="2" fillId="36" borderId="10" xfId="237" applyNumberFormat="1" applyFill="1" applyBorder="1" applyAlignment="1" applyProtection="1">
      <alignment horizontal="center"/>
      <protection locked="0"/>
    </xf>
    <xf numFmtId="49" fontId="2" fillId="36" borderId="10" xfId="237" applyNumberFormat="1" applyFill="1" applyBorder="1" applyAlignment="1" applyProtection="1">
      <alignment horizontal="center" vertical="top"/>
      <protection locked="0"/>
    </xf>
    <xf numFmtId="168" fontId="2" fillId="36" borderId="10" xfId="235" applyNumberFormat="1" applyFill="1" applyBorder="1" applyAlignment="1" applyProtection="1">
      <alignment horizontal="center"/>
      <protection locked="0"/>
    </xf>
    <xf numFmtId="49" fontId="2" fillId="36" borderId="10" xfId="232" applyNumberFormat="1" applyFill="1" applyBorder="1" applyAlignment="1" applyProtection="1">
      <alignment horizontal="center"/>
      <protection locked="0"/>
    </xf>
    <xf numFmtId="49" fontId="7" fillId="36" borderId="10" xfId="235" applyNumberFormat="1" applyFont="1" applyFill="1" applyBorder="1" applyAlignment="1" applyProtection="1">
      <alignment horizontal="center"/>
      <protection locked="0"/>
    </xf>
    <xf numFmtId="0" fontId="2" fillId="36" borderId="16" xfId="232" applyFill="1" applyBorder="1" applyAlignment="1" applyProtection="1">
      <alignment horizontal="center"/>
      <protection locked="0"/>
    </xf>
    <xf numFmtId="168" fontId="2" fillId="36" borderId="10" xfId="235" applyNumberFormat="1" applyFill="1" applyBorder="1" applyAlignment="1" applyProtection="1">
      <alignment horizontal="center" vertical="center" wrapText="1"/>
      <protection locked="0"/>
    </xf>
    <xf numFmtId="0" fontId="2" fillId="36" borderId="10" xfId="237" applyFill="1" applyBorder="1" applyAlignment="1" applyProtection="1">
      <alignment horizontal="center"/>
      <protection locked="0"/>
    </xf>
    <xf numFmtId="166" fontId="2" fillId="36" borderId="10" xfId="237" applyNumberFormat="1" applyFill="1" applyBorder="1" applyAlignment="1" applyProtection="1">
      <alignment horizontal="right"/>
      <protection locked="0"/>
    </xf>
    <xf numFmtId="0" fontId="68" fillId="35" borderId="15" xfId="230" applyFont="1" applyFill="1" applyBorder="1" applyAlignment="1">
      <alignment horizontal="left" vertical="center"/>
    </xf>
    <xf numFmtId="0" fontId="68" fillId="35" borderId="16" xfId="230" applyFont="1" applyFill="1" applyBorder="1" applyAlignment="1">
      <alignment horizontal="left" vertical="center"/>
    </xf>
    <xf numFmtId="0" fontId="68" fillId="35" borderId="32" xfId="230" applyFont="1" applyFill="1" applyBorder="1" applyAlignment="1">
      <alignment horizontal="left" vertical="center"/>
    </xf>
    <xf numFmtId="0" fontId="5" fillId="9" borderId="19" xfId="230" applyFont="1" applyBorder="1" applyAlignment="1">
      <alignment horizontal="left" vertical="center"/>
    </xf>
    <xf numFmtId="0" fontId="45" fillId="9" borderId="20" xfId="230" applyFont="1" applyBorder="1" applyAlignment="1">
      <alignment horizontal="left" vertical="center"/>
    </xf>
    <xf numFmtId="0" fontId="45" fillId="9" borderId="21" xfId="230" applyFont="1" applyBorder="1" applyAlignment="1">
      <alignment horizontal="left" vertical="center"/>
    </xf>
    <xf numFmtId="164" fontId="5" fillId="13" borderId="22" xfId="52" applyFont="1" applyBorder="1" applyAlignment="1">
      <alignment horizontal="left" vertical="center"/>
    </xf>
    <xf numFmtId="0" fontId="45" fillId="9" borderId="23" xfId="230" applyFont="1" applyBorder="1" applyAlignment="1">
      <alignment horizontal="left" vertical="center"/>
    </xf>
    <xf numFmtId="0" fontId="45" fillId="9" borderId="24" xfId="230" applyFont="1" applyBorder="1" applyAlignment="1">
      <alignment horizontal="left" vertical="center"/>
    </xf>
    <xf numFmtId="164" fontId="5" fillId="36" borderId="17" xfId="166" applyFont="1" applyFill="1" applyBorder="1" applyAlignment="1" applyProtection="1">
      <alignment horizontal="left" vertical="center"/>
    </xf>
    <xf numFmtId="0" fontId="45" fillId="36" borderId="0" xfId="230" applyFont="1" applyFill="1" applyAlignment="1">
      <alignment horizontal="left" vertical="center"/>
    </xf>
    <xf numFmtId="0" fontId="45" fillId="36" borderId="18" xfId="230" applyFont="1" applyFill="1" applyBorder="1" applyAlignment="1">
      <alignment horizontal="left" vertical="center"/>
    </xf>
    <xf numFmtId="0" fontId="45" fillId="0" borderId="0" xfId="230" applyFont="1" applyFill="1" applyAlignment="1">
      <alignment horizontal="left" vertical="center"/>
    </xf>
    <xf numFmtId="0" fontId="45" fillId="9" borderId="0" xfId="230" applyFont="1" applyAlignment="1">
      <alignment horizontal="left" vertical="center"/>
    </xf>
    <xf numFmtId="0" fontId="5" fillId="0" borderId="0" xfId="230" applyFont="1" applyFill="1" applyAlignment="1">
      <alignment horizontal="right" vertical="center"/>
    </xf>
    <xf numFmtId="0" fontId="45" fillId="0" borderId="0" xfId="229" applyFont="1" applyFill="1" applyAlignment="1">
      <alignment horizontal="right" vertical="center"/>
    </xf>
    <xf numFmtId="0" fontId="5" fillId="36" borderId="32" xfId="230" applyFont="1" applyFill="1" applyBorder="1" applyAlignment="1" applyProtection="1">
      <alignment horizontal="right" vertical="center" wrapText="1"/>
      <protection locked="0"/>
    </xf>
    <xf numFmtId="0" fontId="45" fillId="36" borderId="32" xfId="229" applyFont="1" applyFill="1" applyBorder="1" applyAlignment="1" applyProtection="1">
      <alignment horizontal="right" vertical="center" wrapText="1"/>
      <protection locked="0"/>
    </xf>
    <xf numFmtId="0" fontId="45" fillId="36" borderId="16" xfId="229" applyFont="1" applyFill="1" applyBorder="1" applyAlignment="1" applyProtection="1">
      <alignment horizontal="right" vertical="center" wrapText="1"/>
      <protection locked="0"/>
    </xf>
    <xf numFmtId="0" fontId="5" fillId="36" borderId="10" xfId="230" applyFont="1" applyFill="1" applyBorder="1" applyAlignment="1" applyProtection="1">
      <alignment horizontal="right" vertical="center" wrapText="1"/>
      <protection locked="0"/>
    </xf>
    <xf numFmtId="0" fontId="45" fillId="36" borderId="10" xfId="230" applyFont="1" applyFill="1" applyBorder="1" applyAlignment="1" applyProtection="1">
      <alignment horizontal="right" vertical="center" wrapText="1"/>
      <protection locked="0"/>
    </xf>
    <xf numFmtId="14" fontId="5" fillId="36" borderId="32" xfId="230" applyNumberFormat="1" applyFont="1" applyFill="1" applyBorder="1" applyAlignment="1" applyProtection="1">
      <alignment horizontal="right" vertical="center"/>
      <protection locked="0"/>
    </xf>
    <xf numFmtId="14" fontId="45" fillId="36" borderId="32" xfId="229" applyNumberFormat="1" applyFont="1" applyFill="1" applyBorder="1" applyAlignment="1" applyProtection="1">
      <alignment horizontal="right" vertical="center"/>
      <protection locked="0"/>
    </xf>
    <xf numFmtId="14" fontId="45" fillId="36" borderId="16" xfId="229" applyNumberFormat="1" applyFont="1" applyFill="1" applyBorder="1" applyAlignment="1" applyProtection="1">
      <alignment horizontal="right" vertical="center"/>
      <protection locked="0"/>
    </xf>
    <xf numFmtId="0" fontId="46" fillId="35" borderId="0" xfId="233" applyFont="1" applyFill="1" applyAlignment="1">
      <alignment horizontal="right" indent="1"/>
    </xf>
    <xf numFmtId="0" fontId="46" fillId="35" borderId="31" xfId="233" applyFont="1" applyFill="1" applyBorder="1" applyAlignment="1">
      <alignment horizontal="right" indent="1"/>
    </xf>
    <xf numFmtId="0" fontId="72" fillId="35" borderId="19" xfId="233" applyFont="1" applyFill="1" applyBorder="1" applyAlignment="1">
      <alignment horizontal="center"/>
    </xf>
    <xf numFmtId="0" fontId="72" fillId="35" borderId="20" xfId="233" applyFont="1" applyFill="1" applyBorder="1" applyAlignment="1">
      <alignment horizontal="center"/>
    </xf>
    <xf numFmtId="0" fontId="72" fillId="35" borderId="21" xfId="233" applyFont="1" applyFill="1" applyBorder="1" applyAlignment="1">
      <alignment horizontal="center"/>
    </xf>
    <xf numFmtId="0" fontId="72" fillId="35" borderId="22" xfId="233" applyFont="1" applyFill="1" applyBorder="1" applyAlignment="1">
      <alignment horizontal="center"/>
    </xf>
    <xf numFmtId="0" fontId="72" fillId="35" borderId="23" xfId="233" applyFont="1" applyFill="1" applyBorder="1" applyAlignment="1">
      <alignment horizontal="center"/>
    </xf>
    <xf numFmtId="0" fontId="72" fillId="35" borderId="24" xfId="233" applyFont="1" applyFill="1" applyBorder="1" applyAlignment="1">
      <alignment horizontal="center"/>
    </xf>
    <xf numFmtId="0" fontId="68" fillId="35" borderId="17" xfId="233" applyFont="1" applyFill="1" applyBorder="1" applyAlignment="1">
      <alignment horizontal="left" vertical="top"/>
    </xf>
    <xf numFmtId="0" fontId="68" fillId="35" borderId="22" xfId="233" applyFont="1" applyFill="1" applyBorder="1" applyAlignment="1">
      <alignment horizontal="left" vertical="top"/>
    </xf>
    <xf numFmtId="0" fontId="72" fillId="35" borderId="23" xfId="233" applyFont="1" applyFill="1" applyBorder="1" applyAlignment="1">
      <alignment horizontal="center" vertical="center"/>
    </xf>
    <xf numFmtId="0" fontId="72" fillId="35" borderId="24" xfId="233" applyFont="1" applyFill="1" applyBorder="1" applyAlignment="1">
      <alignment horizontal="center" vertical="center"/>
    </xf>
    <xf numFmtId="0" fontId="46" fillId="35" borderId="18" xfId="233" applyFont="1" applyFill="1" applyBorder="1" applyAlignment="1">
      <alignment horizontal="center"/>
    </xf>
    <xf numFmtId="0" fontId="46" fillId="35" borderId="0" xfId="233" applyFont="1" applyFill="1" applyAlignment="1">
      <alignment horizontal="center"/>
    </xf>
    <xf numFmtId="0" fontId="45" fillId="36" borderId="10" xfId="233" applyFont="1" applyFill="1" applyBorder="1" applyAlignment="1" applyProtection="1">
      <alignment horizontal="right" vertical="center"/>
      <protection locked="0"/>
    </xf>
    <xf numFmtId="0" fontId="45" fillId="35" borderId="30" xfId="233" applyFont="1" applyFill="1" applyBorder="1" applyAlignment="1">
      <alignment horizontal="center"/>
    </xf>
    <xf numFmtId="0" fontId="45" fillId="35" borderId="18" xfId="233" applyFont="1" applyFill="1" applyBorder="1" applyAlignment="1">
      <alignment horizontal="center"/>
    </xf>
    <xf numFmtId="0" fontId="45" fillId="36" borderId="15" xfId="233" applyFont="1" applyFill="1" applyBorder="1" applyAlignment="1" applyProtection="1">
      <alignment horizontal="right" vertical="center"/>
      <protection locked="0"/>
    </xf>
    <xf numFmtId="0" fontId="45" fillId="36" borderId="32" xfId="233" applyFont="1" applyFill="1" applyBorder="1" applyAlignment="1" applyProtection="1">
      <alignment horizontal="right" vertical="center"/>
      <protection locked="0"/>
    </xf>
    <xf numFmtId="0" fontId="45" fillId="36" borderId="16" xfId="233" applyFont="1" applyFill="1" applyBorder="1" applyAlignment="1" applyProtection="1">
      <alignment horizontal="right" vertical="center"/>
      <protection locked="0"/>
    </xf>
    <xf numFmtId="0" fontId="45" fillId="9" borderId="32" xfId="233" applyFont="1" applyBorder="1" applyAlignment="1" applyProtection="1">
      <alignment horizontal="right" vertical="center"/>
      <protection locked="0"/>
    </xf>
    <xf numFmtId="0" fontId="45" fillId="9" borderId="16" xfId="233" applyFont="1" applyBorder="1" applyAlignment="1" applyProtection="1">
      <alignment horizontal="right" vertical="center"/>
      <protection locked="0"/>
    </xf>
    <xf numFmtId="0" fontId="45" fillId="36" borderId="15" xfId="233" quotePrefix="1" applyFont="1" applyFill="1" applyBorder="1" applyAlignment="1" applyProtection="1">
      <alignment horizontal="right" vertical="center"/>
      <protection locked="0"/>
    </xf>
    <xf numFmtId="49" fontId="5" fillId="36" borderId="32" xfId="230" applyNumberFormat="1" applyFont="1" applyFill="1" applyBorder="1" applyAlignment="1" applyProtection="1">
      <alignment horizontal="right" vertical="center"/>
      <protection locked="0"/>
    </xf>
    <xf numFmtId="49" fontId="45" fillId="36" borderId="32" xfId="229" applyNumberFormat="1" applyFont="1" applyFill="1" applyBorder="1" applyAlignment="1" applyProtection="1">
      <alignment horizontal="right" vertical="center"/>
      <protection locked="0"/>
    </xf>
    <xf numFmtId="49" fontId="45" fillId="36" borderId="16" xfId="229" applyNumberFormat="1" applyFont="1" applyFill="1" applyBorder="1" applyAlignment="1" applyProtection="1">
      <alignment horizontal="right" vertical="center"/>
      <protection locked="0"/>
    </xf>
    <xf numFmtId="0" fontId="68" fillId="35" borderId="30" xfId="230" applyFont="1" applyFill="1" applyBorder="1" applyAlignment="1">
      <alignment horizontal="left" vertical="center" wrapText="1"/>
    </xf>
    <xf numFmtId="0" fontId="68" fillId="35" borderId="0" xfId="230" applyFont="1" applyFill="1" applyAlignment="1">
      <alignment horizontal="left" vertical="center" wrapText="1"/>
    </xf>
    <xf numFmtId="0" fontId="5" fillId="36" borderId="10" xfId="230" applyFont="1" applyFill="1" applyBorder="1" applyAlignment="1" applyProtection="1">
      <alignment horizontal="right" vertical="center"/>
      <protection locked="0"/>
    </xf>
    <xf numFmtId="0" fontId="45" fillId="36" borderId="10" xfId="230" applyFont="1" applyFill="1" applyBorder="1" applyAlignment="1" applyProtection="1">
      <alignment horizontal="right" vertical="center"/>
      <protection locked="0"/>
    </xf>
    <xf numFmtId="0" fontId="5" fillId="36" borderId="32" xfId="230" applyFont="1" applyFill="1" applyBorder="1" applyAlignment="1" applyProtection="1">
      <alignment horizontal="right" vertical="center"/>
      <protection locked="0"/>
    </xf>
    <xf numFmtId="0" fontId="45" fillId="36" borderId="32" xfId="229" applyFont="1" applyFill="1" applyBorder="1" applyAlignment="1" applyProtection="1">
      <alignment horizontal="right" vertical="center"/>
      <protection locked="0"/>
    </xf>
    <xf numFmtId="0" fontId="45" fillId="36" borderId="16" xfId="229" applyFont="1" applyFill="1" applyBorder="1" applyAlignment="1" applyProtection="1">
      <alignment horizontal="right" vertical="center"/>
      <protection locked="0"/>
    </xf>
    <xf numFmtId="0" fontId="68" fillId="35" borderId="0" xfId="230" applyFont="1" applyFill="1" applyAlignment="1">
      <alignment horizontal="left" vertical="center"/>
    </xf>
    <xf numFmtId="0" fontId="73" fillId="39" borderId="0" xfId="0" applyFont="1" applyFill="1" applyAlignment="1">
      <alignment horizontal="center"/>
    </xf>
    <xf numFmtId="49" fontId="32" fillId="35" borderId="15" xfId="233" applyNumberFormat="1" applyFont="1" applyFill="1" applyBorder="1" applyAlignment="1">
      <alignment horizontal="center" vertical="center"/>
    </xf>
    <xf numFmtId="49" fontId="32" fillId="35" borderId="16" xfId="233" applyNumberFormat="1" applyFont="1" applyFill="1" applyBorder="1" applyAlignment="1">
      <alignment horizontal="center" vertical="center"/>
    </xf>
    <xf numFmtId="49" fontId="32" fillId="35" borderId="33" xfId="233" applyNumberFormat="1" applyFont="1" applyFill="1" applyBorder="1" applyAlignment="1">
      <alignment horizontal="center" vertical="center"/>
    </xf>
    <xf numFmtId="49" fontId="32" fillId="35" borderId="11" xfId="233" applyNumberFormat="1" applyFont="1" applyFill="1" applyBorder="1" applyAlignment="1">
      <alignment horizontal="center" vertical="center"/>
    </xf>
    <xf numFmtId="2" fontId="32" fillId="35" borderId="11" xfId="232" applyNumberFormat="1" applyFont="1" applyFill="1" applyBorder="1" applyAlignment="1">
      <alignment horizontal="center" vertical="center" wrapText="1"/>
    </xf>
    <xf numFmtId="2" fontId="32" fillId="35" borderId="13" xfId="232" applyNumberFormat="1" applyFont="1" applyFill="1" applyBorder="1" applyAlignment="1">
      <alignment horizontal="center" vertical="center" wrapText="1"/>
    </xf>
    <xf numFmtId="2" fontId="32" fillId="35" borderId="15" xfId="232" applyNumberFormat="1" applyFont="1" applyFill="1" applyBorder="1" applyAlignment="1">
      <alignment horizontal="center" vertical="center" wrapText="1"/>
    </xf>
    <xf numFmtId="2" fontId="32" fillId="35" borderId="32" xfId="232" applyNumberFormat="1" applyFont="1" applyFill="1" applyBorder="1" applyAlignment="1">
      <alignment horizontal="center" vertical="center" wrapText="1"/>
    </xf>
    <xf numFmtId="2" fontId="32" fillId="35" borderId="15" xfId="233" applyNumberFormat="1" applyFont="1" applyFill="1" applyBorder="1" applyAlignment="1">
      <alignment horizontal="center" vertical="center" wrapText="1"/>
    </xf>
    <xf numFmtId="2" fontId="32" fillId="35" borderId="32" xfId="233" applyNumberFormat="1" applyFont="1" applyFill="1" applyBorder="1" applyAlignment="1">
      <alignment horizontal="center" vertical="center" wrapText="1"/>
    </xf>
    <xf numFmtId="2" fontId="32" fillId="35" borderId="16" xfId="233" applyNumberFormat="1" applyFont="1" applyFill="1" applyBorder="1" applyAlignment="1">
      <alignment horizontal="center" vertical="center" wrapText="1"/>
    </xf>
    <xf numFmtId="167" fontId="32" fillId="35" borderId="15" xfId="232" quotePrefix="1" applyNumberFormat="1" applyFont="1" applyFill="1" applyBorder="1" applyAlignment="1">
      <alignment horizontal="left" vertical="center" wrapText="1"/>
    </xf>
    <xf numFmtId="167" fontId="32" fillId="35" borderId="16" xfId="232" quotePrefix="1" applyNumberFormat="1" applyFont="1" applyFill="1" applyBorder="1" applyAlignment="1">
      <alignment horizontal="left" vertical="center" wrapText="1"/>
    </xf>
    <xf numFmtId="0" fontId="5" fillId="39" borderId="0" xfId="0" applyFont="1" applyFill="1" applyAlignment="1">
      <alignment horizontal="left" vertical="top" wrapText="1"/>
    </xf>
    <xf numFmtId="49" fontId="9" fillId="35" borderId="15" xfId="232" applyNumberFormat="1" applyFont="1" applyFill="1" applyBorder="1" applyAlignment="1">
      <alignment horizontal="left" wrapText="1"/>
    </xf>
    <xf numFmtId="49" fontId="9" fillId="35" borderId="16" xfId="232" applyNumberFormat="1" applyFont="1" applyFill="1" applyBorder="1" applyAlignment="1">
      <alignment horizontal="left" wrapText="1"/>
    </xf>
    <xf numFmtId="0" fontId="5" fillId="0" borderId="0" xfId="234" applyFont="1" applyFill="1" applyAlignment="1">
      <alignment horizontal="left" vertical="center"/>
    </xf>
    <xf numFmtId="0" fontId="51" fillId="32" borderId="0" xfId="154" applyAlignment="1">
      <alignment horizontal="left" vertical="top" wrapText="1"/>
    </xf>
    <xf numFmtId="2" fontId="32" fillId="35" borderId="10" xfId="233" applyNumberFormat="1" applyFont="1" applyFill="1" applyBorder="1" applyAlignment="1">
      <alignment horizontal="center" vertical="center" wrapText="1"/>
    </xf>
    <xf numFmtId="0" fontId="5" fillId="39" borderId="0" xfId="0" applyFont="1" applyFill="1" applyAlignment="1">
      <alignment horizontal="left" vertical="center" wrapText="1"/>
    </xf>
    <xf numFmtId="0" fontId="32" fillId="37" borderId="32" xfId="235" applyFont="1" applyFill="1" applyBorder="1" applyAlignment="1">
      <alignment horizontal="left"/>
    </xf>
    <xf numFmtId="0" fontId="32" fillId="37" borderId="16" xfId="235" applyFont="1" applyFill="1" applyBorder="1" applyAlignment="1">
      <alignment horizontal="left"/>
    </xf>
    <xf numFmtId="49" fontId="32" fillId="35" borderId="30" xfId="237" applyNumberFormat="1" applyFont="1" applyFill="1" applyBorder="1" applyAlignment="1">
      <alignment horizontal="center" vertical="center" wrapText="1"/>
    </xf>
    <xf numFmtId="49" fontId="32" fillId="35" borderId="0" xfId="237" applyNumberFormat="1" applyFont="1" applyFill="1" applyAlignment="1">
      <alignment horizontal="center" vertical="center" wrapText="1"/>
    </xf>
    <xf numFmtId="49" fontId="32" fillId="35" borderId="15" xfId="237" applyNumberFormat="1" applyFont="1" applyFill="1" applyBorder="1" applyAlignment="1">
      <alignment horizontal="center" vertical="center" wrapText="1"/>
    </xf>
    <xf numFmtId="49" fontId="32" fillId="35" borderId="16" xfId="237" applyNumberFormat="1" applyFont="1" applyFill="1" applyBorder="1" applyAlignment="1">
      <alignment horizontal="center" vertical="center" wrapText="1"/>
    </xf>
    <xf numFmtId="49" fontId="55" fillId="37" borderId="33" xfId="232" applyNumberFormat="1" applyFont="1" applyFill="1" applyBorder="1" applyAlignment="1">
      <alignment horizontal="left"/>
    </xf>
    <xf numFmtId="49" fontId="55" fillId="37" borderId="34" xfId="232" applyNumberFormat="1" applyFont="1" applyFill="1" applyBorder="1" applyAlignment="1">
      <alignment horizontal="left"/>
    </xf>
    <xf numFmtId="168" fontId="55" fillId="37" borderId="15" xfId="235" applyNumberFormat="1" applyFont="1" applyFill="1" applyBorder="1" applyAlignment="1">
      <alignment horizontal="left"/>
    </xf>
    <xf numFmtId="168" fontId="55" fillId="37" borderId="32" xfId="235" applyNumberFormat="1" applyFont="1" applyFill="1" applyBorder="1" applyAlignment="1">
      <alignment horizontal="left"/>
    </xf>
    <xf numFmtId="168" fontId="55" fillId="37" borderId="16" xfId="235" applyNumberFormat="1" applyFont="1" applyFill="1" applyBorder="1" applyAlignment="1">
      <alignment horizontal="left"/>
    </xf>
    <xf numFmtId="173" fontId="34" fillId="13" borderId="10" xfId="80" applyNumberFormat="1" applyFont="1" applyFill="1" applyBorder="1" applyAlignment="1" applyProtection="1">
      <alignment horizontal="center" vertical="center" wrapText="1"/>
    </xf>
    <xf numFmtId="49" fontId="57" fillId="35" borderId="14" xfId="233" applyNumberFormat="1" applyFont="1" applyFill="1" applyBorder="1" applyAlignment="1">
      <alignment horizontal="center" vertical="center"/>
    </xf>
    <xf numFmtId="49" fontId="57" fillId="35" borderId="12" xfId="233" applyNumberFormat="1" applyFont="1" applyFill="1" applyBorder="1" applyAlignment="1">
      <alignment horizontal="center" vertical="center"/>
    </xf>
    <xf numFmtId="49" fontId="32" fillId="35" borderId="14" xfId="233" applyNumberFormat="1" applyFont="1" applyFill="1" applyBorder="1" applyAlignment="1">
      <alignment horizontal="center" vertical="center" wrapText="1"/>
    </xf>
    <xf numFmtId="49" fontId="32" fillId="35" borderId="12" xfId="233" applyNumberFormat="1" applyFont="1" applyFill="1" applyBorder="1" applyAlignment="1">
      <alignment horizontal="center" vertical="center" wrapText="1"/>
    </xf>
    <xf numFmtId="2" fontId="32" fillId="35" borderId="14" xfId="233" applyNumberFormat="1" applyFont="1" applyFill="1" applyBorder="1" applyAlignment="1">
      <alignment horizontal="center" vertical="center" wrapText="1"/>
    </xf>
    <xf numFmtId="2" fontId="32" fillId="35" borderId="12" xfId="233" applyNumberFormat="1" applyFont="1" applyFill="1" applyBorder="1" applyAlignment="1">
      <alignment horizontal="center" vertical="center" wrapText="1"/>
    </xf>
    <xf numFmtId="49" fontId="32" fillId="35" borderId="33" xfId="233" applyNumberFormat="1" applyFont="1" applyFill="1" applyBorder="1" applyAlignment="1">
      <alignment horizontal="center" vertical="center" wrapText="1"/>
    </xf>
    <xf numFmtId="49" fontId="32" fillId="35" borderId="11" xfId="233" applyNumberFormat="1" applyFont="1" applyFill="1" applyBorder="1" applyAlignment="1">
      <alignment horizontal="center" vertical="center" wrapText="1"/>
    </xf>
    <xf numFmtId="49" fontId="71" fillId="35" borderId="35" xfId="233" applyNumberFormat="1" applyFont="1" applyFill="1" applyBorder="1" applyAlignment="1">
      <alignment horizontal="center" vertical="center" wrapText="1"/>
    </xf>
    <xf numFmtId="49" fontId="71" fillId="35" borderId="36" xfId="233" applyNumberFormat="1" applyFont="1" applyFill="1" applyBorder="1" applyAlignment="1">
      <alignment horizontal="center" vertical="center" wrapText="1"/>
    </xf>
    <xf numFmtId="49" fontId="32" fillId="35" borderId="19" xfId="233" applyNumberFormat="1" applyFont="1" applyFill="1" applyBorder="1" applyAlignment="1">
      <alignment horizontal="center" vertical="center" wrapText="1"/>
    </xf>
    <xf numFmtId="49" fontId="32" fillId="35" borderId="20" xfId="233" applyNumberFormat="1" applyFont="1" applyFill="1" applyBorder="1" applyAlignment="1">
      <alignment horizontal="center" vertical="center" wrapText="1"/>
    </xf>
    <xf numFmtId="49" fontId="32" fillId="35" borderId="21" xfId="233" applyNumberFormat="1" applyFont="1" applyFill="1" applyBorder="1" applyAlignment="1">
      <alignment horizontal="center" vertical="center" wrapText="1"/>
    </xf>
    <xf numFmtId="49" fontId="32" fillId="35" borderId="35" xfId="233" applyNumberFormat="1" applyFont="1" applyFill="1" applyBorder="1" applyAlignment="1">
      <alignment horizontal="center" vertical="center" wrapText="1"/>
    </xf>
    <xf numFmtId="49" fontId="32" fillId="35" borderId="37" xfId="233" applyNumberFormat="1" applyFont="1" applyFill="1" applyBorder="1" applyAlignment="1">
      <alignment horizontal="center" vertical="center" wrapText="1"/>
    </xf>
    <xf numFmtId="49" fontId="32" fillId="35" borderId="36" xfId="233" applyNumberFormat="1" applyFont="1" applyFill="1" applyBorder="1" applyAlignment="1">
      <alignment horizontal="center" vertical="center" wrapText="1"/>
    </xf>
    <xf numFmtId="49" fontId="9" fillId="35" borderId="38" xfId="233" applyNumberFormat="1" applyFont="1" applyFill="1" applyBorder="1" applyAlignment="1">
      <alignment horizontal="center" vertical="center" wrapText="1"/>
    </xf>
    <xf numFmtId="49" fontId="9" fillId="35" borderId="39" xfId="233" applyNumberFormat="1" applyFont="1" applyFill="1" applyBorder="1" applyAlignment="1">
      <alignment horizontal="center" vertical="center" wrapText="1"/>
    </xf>
    <xf numFmtId="49" fontId="9" fillId="35" borderId="14" xfId="233" applyNumberFormat="1" applyFont="1" applyFill="1" applyBorder="1" applyAlignment="1">
      <alignment horizontal="center" vertical="center" wrapText="1"/>
    </xf>
    <xf numFmtId="49" fontId="9" fillId="35" borderId="12" xfId="233" applyNumberFormat="1" applyFont="1" applyFill="1" applyBorder="1" applyAlignment="1">
      <alignment horizontal="center" vertical="center" wrapText="1"/>
    </xf>
    <xf numFmtId="49" fontId="9" fillId="35" borderId="40" xfId="233" applyNumberFormat="1" applyFont="1" applyFill="1" applyBorder="1" applyAlignment="1">
      <alignment horizontal="center" vertical="center" wrapText="1"/>
    </xf>
    <xf numFmtId="49" fontId="9" fillId="35" borderId="41" xfId="233" applyNumberFormat="1" applyFont="1" applyFill="1" applyBorder="1" applyAlignment="1">
      <alignment horizontal="center" vertical="center" wrapText="1"/>
    </xf>
  </cellXfs>
  <cellStyles count="334">
    <cellStyle name="_APL (B001)_Jan11_Rec 2" xfId="267" xr:uid="{AA5DC9A6-9AAA-405A-BC5A-F0B5018E8552}"/>
    <cellStyle name="=C:\WINNT\SYSTEM32\COMMAND.COM 2" xfId="1" xr:uid="{19082080-256D-4138-9F10-5A2F1C63CF32}"/>
    <cellStyle name="=C:\WINNT\SYSTEM32\COMMAND.COM 2 2" xfId="324" xr:uid="{46631045-4891-46F5-8C98-50D21A881B83}"/>
    <cellStyle name="=C:\WINNT\SYSTEM32\COMMAND.COM 2 3" xfId="299" xr:uid="{8F548160-7BC6-4485-BF70-B008F1BF45FB}"/>
    <cellStyle name="20% - Accent1" xfId="2" builtinId="30" customBuiltin="1"/>
    <cellStyle name="20% - Accent1 2" xfId="3" xr:uid="{2FF1A157-9D04-4391-BE03-91F3B170296D}"/>
    <cellStyle name="20% - Accent2" xfId="4" builtinId="34" customBuiltin="1"/>
    <cellStyle name="20% - Accent2 2" xfId="5" xr:uid="{469CDF56-E730-462E-88AD-46F1A1A5062A}"/>
    <cellStyle name="20% - Accent3" xfId="6" builtinId="38" customBuiltin="1"/>
    <cellStyle name="20% - Accent3 2" xfId="7" xr:uid="{AF25FA27-5D7F-4BAA-9FB8-577D0C42521B}"/>
    <cellStyle name="20% - Accent4" xfId="8" builtinId="42" customBuiltin="1"/>
    <cellStyle name="20% - Accent4 2" xfId="9" xr:uid="{66C924E8-912B-48B8-8633-453A94ABDD4E}"/>
    <cellStyle name="20% - Accent5" xfId="10" builtinId="46" customBuiltin="1"/>
    <cellStyle name="20% - Accent5 2" xfId="11" xr:uid="{BB0D6F9E-E95E-4288-B121-5A20C37F9B93}"/>
    <cellStyle name="20% - Accent6" xfId="12" builtinId="50" customBuiltin="1"/>
    <cellStyle name="20% - Accent6 2" xfId="13" xr:uid="{0FE00519-BE7D-4808-BA88-EA1B759B558B}"/>
    <cellStyle name="40% - Accent1" xfId="14" builtinId="31" customBuiltin="1"/>
    <cellStyle name="40% - Accent1 2" xfId="15" xr:uid="{8A02651A-054D-4CF6-B032-6FDBCBC33D15}"/>
    <cellStyle name="40% - Accent2" xfId="16" builtinId="35" customBuiltin="1"/>
    <cellStyle name="40% - Accent2 2" xfId="17" xr:uid="{EC0156E0-49C5-468D-AF5B-63E34BC33C96}"/>
    <cellStyle name="40% - Accent3" xfId="18" builtinId="39" customBuiltin="1"/>
    <cellStyle name="40% - Accent3 2" xfId="19" xr:uid="{58014415-CF71-42D3-B431-EC2D31B71814}"/>
    <cellStyle name="40% - Accent4" xfId="20" builtinId="43" customBuiltin="1"/>
    <cellStyle name="40% - Accent4 2" xfId="21" xr:uid="{7ABC43BB-2A9B-407E-ABEE-120D4A434E44}"/>
    <cellStyle name="40% - Accent5" xfId="22" builtinId="47" customBuiltin="1"/>
    <cellStyle name="40% - Accent5 2" xfId="23" xr:uid="{B27DB9DF-6448-4A0B-918C-5F46E863C4C4}"/>
    <cellStyle name="40% - Accent6" xfId="24" builtinId="51" customBuiltin="1"/>
    <cellStyle name="40% - Accent6 2" xfId="25" xr:uid="{BC48D00D-F293-4D47-BE1A-B8ECDF39872A}"/>
    <cellStyle name="60% - Accent1" xfId="26" builtinId="32" customBuiltin="1"/>
    <cellStyle name="60% - Accent1 2" xfId="27" xr:uid="{700B14C3-6F17-4CD0-8D2D-94C7A7FFCF0C}"/>
    <cellStyle name="60% - Accent2" xfId="28" builtinId="36" customBuiltin="1"/>
    <cellStyle name="60% - Accent2 2" xfId="29" xr:uid="{AAE2C912-3BAD-4C03-A90D-C8E810AE321B}"/>
    <cellStyle name="60% - Accent3" xfId="30" builtinId="40" customBuiltin="1"/>
    <cellStyle name="60% - Accent3 2" xfId="31" xr:uid="{525AEB21-4AE6-4EAA-AD92-C7845135D2F2}"/>
    <cellStyle name="60% - Accent4" xfId="32" builtinId="44" customBuiltin="1"/>
    <cellStyle name="60% - Accent4 2" xfId="33" xr:uid="{A693AA91-0CAC-4CFD-B61A-516459759FD8}"/>
    <cellStyle name="60% - Accent5" xfId="34" builtinId="48" customBuiltin="1"/>
    <cellStyle name="60% - Accent5 2" xfId="35" xr:uid="{AD824D81-A416-476D-BF05-B6725976C90F}"/>
    <cellStyle name="60% - Accent6" xfId="36" builtinId="52" customBuiltin="1"/>
    <cellStyle name="60% - Accent6 2" xfId="37" xr:uid="{311133BC-6504-4606-A88D-D86D9FBDCD11}"/>
    <cellStyle name="Accent1" xfId="38" builtinId="29" customBuiltin="1"/>
    <cellStyle name="Accent1 2" xfId="39" xr:uid="{1DEBAAB1-A860-489B-BE1A-8D2308542E24}"/>
    <cellStyle name="Accent2" xfId="40" builtinId="33" customBuiltin="1"/>
    <cellStyle name="Accent2 2" xfId="41" xr:uid="{BA9C38D9-387D-440C-A8D7-84449206A9C9}"/>
    <cellStyle name="Accent3" xfId="42" builtinId="37" customBuiltin="1"/>
    <cellStyle name="Accent3 2" xfId="43" xr:uid="{06BB5C54-4AC9-4D17-BF6E-E7D3C9FCE685}"/>
    <cellStyle name="Accent4" xfId="44" builtinId="41" customBuiltin="1"/>
    <cellStyle name="Accent4 2" xfId="45" xr:uid="{913A62E2-535D-4097-9E57-47071849092A}"/>
    <cellStyle name="Accent5" xfId="46" builtinId="45" customBuiltin="1"/>
    <cellStyle name="Accent5 2" xfId="47" xr:uid="{1950D6FC-9DEB-4A56-98A9-0530CF1B1771}"/>
    <cellStyle name="Accent6" xfId="48" builtinId="49" customBuiltin="1"/>
    <cellStyle name="Accent6 2" xfId="49" xr:uid="{CCAC6749-A48B-4DA8-99DF-5DF1561CF2FE}"/>
    <cellStyle name="Bad" xfId="50" builtinId="27" customBuiltin="1"/>
    <cellStyle name="Bad 2" xfId="51" xr:uid="{6BD16740-AA8C-41B8-86FE-9EF9DA6E42E0}"/>
    <cellStyle name="Blockout" xfId="52" xr:uid="{A0D1EF90-A873-4A59-B372-96FFB96A2181}"/>
    <cellStyle name="Blockout 2" xfId="53" xr:uid="{2AA391C9-C486-4075-A2A2-C7A430B51B19}"/>
    <cellStyle name="Blockout 2 2" xfId="54" xr:uid="{F6B160FE-46C5-4E24-8A8C-F4BD3928CF67}"/>
    <cellStyle name="Blockout 2 2 2" xfId="55" xr:uid="{5D64FF4A-D31F-430D-B128-DEC1E0C7272F}"/>
    <cellStyle name="Blockout 2 2 2 2" xfId="56" xr:uid="{4DEA0E3C-0EA2-405F-93A7-F0E780C2AF1F}"/>
    <cellStyle name="Blockout 2 2 3" xfId="57" xr:uid="{264E3EBB-DD2E-4768-A766-99EC345DE6D0}"/>
    <cellStyle name="Blockout 2 2 3 2" xfId="58" xr:uid="{CF47BA15-9607-4708-9799-4F770119FE40}"/>
    <cellStyle name="Blockout 2 2 4" xfId="59" xr:uid="{D6F398C6-2F39-4710-8606-66145F4D6298}"/>
    <cellStyle name="Blockout 2 2 5" xfId="60" xr:uid="{DDF2B445-D06F-4FBD-8C7E-BC057C1C3712}"/>
    <cellStyle name="Blockout 2 2 6" xfId="270" xr:uid="{70C6FC43-B961-47E9-BB1C-74D72915AF57}"/>
    <cellStyle name="Blockout 2 3" xfId="61" xr:uid="{28CEE857-389B-4D54-B0CD-1FB30A1A2014}"/>
    <cellStyle name="Blockout 2 3 2" xfId="62" xr:uid="{821E5938-C18A-4A5F-9494-9924E0DE4877}"/>
    <cellStyle name="Blockout 2 4" xfId="63" xr:uid="{A8C2F3D7-CB98-426B-BF93-EFE85598214B}"/>
    <cellStyle name="Blockout 2 4 2" xfId="64" xr:uid="{099BCBE7-1E42-415D-B3EC-D87A5356D482}"/>
    <cellStyle name="Blockout 2 5" xfId="65" xr:uid="{57DD44EA-BD8B-4AEC-A6FE-86C3B4313A1D}"/>
    <cellStyle name="Blockout 2 6" xfId="66" xr:uid="{7E3B2796-742F-4990-BCD4-1677D422C719}"/>
    <cellStyle name="Blockout 2 7" xfId="269" xr:uid="{30793FA6-1148-424D-9A01-CD307282C64C}"/>
    <cellStyle name="Blockout 3" xfId="67" xr:uid="{E69AFD4B-6E3D-46A2-994B-B7EAB001317A}"/>
    <cellStyle name="Blockout 3 2" xfId="68" xr:uid="{453D5C2C-DB86-4E8D-BB4F-056798B0343A}"/>
    <cellStyle name="Blockout 3 2 2" xfId="69" xr:uid="{CF71C4FB-2C4F-45E8-8D9D-12DC926C43E5}"/>
    <cellStyle name="Blockout 3 3" xfId="70" xr:uid="{1946BFCC-C609-45B2-847E-6ACF0EE12419}"/>
    <cellStyle name="Blockout 3 3 2" xfId="71" xr:uid="{12F358FD-1B8A-4FF5-8FA3-17A37949E6F8}"/>
    <cellStyle name="Blockout 3 4" xfId="72" xr:uid="{26039BB9-06E3-457C-AF30-FC40DEBDA261}"/>
    <cellStyle name="Blockout 3 5" xfId="73" xr:uid="{1585EB33-BB6F-4B13-90A0-1B9A8C0BF913}"/>
    <cellStyle name="Blockout 3 6" xfId="271" xr:uid="{E24E5CD7-FA92-4943-A0D3-7C2B8A031D6B}"/>
    <cellStyle name="Blockout 4" xfId="268" xr:uid="{7B38C194-A34B-4E0D-997A-E5F8082F4D36}"/>
    <cellStyle name="Calculation" xfId="74" builtinId="22" customBuiltin="1"/>
    <cellStyle name="Calculation 2" xfId="75" xr:uid="{4EA9631A-DF2D-4A44-9577-E829B76CC24F}"/>
    <cellStyle name="Check Cell" xfId="76" builtinId="23" customBuiltin="1"/>
    <cellStyle name="Check Cell 2" xfId="77" xr:uid="{560654CB-6409-452B-97F8-2A7265456F57}"/>
    <cellStyle name="Comma" xfId="78" builtinId="3"/>
    <cellStyle name="Comma 10" xfId="79" xr:uid="{C8C707FD-C0FC-4385-85D7-6D3EF8F05205}"/>
    <cellStyle name="Comma 10 2" xfId="80" xr:uid="{01CCC7DB-AA35-4603-B8ED-835B036B78B3}"/>
    <cellStyle name="Comma 10 2 2" xfId="273" xr:uid="{17E26994-A42C-4A4B-8E96-A2B8D49541A1}"/>
    <cellStyle name="Comma 10 3" xfId="272" xr:uid="{5D47DD37-9B23-4737-854C-40672B865379}"/>
    <cellStyle name="Comma 11" xfId="81" xr:uid="{A207C916-C518-4BB3-A27C-FCB7D1FA1598}"/>
    <cellStyle name="Comma 11 2" xfId="330" xr:uid="{78FD4229-15A7-4D95-8366-2BC5804E3C5D}"/>
    <cellStyle name="Comma 12" xfId="82" xr:uid="{E693C576-AC8E-4E4B-9370-4CA76B0996E7}"/>
    <cellStyle name="Comma 12 2" xfId="314" xr:uid="{57556A72-54F1-4ECF-A428-118C62E923A6}"/>
    <cellStyle name="Comma 12 3" xfId="308" xr:uid="{4EC8E0DD-B60A-4088-8946-6A0125999DBB}"/>
    <cellStyle name="Comma 13" xfId="83" xr:uid="{9CF93399-9B14-4A8E-9809-658050537302}"/>
    <cellStyle name="Comma 13 2" xfId="261" xr:uid="{0BDE89DE-8910-4875-970D-C2A7AE266CF1}"/>
    <cellStyle name="Comma 13 2 2" xfId="316" xr:uid="{B04A85FD-D985-4E6B-8D46-980DAFE17423}"/>
    <cellStyle name="Comma 14" xfId="332" xr:uid="{23582797-51CE-4C8B-AF25-674772D05FB1}"/>
    <cellStyle name="Comma 15" xfId="319" xr:uid="{458609EA-7BED-4410-AACA-3DD9ECDE11E6}"/>
    <cellStyle name="Comma 2" xfId="84" xr:uid="{68E4C6A7-9CB3-4F67-8754-7E5A9A8C130F}"/>
    <cellStyle name="Comma 2 2" xfId="85" xr:uid="{27DFE0FD-94EE-4F46-89B9-AD8FAA64D5B3}"/>
    <cellStyle name="Comma 2 2 2" xfId="86" xr:uid="{079EC3C2-10E7-43AD-8539-44EA8C6D75E2}"/>
    <cellStyle name="Comma 2 2 2 2" xfId="87" xr:uid="{0F680AF5-6EE1-4B15-847B-B37DD050BD75}"/>
    <cellStyle name="Comma 2 2 2 2 2" xfId="88" xr:uid="{DEADAAD6-BC84-487F-8446-D801612F9A0D}"/>
    <cellStyle name="Comma 2 2 2 3" xfId="89" xr:uid="{C92B405A-D70D-42D3-9D2A-D41ED820E341}"/>
    <cellStyle name="Comma 2 2 3" xfId="90" xr:uid="{5B18298F-0F6D-4CF8-8EA1-E5A8CD13E0F4}"/>
    <cellStyle name="Comma 2 2 3 2" xfId="91" xr:uid="{DA03C95F-8339-4C85-9408-0C2A575BD1B5}"/>
    <cellStyle name="Comma 2 2 4" xfId="92" xr:uid="{63D14ADB-1011-4B0D-A962-70F0D725F0DA}"/>
    <cellStyle name="Comma 2 2 4 2" xfId="93" xr:uid="{011F22EF-64D4-4F3F-A674-DAF17436D5B8}"/>
    <cellStyle name="Comma 2 2 5" xfId="94" xr:uid="{5E95FED4-5874-41CB-9541-6F0D8F3B5206}"/>
    <cellStyle name="Comma 2 2 6" xfId="95" xr:uid="{5B2EA44F-A06B-491C-97C2-A128E8C76905}"/>
    <cellStyle name="Comma 2 2 7" xfId="274" xr:uid="{FB098A4D-83DC-458A-B60C-E8AB438DF115}"/>
    <cellStyle name="Comma 2 3" xfId="96" xr:uid="{CB0B9789-8897-483A-92BA-CACFF75B27C2}"/>
    <cellStyle name="Comma 2 3 2" xfId="97" xr:uid="{A5DF167C-D4E6-43D5-A8C0-B938051682BB}"/>
    <cellStyle name="Comma 2 3 2 2" xfId="98" xr:uid="{F752AA32-D97B-403D-923B-256B95977A9F}"/>
    <cellStyle name="Comma 2 3 3" xfId="99" xr:uid="{6339FDD8-62D5-4D2E-B701-AEB475CD7F0E}"/>
    <cellStyle name="Comma 2 3 4" xfId="306" xr:uid="{5842A77B-15CD-4052-B392-4B4A6B508EFF}"/>
    <cellStyle name="Comma 2 4" xfId="100" xr:uid="{6B53F70B-AE85-4F23-BDE8-B161E1110E1A}"/>
    <cellStyle name="Comma 2 4 2" xfId="101" xr:uid="{721A6678-9622-4E1F-AC59-1ABA0A88E900}"/>
    <cellStyle name="Comma 2 5" xfId="102" xr:uid="{99BF71C1-6A66-49DF-AB24-13D099104091}"/>
    <cellStyle name="Comma 2 5 2" xfId="103" xr:uid="{264EDE19-652C-4F47-B25E-1AA5204B0CD4}"/>
    <cellStyle name="Comma 2 5 3" xfId="265" xr:uid="{9843BB03-A6B1-485F-A93D-AACA14C9BEBF}"/>
    <cellStyle name="Comma 2 6" xfId="104" xr:uid="{32BB1EAE-6284-4E68-9E2E-4D860470D776}"/>
    <cellStyle name="Comma 2 7" xfId="105" xr:uid="{040EB3FC-9D6B-4E74-8FCC-46F7CA89455D}"/>
    <cellStyle name="Comma 3" xfId="106" xr:uid="{A4762935-6C9E-4EC5-B697-46DF1F78B85D}"/>
    <cellStyle name="Comma 3 10 3" xfId="328" xr:uid="{A8C4E1BC-68BD-4DF3-BF76-23811363564A}"/>
    <cellStyle name="Comma 3 2" xfId="107" xr:uid="{2FAC0881-D9CB-4DA7-8BFA-12B80AAA91F6}"/>
    <cellStyle name="Comma 3 2 2" xfId="108" xr:uid="{E5496A77-C820-4F1B-9922-608C6F4D1B99}"/>
    <cellStyle name="Comma 3 2 2 2" xfId="109" xr:uid="{AB1AD3C6-3DB1-4E5C-BE2A-9611651625F5}"/>
    <cellStyle name="Comma 3 2 2 3" xfId="325" xr:uid="{9C662DD5-D2A8-469F-9CA1-B2DFC3855042}"/>
    <cellStyle name="Comma 3 2 3" xfId="110" xr:uid="{524CF041-6F3E-4A7A-9D56-2588485E0B7F}"/>
    <cellStyle name="Comma 3 2 4" xfId="300" xr:uid="{5FD4BFCB-9D67-4CEE-A235-CC9383E30C31}"/>
    <cellStyle name="Comma 3 3" xfId="111" xr:uid="{A0B95DC5-E7B3-4987-98A3-D7D8631A8E1C}"/>
    <cellStyle name="Comma 3 3 2" xfId="112" xr:uid="{DCC845B1-0E93-41D1-BC9A-F46BFB12D4D1}"/>
    <cellStyle name="Comma 3 4" xfId="113" xr:uid="{A8854C6A-2524-4049-AB98-1147B41EEAFC}"/>
    <cellStyle name="Comma 3 4 2" xfId="114" xr:uid="{DA9DF1D4-1AEB-410D-A284-4F5E627F85B6}"/>
    <cellStyle name="Comma 3 5" xfId="115" xr:uid="{FBCAAE25-4E88-46D2-9EA7-85D959207371}"/>
    <cellStyle name="Comma 3 6" xfId="116" xr:uid="{AEA96487-2A47-48DF-925A-A2E3D447A2D6}"/>
    <cellStyle name="Comma 3 7" xfId="275" xr:uid="{070007C7-6419-4DA3-8B20-2C2C250ECE0F}"/>
    <cellStyle name="Comma 4" xfId="117" xr:uid="{54C56D6B-1752-4311-A473-D5556946CB5C}"/>
    <cellStyle name="Comma 4 2" xfId="118" xr:uid="{56973046-8740-4BD3-8E91-8924DED84E0E}"/>
    <cellStyle name="Comma 4 2 2" xfId="119" xr:uid="{B41D22BA-39C2-4971-82FF-4E783A8A3857}"/>
    <cellStyle name="Comma 4 2 2 2" xfId="327" xr:uid="{93E3E201-EAED-441A-BF1C-DFE1A69BEB5A}"/>
    <cellStyle name="Comma 4 2 3" xfId="310" xr:uid="{4BB6A3A0-AE3C-4C00-9382-8427DC440872}"/>
    <cellStyle name="Comma 4 3" xfId="120" xr:uid="{DE38264E-4FEA-4684-BFFA-F873138C6379}"/>
    <cellStyle name="Comma 4 3 2" xfId="121" xr:uid="{85AD7BBE-F6EB-4B98-9242-F06E2DFAA874}"/>
    <cellStyle name="Comma 4 4" xfId="122" xr:uid="{64D82909-AD83-4F79-AD04-4D09831B650F}"/>
    <cellStyle name="Comma 4 5" xfId="298" xr:uid="{31F2B4BA-248A-48F0-AA83-1229B84C6F2D}"/>
    <cellStyle name="Comma 5" xfId="123" xr:uid="{530B3C2E-51C5-45E5-9B73-FDDA4CCA15F8}"/>
    <cellStyle name="Comma 5 2" xfId="124" xr:uid="{B90D9163-5460-4C3F-ADCF-C7058AC1C1A3}"/>
    <cellStyle name="Comma 5 2 2" xfId="125" xr:uid="{BD83D35D-0881-4DF4-A670-D3502FC3D8A9}"/>
    <cellStyle name="Comma 5 2 3" xfId="322" xr:uid="{166A7ECD-A7F4-4F72-A312-18DFE61B0C60}"/>
    <cellStyle name="Comma 5 3" xfId="126" xr:uid="{4210A7EB-7F53-435C-BBC7-4C86E3145CCF}"/>
    <cellStyle name="Comma 5 4" xfId="305" xr:uid="{35C934D7-0EAF-4799-BBE1-E9486A366C4E}"/>
    <cellStyle name="Comma 6" xfId="127" xr:uid="{27C9CF2F-9472-4313-8226-D247012BC4AB}"/>
    <cellStyle name="Comma 6 2" xfId="128" xr:uid="{44C6553D-189A-4332-88C7-35360F2FC1EF}"/>
    <cellStyle name="Comma 6 2 2" xfId="129" xr:uid="{FA63B1F3-BF97-46CA-BB02-8197CD700997}"/>
    <cellStyle name="Comma 6 2 2 2" xfId="130" xr:uid="{E5410672-A6D5-4907-843C-1B55FD7D209F}"/>
    <cellStyle name="Comma 6 2 2 2 2" xfId="131" xr:uid="{800B24A3-B4DC-48ED-8963-2F9B266D1D16}"/>
    <cellStyle name="Comma 6 2 2 2 2 2" xfId="266" xr:uid="{8B0AA67F-62BB-4EC5-ACE8-630FD06EBA06}"/>
    <cellStyle name="Comma 6 2 3" xfId="132" xr:uid="{153FCEA4-3304-4957-8FF7-1D153A97B11F}"/>
    <cellStyle name="Comma 6 3" xfId="133" xr:uid="{83EFBCC7-8F14-4D79-991D-863F8D846E06}"/>
    <cellStyle name="Comma 6 3 2" xfId="134" xr:uid="{86BC2970-F3A1-4C22-9654-4A48169F0C58}"/>
    <cellStyle name="Comma 6 4" xfId="135" xr:uid="{82B84444-C50E-4178-8168-D7B2224B3EB6}"/>
    <cellStyle name="Comma 6 5" xfId="136" xr:uid="{5FC34D6F-24AE-4A51-A761-5E04CBA4F22B}"/>
    <cellStyle name="Comma 6 5 2" xfId="313" xr:uid="{3FF473ED-2572-4A09-86D8-4540FA4594B7}"/>
    <cellStyle name="Comma 7" xfId="137" xr:uid="{CDE7BD3E-ADDF-4FAF-9392-B75C0B965986}"/>
    <cellStyle name="Comma 7 2" xfId="138" xr:uid="{3B099803-4040-4790-A030-073B2710B265}"/>
    <cellStyle name="Comma 7 2 2" xfId="139" xr:uid="{A7180719-5BD2-46DF-A08A-071A55E451D2}"/>
    <cellStyle name="Comma 7 3" xfId="140" xr:uid="{CB7FDF1C-6D75-4B3A-9A1E-0431524FB17E}"/>
    <cellStyle name="Comma 8" xfId="141" xr:uid="{ED314B8A-2602-482F-8053-EA77A7296577}"/>
    <cellStyle name="Comma 8 2" xfId="142" xr:uid="{37ADCA3F-DD7C-4DAC-987E-C5A391E05D55}"/>
    <cellStyle name="Comma 8 2 2" xfId="143" xr:uid="{660439E7-B3EC-4784-9E53-F6500746B738}"/>
    <cellStyle name="Comma 8 3" xfId="144" xr:uid="{834E66AC-1D4C-44A8-B051-C4788F287009}"/>
    <cellStyle name="Comma 9" xfId="145" xr:uid="{E4F6BA5B-429D-4B61-893D-AB958E67E8F7}"/>
    <cellStyle name="Comma 9 2" xfId="146" xr:uid="{DE99C417-9BDD-47FF-99F7-A765E9282077}"/>
    <cellStyle name="Currency 2" xfId="147" xr:uid="{D94FD8DD-6063-4A5F-ABCA-6608DB540CDA}"/>
    <cellStyle name="Currency 2 2" xfId="148" xr:uid="{1667D2FE-9A5C-4FEF-BE5A-73C061E5B9CB}"/>
    <cellStyle name="Currency 2 2 2" xfId="149" xr:uid="{BEBF237E-3674-45EE-9856-824CAFB1A423}"/>
    <cellStyle name="Currency 2 2 3" xfId="318" xr:uid="{DE545AA1-3CF0-4BE8-8549-F09DAFFD39F7}"/>
    <cellStyle name="Currency 2 3" xfId="150" xr:uid="{78000477-1A7D-4A14-A4FD-2DD20A22DA7F}"/>
    <cellStyle name="Currency 2 3 2" xfId="151" xr:uid="{C96B9C85-A75A-4773-9F7D-5857A279E3BB}"/>
    <cellStyle name="Currency 2 4" xfId="152" xr:uid="{F90C2A8C-923A-4483-962F-14FD32091D6A}"/>
    <cellStyle name="Currency 2 5" xfId="301" xr:uid="{17263A32-D824-46F9-8069-802DB4922E13}"/>
    <cellStyle name="Currency 3" xfId="153" xr:uid="{134C3479-22B1-43B8-8911-357628538037}"/>
    <cellStyle name="dms_H" xfId="154" xr:uid="{72262894-CEBD-41C8-832D-FB14A437F91F}"/>
    <cellStyle name="dms_TopHeader" xfId="155" xr:uid="{F79EBEC0-1744-4700-A7F3-FE035BE22C3B}"/>
    <cellStyle name="Explanatory Text" xfId="156" builtinId="53" customBuiltin="1"/>
    <cellStyle name="Good" xfId="157" builtinId="26" customBuiltin="1"/>
    <cellStyle name="Good 2" xfId="158" xr:uid="{77366ACA-3897-4436-BD62-98C52DFCFC34}"/>
    <cellStyle name="Heading 1" xfId="159" builtinId="16" customBuiltin="1"/>
    <cellStyle name="Heading 2" xfId="160" builtinId="17" customBuiltin="1"/>
    <cellStyle name="Heading 3" xfId="161" builtinId="18" customBuiltin="1"/>
    <cellStyle name="Heading 4" xfId="162" builtinId="19" customBuiltin="1"/>
    <cellStyle name="Hyperlink" xfId="163" builtinId="8"/>
    <cellStyle name="Hyperlink 2 2 2" xfId="321" xr:uid="{F6F7973C-95DF-4535-8DE7-EBA2634619F6}"/>
    <cellStyle name="Input" xfId="164" builtinId="20" customBuiltin="1"/>
    <cellStyle name="Input 2" xfId="165" xr:uid="{5A168F5D-A7D4-4946-B3E8-714DA71B06D5}"/>
    <cellStyle name="Input1" xfId="166" xr:uid="{84F8D9B5-D750-4031-A237-00627D7BEC53}"/>
    <cellStyle name="Input1 2" xfId="167" xr:uid="{2CE72F30-567B-4C27-B48D-39076030E385}"/>
    <cellStyle name="Input1 2 2" xfId="168" xr:uid="{C0143748-3A95-4EF4-BB5B-843C96A5175C}"/>
    <cellStyle name="Input1 2 2 2" xfId="169" xr:uid="{47C34D03-DE2D-417E-A9DA-243AEA7CFF1E}"/>
    <cellStyle name="Input1 2 2 2 2" xfId="170" xr:uid="{C6B8033A-4AD5-40F1-8941-E414E0C01495}"/>
    <cellStyle name="Input1 2 2 3" xfId="171" xr:uid="{11584A09-0605-4A56-A774-97081BBB5B5B}"/>
    <cellStyle name="Input1 2 2 3 2" xfId="172" xr:uid="{E9EFB995-01D6-477B-9FE1-C3EE4D83A267}"/>
    <cellStyle name="Input1 2 2 4" xfId="173" xr:uid="{33DE8E24-E4C9-4CA0-975F-D2298073E087}"/>
    <cellStyle name="Input1 2 2 5" xfId="174" xr:uid="{9E30C910-C191-46BB-9A8D-F9DE161F10DC}"/>
    <cellStyle name="Input1 2 2 6" xfId="278" xr:uid="{583A2B2D-C187-441B-89F1-1221BDF8AA59}"/>
    <cellStyle name="Input1 2 3" xfId="175" xr:uid="{9A56F224-4C40-4513-BAED-98E80D96F9B8}"/>
    <cellStyle name="Input1 2 3 2" xfId="176" xr:uid="{B0B0F859-2A32-40B1-BEE3-E1D30AFD8D6E}"/>
    <cellStyle name="Input1 2 4" xfId="177" xr:uid="{E74122D5-7207-49C6-8FBC-7DF5840C22E2}"/>
    <cellStyle name="Input1 2 4 2" xfId="178" xr:uid="{2B39162C-06F4-401D-A175-398544F9C2B8}"/>
    <cellStyle name="Input1 2 5" xfId="179" xr:uid="{D0755B66-A4FC-4E0F-A99C-CBBBFF5F053A}"/>
    <cellStyle name="Input1 2 6" xfId="180" xr:uid="{1DA61399-9B86-4011-AE60-14764D4CCA43}"/>
    <cellStyle name="Input1 2 7" xfId="277" xr:uid="{9233EE44-AD15-4C6F-AF0C-905C0962DFB7}"/>
    <cellStyle name="Input1 3" xfId="181" xr:uid="{7E50889F-A78A-48F0-A0E9-F1482796D958}"/>
    <cellStyle name="Input1 3 2" xfId="182" xr:uid="{E36BF79F-848F-4EB8-8116-C2D513E91A32}"/>
    <cellStyle name="Input1 3 2 2" xfId="183" xr:uid="{28052C9C-85C8-462D-B930-78E0B261DA4A}"/>
    <cellStyle name="Input1 3 3" xfId="184" xr:uid="{8F345877-08FD-498D-A72F-CE456F59956C}"/>
    <cellStyle name="Input1 3 3 2" xfId="185" xr:uid="{8F8BC205-29B4-4FEC-B62B-7A9EC5203957}"/>
    <cellStyle name="Input1 3 4" xfId="186" xr:uid="{F0326241-1BF4-4D03-B7E5-1783DA4FF69F}"/>
    <cellStyle name="Input1 3 5" xfId="187" xr:uid="{A81AA952-63F8-401C-9A73-C56DC49F4AA1}"/>
    <cellStyle name="Input1 3 6" xfId="279" xr:uid="{8D1DDEE1-CC64-4F67-8045-C02374EF2371}"/>
    <cellStyle name="Input1 4" xfId="188" xr:uid="{E38D25C5-493E-4888-9E20-13D3F45AE981}"/>
    <cellStyle name="Input1 4 2" xfId="189" xr:uid="{4CB837F9-2B93-4DDF-A336-1AF428E9FACF}"/>
    <cellStyle name="Input1 5" xfId="276" xr:uid="{7320F5DF-317A-4648-9281-5F73CC30610F}"/>
    <cellStyle name="Input2" xfId="190" xr:uid="{8EBDB851-53D1-4B20-874E-92C84CDC1F15}"/>
    <cellStyle name="Input2 2" xfId="191" xr:uid="{BD363501-55A2-4C70-B2E6-4585BFFA49F2}"/>
    <cellStyle name="Input2 2 2" xfId="192" xr:uid="{AC29E072-5421-47C0-8E8E-6A9BAA48151E}"/>
    <cellStyle name="Input2 2 3" xfId="281" xr:uid="{8A7A4C35-BD47-475C-89EB-F9292DB7CD0F}"/>
    <cellStyle name="Input2 3" xfId="280" xr:uid="{164FFF76-94CC-47BB-B896-CE759AB55EF9}"/>
    <cellStyle name="Input3" xfId="193" xr:uid="{682D1426-6F50-4EFA-BBFE-97FD299735E0}"/>
    <cellStyle name="Input3 2" xfId="194" xr:uid="{2495B196-90F6-466A-85F0-967BC59067C3}"/>
    <cellStyle name="Input3 2 2" xfId="195" xr:uid="{009EFC13-CE66-48C8-8259-2D62ADCED8DD}"/>
    <cellStyle name="Input3 2 2 2" xfId="196" xr:uid="{F1202B15-B230-4F3E-B926-3156F1494A3D}"/>
    <cellStyle name="Input3 2 2 2 2" xfId="197" xr:uid="{6C06DE05-4841-42F9-9291-84B0CAEC6B93}"/>
    <cellStyle name="Input3 2 2 3" xfId="198" xr:uid="{94F7D3C2-3816-4E42-BDBD-D815FC861132}"/>
    <cellStyle name="Input3 2 2 3 2" xfId="199" xr:uid="{6753C094-2F7B-473A-B331-4DCD83268BA9}"/>
    <cellStyle name="Input3 2 2 4" xfId="200" xr:uid="{426D850D-FE9B-4350-BEF8-9017A5B094E3}"/>
    <cellStyle name="Input3 2 2 5" xfId="201" xr:uid="{B74768C9-E26C-4FCB-B1D0-083FE43B24F5}"/>
    <cellStyle name="Input3 2 2 6" xfId="284" xr:uid="{F3BFF780-B3F0-4483-896A-E2BED2A08302}"/>
    <cellStyle name="Input3 2 3" xfId="202" xr:uid="{52E773C4-A9F1-4B63-AC02-9F817A4AB958}"/>
    <cellStyle name="Input3 2 3 2" xfId="203" xr:uid="{B566F623-F133-4398-A40A-58646A2D209E}"/>
    <cellStyle name="Input3 2 4" xfId="204" xr:uid="{D276901A-960F-460A-8D29-4103CB495CB4}"/>
    <cellStyle name="Input3 2 4 2" xfId="205" xr:uid="{CDBC397D-B697-4E2D-995A-E17430531859}"/>
    <cellStyle name="Input3 2 5" xfId="206" xr:uid="{060F4037-E4CD-4281-BC6D-ADBE71E57CF3}"/>
    <cellStyle name="Input3 2 6" xfId="207" xr:uid="{986482EF-B9C5-4E96-ABA8-DDA38930BF25}"/>
    <cellStyle name="Input3 2 7" xfId="283" xr:uid="{58438C6C-0B78-4E40-99CE-FADD6D276878}"/>
    <cellStyle name="Input3 3" xfId="208" xr:uid="{F50DB379-1AA5-4E3D-A3F2-B921BE956EA6}"/>
    <cellStyle name="Input3 3 2" xfId="209" xr:uid="{43650BE1-AE7A-41AC-BCC3-8F554E25E1BA}"/>
    <cellStyle name="Input3 3 2 2" xfId="210" xr:uid="{4A534560-3958-455D-B046-05966DD5AE9A}"/>
    <cellStyle name="Input3 3 3" xfId="211" xr:uid="{5FB82325-97DF-4191-BE8F-9ECE2A4985A5}"/>
    <cellStyle name="Input3 3 3 2" xfId="212" xr:uid="{37E7757B-35B8-43C5-BC47-55346488E98A}"/>
    <cellStyle name="Input3 3 4" xfId="213" xr:uid="{7DEA4990-7D3B-4E29-96F7-95272E4D31A0}"/>
    <cellStyle name="Input3 3 5" xfId="214" xr:uid="{7CFC8621-C54D-4D22-BC49-B186D85D39BD}"/>
    <cellStyle name="Input3 3 6" xfId="285" xr:uid="{A5E4F302-1669-4165-870C-B2820AFF3BD7}"/>
    <cellStyle name="Input3 4" xfId="282" xr:uid="{2B803E8B-A92E-47D1-81BB-36B79115C491}"/>
    <cellStyle name="Linked Cell" xfId="215" builtinId="24" customBuiltin="1"/>
    <cellStyle name="Neutral" xfId="216" builtinId="28" customBuiltin="1"/>
    <cellStyle name="Neutral 2" xfId="217" xr:uid="{B125FBD5-F641-4232-9152-8CE82A68591E}"/>
    <cellStyle name="Normal" xfId="0" builtinId="0"/>
    <cellStyle name="Normal 10 2 3" xfId="304" xr:uid="{CF066DE2-9149-4DC7-8EC3-DBDD6292C7A2}"/>
    <cellStyle name="Normal 11" xfId="329" xr:uid="{1B547D24-84FF-4872-83E2-7A296600BCF4}"/>
    <cellStyle name="Normal 12" xfId="331" xr:uid="{F3EFCDFB-87D4-42BC-A484-B27EBC4EFBD5}"/>
    <cellStyle name="Normal 13" xfId="333" xr:uid="{BD383233-6B45-4ECA-8F98-7AE91BB212DD}"/>
    <cellStyle name="Normal 15" xfId="264" xr:uid="{90FD503A-8F84-4BD3-BE15-154A7AF82920}"/>
    <cellStyle name="Normal 2" xfId="218" xr:uid="{EEB87F7F-A0E3-41D6-8F9C-2DC294BA3A15}"/>
    <cellStyle name="Normal 2 2" xfId="219" xr:uid="{F6F06AB8-4DBC-4009-9D5D-F99B049D168F}"/>
    <cellStyle name="Normal 2 4 3" xfId="220" xr:uid="{EC724885-F331-4B3E-9BED-327D15EE348C}"/>
    <cellStyle name="Normal 3" xfId="221" xr:uid="{A13EE757-653A-4128-9AB4-344426BED1AD}"/>
    <cellStyle name="Normal 3 2" xfId="222" xr:uid="{6FAA4823-F97D-430B-903C-B58FDEEF76AD}"/>
    <cellStyle name="Normal 3 2 2" xfId="223" xr:uid="{0245BAE3-C483-4B18-97E1-9CA41E0F3F32}"/>
    <cellStyle name="Normal 3 2 3" xfId="286" xr:uid="{E8038DAB-4D79-4E22-8B75-413C1D940054}"/>
    <cellStyle name="Normal 3 3" xfId="224" xr:uid="{F1BF01CC-1E0E-4DAD-B20D-4F58312769C9}"/>
    <cellStyle name="Normal 3 3 2" xfId="263" xr:uid="{F26F35F5-0A0C-4295-BF50-A4AA4833FDCD}"/>
    <cellStyle name="Normal 4" xfId="225" xr:uid="{44664DE1-1469-4CEE-83EE-8C0CF3B38024}"/>
    <cellStyle name="Normal 4 2" xfId="297" xr:uid="{DA314F7E-FF93-47DC-8996-5CE564261AA1}"/>
    <cellStyle name="Normal 4 2 2" xfId="326" xr:uid="{F5437709-8C31-496A-BCD0-F84FD1D461BC}"/>
    <cellStyle name="Normal 4 3" xfId="323" xr:uid="{133987C3-7C80-4752-BE1B-616D67C93CF9}"/>
    <cellStyle name="Normal 4 4" xfId="287" xr:uid="{5FAA2B9D-BC31-425E-8291-C08B9C68F82A}"/>
    <cellStyle name="Normal 42" xfId="320" xr:uid="{46323F05-C377-462A-A6FB-A9D70965B981}"/>
    <cellStyle name="Normal 5" xfId="226" xr:uid="{A3CD1E3A-EF8C-45E0-85CC-4450DDFD279A}"/>
    <cellStyle name="Normal 6" xfId="227" xr:uid="{69782524-31F5-4A1C-AD4E-49439A182B58}"/>
    <cellStyle name="Normal 6 2" xfId="303" xr:uid="{4754FD87-C093-4F69-A27D-4C36702CD742}"/>
    <cellStyle name="Normal 7" xfId="260" xr:uid="{5AECF7B7-2A61-4363-B9FC-BE136359BB9F}"/>
    <cellStyle name="Normal 7 2" xfId="311" xr:uid="{F7C4FCDC-88D0-472A-B93D-5A1058462899}"/>
    <cellStyle name="Normal 8" xfId="312" xr:uid="{2DA3FEE4-40F2-4AF5-A565-9F890CD6302C}"/>
    <cellStyle name="Normal 9" xfId="317" xr:uid="{EA47C040-F4D1-48D1-AB05-A596E45E6F6E}"/>
    <cellStyle name="Normal_2010 06 02 - Urgent RIN for Vic DNSPs revised proposals" xfId="228" xr:uid="{A4510A46-B537-4F8F-BF55-467407707492}"/>
    <cellStyle name="Normal_2010 06 22 - AA - Scheme Templates for data collection" xfId="229" xr:uid="{414D49FE-9ECF-4BCC-9FAF-817E6D200247}"/>
    <cellStyle name="Normal_2010 06 22 - IE - Scheme Template for data collection" xfId="230" xr:uid="{81C36F8E-EEBD-46B9-B30F-66959D023390}"/>
    <cellStyle name="Normal_Book1" xfId="231" xr:uid="{44DE270F-C54D-4542-B6E4-24D8FD98E0D5}"/>
    <cellStyle name="Normal_D11 2371025  Financial information - 2012 Draft RIN - Ausgrid" xfId="232" xr:uid="{B6D04D09-6475-4D27-BFA5-6FFDBDA2BDF7}"/>
    <cellStyle name="Normal_D11 2371025  Financial information - 2012 Draft RIN - Ausgrid 2" xfId="233" xr:uid="{5441A187-743F-44E5-BFF2-5C3AEB09E2A4}"/>
    <cellStyle name="Normal_D12 1569  Opex, DMIS, EBSS - 2012 draft RIN - Ausgrid" xfId="234" xr:uid="{D976C4EE-7A03-43DA-B093-644116DBEBAC}"/>
    <cellStyle name="Normal_D12 16703  Overheads, Avoided Cost, ACS, Demand and Revenue - 2012 draft RIN - Ausgrid" xfId="235" xr:uid="{8983025E-A3A2-48BF-A782-6470F3B2B0DB}"/>
    <cellStyle name="Normal_D12 16703  Overheads, Avoided Cost, ACS, Demand and Revenue - 2012 draft RIN - Ausgrid 2" xfId="236" xr:uid="{1B525D05-BBD2-426A-909B-2CE38AB6259F}"/>
    <cellStyle name="Normal_Sheet1" xfId="237" xr:uid="{A6E4D229-3027-4798-A576-C0D3414FF8F9}"/>
    <cellStyle name="Normal_Sheet1 2" xfId="238" xr:uid="{DA152B22-E161-4003-B27E-EF9A2E4AF269}"/>
    <cellStyle name="Note" xfId="239" builtinId="10" customBuiltin="1"/>
    <cellStyle name="Note 2" xfId="240" xr:uid="{87600825-05AE-4C34-9805-D3DAC38E816D}"/>
    <cellStyle name="Note 2 2" xfId="241" xr:uid="{83092B29-EDA3-48C5-B557-8878BCD46E67}"/>
    <cellStyle name="Note 2 3" xfId="289" xr:uid="{99012ECC-027D-4590-B013-D0431DB1B716}"/>
    <cellStyle name="Note 3" xfId="288" xr:uid="{674C8839-0FB1-4939-A63A-A2E5DF1C6E4E}"/>
    <cellStyle name="Output" xfId="242" builtinId="21" customBuiltin="1"/>
    <cellStyle name="Output 2" xfId="243" xr:uid="{C6D2676A-6C8C-4362-9670-82B256DDC2FE}"/>
    <cellStyle name="Per cent" xfId="244" builtinId="5"/>
    <cellStyle name="Per cent 2" xfId="245" xr:uid="{2514EC37-5BA7-477F-B1FF-0B9B925C4F13}"/>
    <cellStyle name="Per cent 2 2" xfId="262" xr:uid="{04ED847B-6AE0-43B3-B57E-1FE06E9CF131}"/>
    <cellStyle name="Percent 2" xfId="246" xr:uid="{39471A21-217D-4DC7-89C2-EA846A2BF09B}"/>
    <cellStyle name="Percent 2 2" xfId="247" xr:uid="{F0ABAF39-B387-4AB2-B7D8-00D10AEA290A}"/>
    <cellStyle name="Percent 2 2 2" xfId="307" xr:uid="{3EA689B5-9A8B-4CB3-9E4A-F5DCAC3F36CE}"/>
    <cellStyle name="Percent 2 3" xfId="296" xr:uid="{ECFEC5AF-0E01-4793-94DD-CF51B1F237D9}"/>
    <cellStyle name="Percent 3" xfId="248" xr:uid="{D9A4EFE7-F22C-4E51-8E94-B3EEB0EC0F11}"/>
    <cellStyle name="Percent 3 2" xfId="302" xr:uid="{9576C515-D70C-4E7A-9F2A-0EF45C9EA895}"/>
    <cellStyle name="Percent 4" xfId="309" xr:uid="{3E7A696C-43A2-4085-8970-FFD0163448A8}"/>
    <cellStyle name="Percent 5" xfId="315" xr:uid="{BB40C3CF-847C-41D4-B353-87B766A745D2}"/>
    <cellStyle name="Style 1" xfId="249" xr:uid="{16C7471E-EA85-44E9-A311-D0E211DF2EA1}"/>
    <cellStyle name="Style 1 2" xfId="250" xr:uid="{3A3B78D2-1B06-4D1A-A6D8-7300F01DC573}"/>
    <cellStyle name="Style 1 2 2" xfId="251" xr:uid="{74E4CFD5-AFB3-4C81-9D41-8FD428BA0779}"/>
    <cellStyle name="Style 1 2 2 2" xfId="252" xr:uid="{20EB04D5-17EC-43DD-B72E-FFFD82C5A31A}"/>
    <cellStyle name="Style 1 2 2 3" xfId="291" xr:uid="{F441DF40-3849-4AD8-9D08-995B4EB0A70D}"/>
    <cellStyle name="Style 1 2 3" xfId="290" xr:uid="{4C246D04-9081-49F3-9975-486CED4356AB}"/>
    <cellStyle name="Style 1 3" xfId="253" xr:uid="{AB22C332-3D34-4075-984E-007F2130B5AE}"/>
    <cellStyle name="Style 1 3 2" xfId="254" xr:uid="{D2F3C081-8B5B-46C7-9BE2-C3DBD8FA57AB}"/>
    <cellStyle name="Style 1 3 3" xfId="292" xr:uid="{8FEAC476-882E-4391-9D85-3A7A8EC6A60E}"/>
    <cellStyle name="Style 1 4" xfId="255" xr:uid="{C8216DBF-EB08-45BA-BBDF-9CC0D58BCDD6}"/>
    <cellStyle name="Style 1 4 2" xfId="256" xr:uid="{113A0870-E0C1-45C3-AD24-1223AB31FF7D}"/>
    <cellStyle name="Table Heading" xfId="293" xr:uid="{CAE0547E-2CB6-4F09-95D4-928B78312C7C}"/>
    <cellStyle name="Table Text With Lines" xfId="294" xr:uid="{15D09DEA-FA3D-4985-A695-51FF9C5D0CD2}"/>
    <cellStyle name="Table Total Row" xfId="295" xr:uid="{F1D5D0B7-A87E-45DE-A9EA-370D297057D2}"/>
    <cellStyle name="Title" xfId="257" builtinId="15" customBuiltin="1"/>
    <cellStyle name="Total" xfId="258" builtinId="25" customBuiltin="1"/>
    <cellStyle name="Warning Text" xfId="259" builtinId="11" customBuiltin="1"/>
  </cellStyles>
  <dxfs count="90">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5" formatCode="&quot; -&quo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81ED8AD2-24A7-4AF3-AA64-7813C422C47F}">
      <tableStyleElement type="wholeTable" dxfId="89"/>
      <tableStyleElement type="headerRow" dxfId="88"/>
    </tableStyle>
  </tableStyles>
  <colors>
    <mruColors>
      <color rgb="FFD7F1FC"/>
      <color rgb="FFFFF9E6"/>
      <color rgb="FFEBFF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D6-4B83-A765-39F91DEDB3C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D6-4B83-A765-39F91DEDB3C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D6-4B83-A765-39F91DEDB3C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D6-4B83-A765-39F91DEDB3C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D6-4B83-A765-39F91DEDB3C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D6-4B83-A765-39F91DEDB3C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D6-4B83-A765-39F91DEDB3C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D6-4B83-A765-39F91DEDB3C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D6-4B83-A765-39F91DEDB3C4}"/>
              </c:ext>
            </c:extLst>
          </c:dPt>
          <c:dPt>
            <c:idx val="9"/>
            <c:bubble3D val="0"/>
            <c:extLst>
              <c:ext xmlns:c16="http://schemas.microsoft.com/office/drawing/2014/chart" uri="{C3380CC4-5D6E-409C-BE32-E72D297353CC}">
                <c16:uniqueId val="{00000009-62D6-4B83-A765-39F91DEDB3C4}"/>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2D6-4B83-A765-39F91DEDB3C4}"/>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2D6-4B83-A765-39F91DEDB3C4}"/>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2D6-4B83-A765-39F91DEDB3C4}"/>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2D6-4B83-A765-39F91DEDB3C4}"/>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2D6-4B83-A765-39F91DEDB3C4}"/>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2D6-4B83-A765-39F91DEDB3C4}"/>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2D6-4B83-A765-39F91DEDB3C4}"/>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16754428.230206098</c:v>
                </c:pt>
                <c:pt idx="1">
                  <c:v>0</c:v>
                </c:pt>
                <c:pt idx="2">
                  <c:v>3704500.6171024838</c:v>
                </c:pt>
                <c:pt idx="3">
                  <c:v>0</c:v>
                </c:pt>
                <c:pt idx="4">
                  <c:v>0</c:v>
                </c:pt>
                <c:pt idx="5">
                  <c:v>0</c:v>
                </c:pt>
                <c:pt idx="6">
                  <c:v>0</c:v>
                </c:pt>
                <c:pt idx="7">
                  <c:v>6008.6447706146946</c:v>
                </c:pt>
                <c:pt idx="8">
                  <c:v>0</c:v>
                </c:pt>
                <c:pt idx="9">
                  <c:v>581714.33611332579</c:v>
                </c:pt>
              </c:numCache>
            </c:numRef>
          </c:val>
          <c:extLst>
            <c:ext xmlns:c16="http://schemas.microsoft.com/office/drawing/2014/chart" uri="{C3380CC4-5D6E-409C-BE32-E72D297353CC}">
              <c16:uniqueId val="{0000000A-62D6-4B83-A765-39F91DEDB3C4}"/>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24095702532059041"/>
          <c:y val="0.82859761115949448"/>
          <c:w val="0.5982381265299378"/>
          <c:h val="9.1431478704842584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4AEB-401F-A341-63BE5FF6248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4AEB-401F-A341-63BE5FF6248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4AEB-401F-A341-63BE5FF6248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4AEB-401F-A341-63BE5FF6248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4AEB-401F-A341-63BE5FF6248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4AEB-401F-A341-63BE5FF6248F}"/>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4AEB-401F-A341-63BE5FF6248F}"/>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4AEB-401F-A341-63BE5FF6248F}"/>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4AEB-401F-A341-63BE5FF6248F}"/>
              </c:ext>
            </c:extLst>
          </c:dPt>
          <c:dPt>
            <c:idx val="9"/>
            <c:bubble3D val="0"/>
            <c:extLst>
              <c:ext xmlns:c16="http://schemas.microsoft.com/office/drawing/2014/chart" uri="{C3380CC4-5D6E-409C-BE32-E72D297353CC}">
                <c16:uniqueId val="{00000009-4AEB-401F-A341-63BE5FF6248F}"/>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AEB-401F-A341-63BE5FF6248F}"/>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AEB-401F-A341-63BE5FF6248F}"/>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AEB-401F-A341-63BE5FF6248F}"/>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AEB-401F-A341-63BE5FF6248F}"/>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4AEB-401F-A341-63BE5FF6248F}"/>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4AEB-401F-A341-63BE5FF6248F}"/>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4AEB-401F-A341-63BE5FF6248F}"/>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7052884.8697163854</c:v>
                </c:pt>
                <c:pt idx="1">
                  <c:v>0</c:v>
                </c:pt>
                <c:pt idx="2">
                  <c:v>1559433.4818966079</c:v>
                </c:pt>
                <c:pt idx="3">
                  <c:v>0</c:v>
                </c:pt>
                <c:pt idx="4">
                  <c:v>0</c:v>
                </c:pt>
                <c:pt idx="5">
                  <c:v>0</c:v>
                </c:pt>
                <c:pt idx="6">
                  <c:v>0</c:v>
                </c:pt>
                <c:pt idx="7">
                  <c:v>2529.3778580737376</c:v>
                </c:pt>
                <c:pt idx="8">
                  <c:v>0</c:v>
                </c:pt>
                <c:pt idx="9">
                  <c:v>244876.41018235564</c:v>
                </c:pt>
              </c:numCache>
            </c:numRef>
          </c:val>
          <c:extLst>
            <c:ext xmlns:c16="http://schemas.microsoft.com/office/drawing/2014/chart" uri="{C3380CC4-5D6E-409C-BE32-E72D297353CC}">
              <c16:uniqueId val="{0000000A-4AEB-401F-A341-63BE5FF6248F}"/>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2474407916909219"/>
          <c:y val="0.79030069871403064"/>
          <c:w val="0.56623902556927475"/>
          <c:h val="9.3425136926377328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147.94999999999999</c:v>
                </c:pt>
                <c:pt idx="1">
                  <c:v>147.94999999999999</c:v>
                </c:pt>
                <c:pt idx="2">
                  <c:v>147.94999999999999</c:v>
                </c:pt>
                <c:pt idx="3">
                  <c:v>147.94999999999999</c:v>
                </c:pt>
                <c:pt idx="4">
                  <c:v>147.94999999999999</c:v>
                </c:pt>
                <c:pt idx="5">
                  <c:v>147.94999999999999</c:v>
                </c:pt>
                <c:pt idx="6">
                  <c:v>147.94999999999999</c:v>
                </c:pt>
                <c:pt idx="7">
                  <c:v>147.94999999999999</c:v>
                </c:pt>
                <c:pt idx="8">
                  <c:v>147.94999999999999</c:v>
                </c:pt>
                <c:pt idx="9">
                  <c:v>147.94999999999999</c:v>
                </c:pt>
                <c:pt idx="10">
                  <c:v>147.94999999999999</c:v>
                </c:pt>
                <c:pt idx="11">
                  <c:v>147.94999999999999</c:v>
                </c:pt>
                <c:pt idx="12">
                  <c:v>147.94999999999999</c:v>
                </c:pt>
                <c:pt idx="13">
                  <c:v>147.94999999999999</c:v>
                </c:pt>
                <c:pt idx="14">
                  <c:v>147.94999999999999</c:v>
                </c:pt>
                <c:pt idx="15">
                  <c:v>147.94999999999999</c:v>
                </c:pt>
                <c:pt idx="16">
                  <c:v>147.94999999999999</c:v>
                </c:pt>
                <c:pt idx="17">
                  <c:v>147.94999999999999</c:v>
                </c:pt>
                <c:pt idx="18">
                  <c:v>147.94999999999999</c:v>
                </c:pt>
                <c:pt idx="19">
                  <c:v>147.94999999999999</c:v>
                </c:pt>
                <c:pt idx="20">
                  <c:v>147.94999999999999</c:v>
                </c:pt>
                <c:pt idx="21">
                  <c:v>147.94999999999999</c:v>
                </c:pt>
                <c:pt idx="22">
                  <c:v>147.94999999999999</c:v>
                </c:pt>
                <c:pt idx="23">
                  <c:v>147.94999999999999</c:v>
                </c:pt>
                <c:pt idx="24">
                  <c:v>147.94999999999999</c:v>
                </c:pt>
                <c:pt idx="25">
                  <c:v>147.94999999999999</c:v>
                </c:pt>
                <c:pt idx="26">
                  <c:v>147.94999999999999</c:v>
                </c:pt>
                <c:pt idx="27">
                  <c:v>147.94999999999999</c:v>
                </c:pt>
                <c:pt idx="28">
                  <c:v>147.94999999999999</c:v>
                </c:pt>
                <c:pt idx="29">
                  <c:v>147.94999999999999</c:v>
                </c:pt>
                <c:pt idx="30">
                  <c:v>147.94999999999999</c:v>
                </c:pt>
                <c:pt idx="31">
                  <c:v>147.94999999999999</c:v>
                </c:pt>
                <c:pt idx="32">
                  <c:v>147.94999999999999</c:v>
                </c:pt>
                <c:pt idx="33">
                  <c:v>147.94999999999999</c:v>
                </c:pt>
                <c:pt idx="34">
                  <c:v>147.94999999999999</c:v>
                </c:pt>
                <c:pt idx="35">
                  <c:v>147.94999999999999</c:v>
                </c:pt>
                <c:pt idx="36">
                  <c:v>147.94999999999999</c:v>
                </c:pt>
                <c:pt idx="37">
                  <c:v>147.94999999999999</c:v>
                </c:pt>
                <c:pt idx="38">
                  <c:v>147.94999999999999</c:v>
                </c:pt>
                <c:pt idx="39">
                  <c:v>147.94999999999999</c:v>
                </c:pt>
                <c:pt idx="40">
                  <c:v>147.94999999999999</c:v>
                </c:pt>
                <c:pt idx="41">
                  <c:v>147.94999999999999</c:v>
                </c:pt>
                <c:pt idx="42">
                  <c:v>147.94999999999999</c:v>
                </c:pt>
                <c:pt idx="43">
                  <c:v>147.94999999999999</c:v>
                </c:pt>
                <c:pt idx="44">
                  <c:v>147.94999999999999</c:v>
                </c:pt>
                <c:pt idx="45">
                  <c:v>147.94999999999999</c:v>
                </c:pt>
                <c:pt idx="46">
                  <c:v>147.94999999999999</c:v>
                </c:pt>
                <c:pt idx="47">
                  <c:v>147.94999999999999</c:v>
                </c:pt>
                <c:pt idx="48">
                  <c:v>147.94999999999999</c:v>
                </c:pt>
                <c:pt idx="49">
                  <c:v>147.94999999999999</c:v>
                </c:pt>
                <c:pt idx="50">
                  <c:v>147.94999999999999</c:v>
                </c:pt>
                <c:pt idx="51">
                  <c:v>147.94999999999999</c:v>
                </c:pt>
                <c:pt idx="52">
                  <c:v>147.94999999999999</c:v>
                </c:pt>
                <c:pt idx="53">
                  <c:v>147.94999999999999</c:v>
                </c:pt>
                <c:pt idx="54">
                  <c:v>147.94999999999999</c:v>
                </c:pt>
                <c:pt idx="55">
                  <c:v>147.94999999999999</c:v>
                </c:pt>
                <c:pt idx="56">
                  <c:v>147.94999999999999</c:v>
                </c:pt>
                <c:pt idx="57">
                  <c:v>147.94999999999999</c:v>
                </c:pt>
                <c:pt idx="58">
                  <c:v>147.94999999999999</c:v>
                </c:pt>
                <c:pt idx="59">
                  <c:v>147.94999999999999</c:v>
                </c:pt>
                <c:pt idx="60">
                  <c:v>147.94999999999999</c:v>
                </c:pt>
                <c:pt idx="61">
                  <c:v>147.94999999999999</c:v>
                </c:pt>
                <c:pt idx="62">
                  <c:v>147.94999999999999</c:v>
                </c:pt>
                <c:pt idx="63">
                  <c:v>147.94999999999999</c:v>
                </c:pt>
                <c:pt idx="64">
                  <c:v>147.94999999999999</c:v>
                </c:pt>
                <c:pt idx="65">
                  <c:v>147.94999999999999</c:v>
                </c:pt>
                <c:pt idx="66">
                  <c:v>147.94999999999999</c:v>
                </c:pt>
                <c:pt idx="67">
                  <c:v>147.94999999999999</c:v>
                </c:pt>
                <c:pt idx="68">
                  <c:v>147.94999999999999</c:v>
                </c:pt>
                <c:pt idx="69">
                  <c:v>147.94999999999999</c:v>
                </c:pt>
                <c:pt idx="70">
                  <c:v>147.94999999999999</c:v>
                </c:pt>
                <c:pt idx="71">
                  <c:v>147.94999999999999</c:v>
                </c:pt>
                <c:pt idx="72">
                  <c:v>147.94999999999999</c:v>
                </c:pt>
                <c:pt idx="73">
                  <c:v>147.94999999999999</c:v>
                </c:pt>
                <c:pt idx="74">
                  <c:v>147.94999999999999</c:v>
                </c:pt>
                <c:pt idx="75">
                  <c:v>147.94999999999999</c:v>
                </c:pt>
                <c:pt idx="76">
                  <c:v>147.94999999999999</c:v>
                </c:pt>
                <c:pt idx="77">
                  <c:v>147.94999999999999</c:v>
                </c:pt>
                <c:pt idx="78">
                  <c:v>147.94999999999999</c:v>
                </c:pt>
                <c:pt idx="79">
                  <c:v>147.94999999999999</c:v>
                </c:pt>
                <c:pt idx="80">
                  <c:v>147.94999999999999</c:v>
                </c:pt>
                <c:pt idx="81">
                  <c:v>147.94999999999999</c:v>
                </c:pt>
                <c:pt idx="82">
                  <c:v>147.94999999999999</c:v>
                </c:pt>
                <c:pt idx="83">
                  <c:v>147.94999999999999</c:v>
                </c:pt>
                <c:pt idx="84">
                  <c:v>147.94999999999999</c:v>
                </c:pt>
                <c:pt idx="85">
                  <c:v>147.94999999999999</c:v>
                </c:pt>
                <c:pt idx="86">
                  <c:v>147.94999999999999</c:v>
                </c:pt>
                <c:pt idx="87">
                  <c:v>147.94999999999999</c:v>
                </c:pt>
                <c:pt idx="88">
                  <c:v>147.94999999999999</c:v>
                </c:pt>
                <c:pt idx="89">
                  <c:v>147.94999999999999</c:v>
                </c:pt>
                <c:pt idx="90">
                  <c:v>147.94999999999999</c:v>
                </c:pt>
                <c:pt idx="91">
                  <c:v>147.94999999999999</c:v>
                </c:pt>
                <c:pt idx="92">
                  <c:v>147.94999999999999</c:v>
                </c:pt>
                <c:pt idx="93">
                  <c:v>147.94999999999999</c:v>
                </c:pt>
                <c:pt idx="94">
                  <c:v>147.94999999999999</c:v>
                </c:pt>
                <c:pt idx="95">
                  <c:v>147.94999999999999</c:v>
                </c:pt>
                <c:pt idx="96">
                  <c:v>147.94999999999999</c:v>
                </c:pt>
                <c:pt idx="97">
                  <c:v>147.94999999999999</c:v>
                </c:pt>
                <c:pt idx="98">
                  <c:v>147.94999999999999</c:v>
                </c:pt>
                <c:pt idx="99">
                  <c:v>147.94999999999999</c:v>
                </c:pt>
                <c:pt idx="100">
                  <c:v>147.94999999999999</c:v>
                </c:pt>
                <c:pt idx="101">
                  <c:v>147.94999999999999</c:v>
                </c:pt>
                <c:pt idx="102">
                  <c:v>147.94999999999999</c:v>
                </c:pt>
                <c:pt idx="103">
                  <c:v>147.94999999999999</c:v>
                </c:pt>
                <c:pt idx="104">
                  <c:v>147.94999999999999</c:v>
                </c:pt>
                <c:pt idx="105">
                  <c:v>147.94999999999999</c:v>
                </c:pt>
                <c:pt idx="106">
                  <c:v>147.94999999999999</c:v>
                </c:pt>
                <c:pt idx="107">
                  <c:v>147.94999999999999</c:v>
                </c:pt>
                <c:pt idx="108">
                  <c:v>147.94999999999999</c:v>
                </c:pt>
                <c:pt idx="109">
                  <c:v>147.94999999999999</c:v>
                </c:pt>
                <c:pt idx="110">
                  <c:v>147.94999999999999</c:v>
                </c:pt>
                <c:pt idx="111">
                  <c:v>147.94999999999999</c:v>
                </c:pt>
                <c:pt idx="112">
                  <c:v>147.94999999999999</c:v>
                </c:pt>
                <c:pt idx="113">
                  <c:v>147.94999999999999</c:v>
                </c:pt>
                <c:pt idx="114">
                  <c:v>147.94999999999999</c:v>
                </c:pt>
                <c:pt idx="115">
                  <c:v>147.94999999999999</c:v>
                </c:pt>
                <c:pt idx="116">
                  <c:v>147.94999999999999</c:v>
                </c:pt>
                <c:pt idx="117">
                  <c:v>147.94999999999999</c:v>
                </c:pt>
                <c:pt idx="118">
                  <c:v>147.94999999999999</c:v>
                </c:pt>
                <c:pt idx="119">
                  <c:v>147.94999999999999</c:v>
                </c:pt>
                <c:pt idx="120">
                  <c:v>147.94999999999999</c:v>
                </c:pt>
                <c:pt idx="121">
                  <c:v>147.94999999999999</c:v>
                </c:pt>
                <c:pt idx="122">
                  <c:v>147.94999999999999</c:v>
                </c:pt>
                <c:pt idx="123">
                  <c:v>147.94999999999999</c:v>
                </c:pt>
                <c:pt idx="124">
                  <c:v>147.94999999999999</c:v>
                </c:pt>
                <c:pt idx="125">
                  <c:v>147.94999999999999</c:v>
                </c:pt>
                <c:pt idx="126">
                  <c:v>147.94999999999999</c:v>
                </c:pt>
                <c:pt idx="127">
                  <c:v>147.94999999999999</c:v>
                </c:pt>
                <c:pt idx="128">
                  <c:v>147.94999999999999</c:v>
                </c:pt>
                <c:pt idx="129">
                  <c:v>147.94999999999999</c:v>
                </c:pt>
                <c:pt idx="130">
                  <c:v>147.94999999999999</c:v>
                </c:pt>
                <c:pt idx="131">
                  <c:v>147.94999999999999</c:v>
                </c:pt>
                <c:pt idx="132">
                  <c:v>147.94999999999999</c:v>
                </c:pt>
                <c:pt idx="133">
                  <c:v>147.94999999999999</c:v>
                </c:pt>
                <c:pt idx="134">
                  <c:v>147.94999999999999</c:v>
                </c:pt>
                <c:pt idx="135">
                  <c:v>147.94999999999999</c:v>
                </c:pt>
                <c:pt idx="136">
                  <c:v>147.94999999999999</c:v>
                </c:pt>
                <c:pt idx="137">
                  <c:v>147.94999999999999</c:v>
                </c:pt>
                <c:pt idx="138">
                  <c:v>147.94999999999999</c:v>
                </c:pt>
                <c:pt idx="139">
                  <c:v>147.94999999999999</c:v>
                </c:pt>
                <c:pt idx="140">
                  <c:v>147.94999999999999</c:v>
                </c:pt>
                <c:pt idx="141">
                  <c:v>147.94999999999999</c:v>
                </c:pt>
                <c:pt idx="142">
                  <c:v>147.94999999999999</c:v>
                </c:pt>
                <c:pt idx="143">
                  <c:v>147.94999999999999</c:v>
                </c:pt>
                <c:pt idx="144">
                  <c:v>147.94999999999999</c:v>
                </c:pt>
                <c:pt idx="145">
                  <c:v>147.94999999999999</c:v>
                </c:pt>
                <c:pt idx="146">
                  <c:v>147.94999999999999</c:v>
                </c:pt>
                <c:pt idx="147">
                  <c:v>147.94999999999999</c:v>
                </c:pt>
                <c:pt idx="148">
                  <c:v>147.94999999999999</c:v>
                </c:pt>
                <c:pt idx="149">
                  <c:v>147.94999999999999</c:v>
                </c:pt>
                <c:pt idx="150">
                  <c:v>147.94999999999999</c:v>
                </c:pt>
                <c:pt idx="151">
                  <c:v>147.94999999999999</c:v>
                </c:pt>
                <c:pt idx="152">
                  <c:v>147.94999999999999</c:v>
                </c:pt>
                <c:pt idx="153">
                  <c:v>147.94999999999999</c:v>
                </c:pt>
                <c:pt idx="154">
                  <c:v>147.94999999999999</c:v>
                </c:pt>
                <c:pt idx="155">
                  <c:v>147.94999999999999</c:v>
                </c:pt>
                <c:pt idx="156">
                  <c:v>147.94999999999999</c:v>
                </c:pt>
                <c:pt idx="157">
                  <c:v>147.94999999999999</c:v>
                </c:pt>
                <c:pt idx="158">
                  <c:v>147.94999999999999</c:v>
                </c:pt>
                <c:pt idx="159">
                  <c:v>147.94999999999999</c:v>
                </c:pt>
                <c:pt idx="160">
                  <c:v>147.94999999999999</c:v>
                </c:pt>
                <c:pt idx="161">
                  <c:v>147.94999999999999</c:v>
                </c:pt>
                <c:pt idx="162">
                  <c:v>147.94999999999999</c:v>
                </c:pt>
                <c:pt idx="163">
                  <c:v>147.94999999999999</c:v>
                </c:pt>
                <c:pt idx="164">
                  <c:v>147.94999999999999</c:v>
                </c:pt>
                <c:pt idx="165">
                  <c:v>147.94999999999999</c:v>
                </c:pt>
                <c:pt idx="166">
                  <c:v>147.94999999999999</c:v>
                </c:pt>
                <c:pt idx="167">
                  <c:v>147.94999999999999</c:v>
                </c:pt>
                <c:pt idx="168">
                  <c:v>147.94999999999999</c:v>
                </c:pt>
                <c:pt idx="169">
                  <c:v>147.94999999999999</c:v>
                </c:pt>
                <c:pt idx="170">
                  <c:v>147.94999999999999</c:v>
                </c:pt>
                <c:pt idx="171">
                  <c:v>147.94999999999999</c:v>
                </c:pt>
                <c:pt idx="172">
                  <c:v>147.94999999999999</c:v>
                </c:pt>
                <c:pt idx="173">
                  <c:v>147.94999999999999</c:v>
                </c:pt>
                <c:pt idx="174">
                  <c:v>147.94999999999999</c:v>
                </c:pt>
                <c:pt idx="175">
                  <c:v>147.94999999999999</c:v>
                </c:pt>
                <c:pt idx="176">
                  <c:v>147.94999999999999</c:v>
                </c:pt>
                <c:pt idx="177">
                  <c:v>147.94999999999999</c:v>
                </c:pt>
                <c:pt idx="178">
                  <c:v>147.94999999999999</c:v>
                </c:pt>
                <c:pt idx="179">
                  <c:v>147.94999999999999</c:v>
                </c:pt>
                <c:pt idx="180">
                  <c:v>147.94999999999999</c:v>
                </c:pt>
                <c:pt idx="181">
                  <c:v>147.94999999999999</c:v>
                </c:pt>
                <c:pt idx="182">
                  <c:v>147.94999999999999</c:v>
                </c:pt>
                <c:pt idx="183">
                  <c:v>147.94999999999999</c:v>
                </c:pt>
                <c:pt idx="184">
                  <c:v>147.94999999999999</c:v>
                </c:pt>
                <c:pt idx="185">
                  <c:v>147.94999999999999</c:v>
                </c:pt>
                <c:pt idx="186">
                  <c:v>147.94999999999999</c:v>
                </c:pt>
                <c:pt idx="187">
                  <c:v>147.94999999999999</c:v>
                </c:pt>
                <c:pt idx="188">
                  <c:v>147.94999999999999</c:v>
                </c:pt>
                <c:pt idx="189">
                  <c:v>147.94999999999999</c:v>
                </c:pt>
                <c:pt idx="190">
                  <c:v>147.94999999999999</c:v>
                </c:pt>
                <c:pt idx="191">
                  <c:v>147.94999999999999</c:v>
                </c:pt>
                <c:pt idx="192">
                  <c:v>147.94999999999999</c:v>
                </c:pt>
                <c:pt idx="193">
                  <c:v>147.94999999999999</c:v>
                </c:pt>
                <c:pt idx="194">
                  <c:v>147.94999999999999</c:v>
                </c:pt>
                <c:pt idx="195">
                  <c:v>147.94999999999999</c:v>
                </c:pt>
                <c:pt idx="196">
                  <c:v>147.94999999999999</c:v>
                </c:pt>
                <c:pt idx="197">
                  <c:v>147.94999999999999</c:v>
                </c:pt>
                <c:pt idx="198">
                  <c:v>147.94999999999999</c:v>
                </c:pt>
                <c:pt idx="199">
                  <c:v>147.94999999999999</c:v>
                </c:pt>
                <c:pt idx="200">
                  <c:v>147.94999999999999</c:v>
                </c:pt>
                <c:pt idx="201">
                  <c:v>147.94999999999999</c:v>
                </c:pt>
                <c:pt idx="202">
                  <c:v>147.94999999999999</c:v>
                </c:pt>
                <c:pt idx="203">
                  <c:v>147.94999999999999</c:v>
                </c:pt>
                <c:pt idx="204">
                  <c:v>147.94999999999999</c:v>
                </c:pt>
                <c:pt idx="205">
                  <c:v>147.94999999999999</c:v>
                </c:pt>
                <c:pt idx="206">
                  <c:v>147.94999999999999</c:v>
                </c:pt>
                <c:pt idx="207">
                  <c:v>147.94999999999999</c:v>
                </c:pt>
                <c:pt idx="208">
                  <c:v>147.94999999999999</c:v>
                </c:pt>
                <c:pt idx="209">
                  <c:v>147.94999999999999</c:v>
                </c:pt>
                <c:pt idx="210">
                  <c:v>147.94999999999999</c:v>
                </c:pt>
                <c:pt idx="211">
                  <c:v>147.94999999999999</c:v>
                </c:pt>
                <c:pt idx="212">
                  <c:v>147.94999999999999</c:v>
                </c:pt>
                <c:pt idx="213">
                  <c:v>147.94999999999999</c:v>
                </c:pt>
                <c:pt idx="214">
                  <c:v>147.94999999999999</c:v>
                </c:pt>
                <c:pt idx="215">
                  <c:v>147.94999999999999</c:v>
                </c:pt>
                <c:pt idx="216">
                  <c:v>147.94999999999999</c:v>
                </c:pt>
                <c:pt idx="217">
                  <c:v>147.94999999999999</c:v>
                </c:pt>
                <c:pt idx="218">
                  <c:v>147.94999999999999</c:v>
                </c:pt>
                <c:pt idx="219">
                  <c:v>147.94999999999999</c:v>
                </c:pt>
                <c:pt idx="220">
                  <c:v>147.94999999999999</c:v>
                </c:pt>
                <c:pt idx="221">
                  <c:v>147.94999999999999</c:v>
                </c:pt>
                <c:pt idx="222">
                  <c:v>147.94999999999999</c:v>
                </c:pt>
                <c:pt idx="223">
                  <c:v>147.94999999999999</c:v>
                </c:pt>
                <c:pt idx="224">
                  <c:v>147.94999999999999</c:v>
                </c:pt>
                <c:pt idx="225">
                  <c:v>147.94999999999999</c:v>
                </c:pt>
                <c:pt idx="226">
                  <c:v>147.94999999999999</c:v>
                </c:pt>
                <c:pt idx="227">
                  <c:v>147.94999999999999</c:v>
                </c:pt>
                <c:pt idx="228">
                  <c:v>147.94999999999999</c:v>
                </c:pt>
                <c:pt idx="229">
                  <c:v>147.94999999999999</c:v>
                </c:pt>
                <c:pt idx="230">
                  <c:v>147.94999999999999</c:v>
                </c:pt>
                <c:pt idx="231">
                  <c:v>147.94999999999999</c:v>
                </c:pt>
                <c:pt idx="232">
                  <c:v>147.94999999999999</c:v>
                </c:pt>
                <c:pt idx="233">
                  <c:v>147.94999999999999</c:v>
                </c:pt>
                <c:pt idx="234">
                  <c:v>147.94999999999999</c:v>
                </c:pt>
                <c:pt idx="235">
                  <c:v>147.94999999999999</c:v>
                </c:pt>
                <c:pt idx="236">
                  <c:v>147.94999999999999</c:v>
                </c:pt>
                <c:pt idx="237">
                  <c:v>147.94999999999999</c:v>
                </c:pt>
                <c:pt idx="238">
                  <c:v>147.94999999999999</c:v>
                </c:pt>
                <c:pt idx="239">
                  <c:v>147.94999999999999</c:v>
                </c:pt>
                <c:pt idx="240">
                  <c:v>147.94999999999999</c:v>
                </c:pt>
                <c:pt idx="241">
                  <c:v>147.94999999999999</c:v>
                </c:pt>
                <c:pt idx="242">
                  <c:v>147.94999999999999</c:v>
                </c:pt>
                <c:pt idx="243">
                  <c:v>147.94999999999999</c:v>
                </c:pt>
                <c:pt idx="244">
                  <c:v>147.94999999999999</c:v>
                </c:pt>
                <c:pt idx="245">
                  <c:v>147.94999999999999</c:v>
                </c:pt>
                <c:pt idx="246">
                  <c:v>147.94999999999999</c:v>
                </c:pt>
                <c:pt idx="247">
                  <c:v>147.94999999999999</c:v>
                </c:pt>
                <c:pt idx="248">
                  <c:v>147.94999999999999</c:v>
                </c:pt>
                <c:pt idx="249">
                  <c:v>147.94999999999999</c:v>
                </c:pt>
                <c:pt idx="250">
                  <c:v>147.94999999999999</c:v>
                </c:pt>
                <c:pt idx="251">
                  <c:v>147.94999999999999</c:v>
                </c:pt>
                <c:pt idx="252">
                  <c:v>147.94999999999999</c:v>
                </c:pt>
                <c:pt idx="253">
                  <c:v>147.94999999999999</c:v>
                </c:pt>
                <c:pt idx="254">
                  <c:v>147.94999999999999</c:v>
                </c:pt>
                <c:pt idx="255">
                  <c:v>147.94999999999999</c:v>
                </c:pt>
                <c:pt idx="256">
                  <c:v>147.94999999999999</c:v>
                </c:pt>
                <c:pt idx="257">
                  <c:v>147.94999999999999</c:v>
                </c:pt>
                <c:pt idx="258">
                  <c:v>147.94999999999999</c:v>
                </c:pt>
                <c:pt idx="259">
                  <c:v>147.94999999999999</c:v>
                </c:pt>
                <c:pt idx="260">
                  <c:v>147.94999999999999</c:v>
                </c:pt>
                <c:pt idx="261">
                  <c:v>147.94999999999999</c:v>
                </c:pt>
                <c:pt idx="262">
                  <c:v>147.94999999999999</c:v>
                </c:pt>
                <c:pt idx="263">
                  <c:v>147.94999999999999</c:v>
                </c:pt>
                <c:pt idx="264">
                  <c:v>147.94999999999999</c:v>
                </c:pt>
                <c:pt idx="265">
                  <c:v>147.94999999999999</c:v>
                </c:pt>
                <c:pt idx="266">
                  <c:v>147.94999999999999</c:v>
                </c:pt>
                <c:pt idx="267">
                  <c:v>147.94999999999999</c:v>
                </c:pt>
                <c:pt idx="268">
                  <c:v>147.94999999999999</c:v>
                </c:pt>
                <c:pt idx="269">
                  <c:v>147.94999999999999</c:v>
                </c:pt>
                <c:pt idx="270">
                  <c:v>147.94999999999999</c:v>
                </c:pt>
                <c:pt idx="271">
                  <c:v>147.94999999999999</c:v>
                </c:pt>
                <c:pt idx="272">
                  <c:v>147.94999999999999</c:v>
                </c:pt>
                <c:pt idx="273">
                  <c:v>147.94999999999999</c:v>
                </c:pt>
                <c:pt idx="274">
                  <c:v>147.94999999999999</c:v>
                </c:pt>
                <c:pt idx="275">
                  <c:v>147.94999999999999</c:v>
                </c:pt>
                <c:pt idx="276">
                  <c:v>147.94999999999999</c:v>
                </c:pt>
                <c:pt idx="277">
                  <c:v>147.94999999999999</c:v>
                </c:pt>
                <c:pt idx="278">
                  <c:v>147.94999999999999</c:v>
                </c:pt>
                <c:pt idx="279">
                  <c:v>147.94999999999999</c:v>
                </c:pt>
                <c:pt idx="280">
                  <c:v>147.94999999999999</c:v>
                </c:pt>
                <c:pt idx="281">
                  <c:v>147.94999999999999</c:v>
                </c:pt>
                <c:pt idx="282">
                  <c:v>147.94999999999999</c:v>
                </c:pt>
                <c:pt idx="283">
                  <c:v>147.94999999999999</c:v>
                </c:pt>
                <c:pt idx="284">
                  <c:v>147.94999999999999</c:v>
                </c:pt>
                <c:pt idx="285">
                  <c:v>147.94999999999999</c:v>
                </c:pt>
                <c:pt idx="286">
                  <c:v>147.94999999999999</c:v>
                </c:pt>
                <c:pt idx="287">
                  <c:v>147.94999999999999</c:v>
                </c:pt>
                <c:pt idx="288">
                  <c:v>147.94999999999999</c:v>
                </c:pt>
                <c:pt idx="289">
                  <c:v>147.94999999999999</c:v>
                </c:pt>
                <c:pt idx="290">
                  <c:v>147.94999999999999</c:v>
                </c:pt>
                <c:pt idx="291">
                  <c:v>147.94999999999999</c:v>
                </c:pt>
                <c:pt idx="292">
                  <c:v>147.94999999999999</c:v>
                </c:pt>
                <c:pt idx="293">
                  <c:v>147.94999999999999</c:v>
                </c:pt>
                <c:pt idx="294">
                  <c:v>147.94999999999999</c:v>
                </c:pt>
                <c:pt idx="295">
                  <c:v>147.94999999999999</c:v>
                </c:pt>
                <c:pt idx="296">
                  <c:v>147.94999999999999</c:v>
                </c:pt>
                <c:pt idx="297">
                  <c:v>147.94999999999999</c:v>
                </c:pt>
                <c:pt idx="298">
                  <c:v>147.94999999999999</c:v>
                </c:pt>
                <c:pt idx="299">
                  <c:v>147.94999999999999</c:v>
                </c:pt>
                <c:pt idx="300">
                  <c:v>147.94999999999999</c:v>
                </c:pt>
                <c:pt idx="301">
                  <c:v>147.94999999999999</c:v>
                </c:pt>
                <c:pt idx="302">
                  <c:v>147.94999999999999</c:v>
                </c:pt>
                <c:pt idx="303">
                  <c:v>147.94999999999999</c:v>
                </c:pt>
                <c:pt idx="304">
                  <c:v>164</c:v>
                </c:pt>
                <c:pt idx="305">
                  <c:v>164</c:v>
                </c:pt>
                <c:pt idx="306">
                  <c:v>164</c:v>
                </c:pt>
                <c:pt idx="307">
                  <c:v>164</c:v>
                </c:pt>
                <c:pt idx="308">
                  <c:v>164</c:v>
                </c:pt>
                <c:pt idx="309">
                  <c:v>164</c:v>
                </c:pt>
                <c:pt idx="310">
                  <c:v>164</c:v>
                </c:pt>
                <c:pt idx="311">
                  <c:v>164</c:v>
                </c:pt>
                <c:pt idx="312">
                  <c:v>164</c:v>
                </c:pt>
                <c:pt idx="313">
                  <c:v>164</c:v>
                </c:pt>
                <c:pt idx="314">
                  <c:v>164</c:v>
                </c:pt>
                <c:pt idx="315">
                  <c:v>164</c:v>
                </c:pt>
                <c:pt idx="316">
                  <c:v>164</c:v>
                </c:pt>
                <c:pt idx="317">
                  <c:v>164</c:v>
                </c:pt>
                <c:pt idx="318">
                  <c:v>164</c:v>
                </c:pt>
                <c:pt idx="319">
                  <c:v>164</c:v>
                </c:pt>
                <c:pt idx="320">
                  <c:v>164</c:v>
                </c:pt>
                <c:pt idx="321">
                  <c:v>164</c:v>
                </c:pt>
                <c:pt idx="322">
                  <c:v>164</c:v>
                </c:pt>
                <c:pt idx="323">
                  <c:v>164</c:v>
                </c:pt>
                <c:pt idx="324">
                  <c:v>164</c:v>
                </c:pt>
                <c:pt idx="325">
                  <c:v>164</c:v>
                </c:pt>
                <c:pt idx="326">
                  <c:v>164</c:v>
                </c:pt>
                <c:pt idx="327">
                  <c:v>164</c:v>
                </c:pt>
                <c:pt idx="328">
                  <c:v>164</c:v>
                </c:pt>
                <c:pt idx="329">
                  <c:v>164</c:v>
                </c:pt>
                <c:pt idx="330">
                  <c:v>164</c:v>
                </c:pt>
                <c:pt idx="331">
                  <c:v>164</c:v>
                </c:pt>
                <c:pt idx="332">
                  <c:v>164</c:v>
                </c:pt>
                <c:pt idx="333">
                  <c:v>164</c:v>
                </c:pt>
                <c:pt idx="334">
                  <c:v>164</c:v>
                </c:pt>
                <c:pt idx="335">
                  <c:v>164</c:v>
                </c:pt>
                <c:pt idx="336">
                  <c:v>164</c:v>
                </c:pt>
                <c:pt idx="337">
                  <c:v>164</c:v>
                </c:pt>
                <c:pt idx="338">
                  <c:v>164</c:v>
                </c:pt>
                <c:pt idx="339">
                  <c:v>164</c:v>
                </c:pt>
                <c:pt idx="340">
                  <c:v>164</c:v>
                </c:pt>
                <c:pt idx="341">
                  <c:v>164</c:v>
                </c:pt>
                <c:pt idx="342">
                  <c:v>164</c:v>
                </c:pt>
                <c:pt idx="343">
                  <c:v>164</c:v>
                </c:pt>
                <c:pt idx="344">
                  <c:v>164</c:v>
                </c:pt>
                <c:pt idx="345">
                  <c:v>164</c:v>
                </c:pt>
                <c:pt idx="346">
                  <c:v>164</c:v>
                </c:pt>
                <c:pt idx="347">
                  <c:v>164</c:v>
                </c:pt>
                <c:pt idx="348">
                  <c:v>164</c:v>
                </c:pt>
                <c:pt idx="349">
                  <c:v>164</c:v>
                </c:pt>
                <c:pt idx="350">
                  <c:v>164</c:v>
                </c:pt>
                <c:pt idx="351">
                  <c:v>164</c:v>
                </c:pt>
                <c:pt idx="352">
                  <c:v>164</c:v>
                </c:pt>
                <c:pt idx="353">
                  <c:v>164</c:v>
                </c:pt>
                <c:pt idx="354">
                  <c:v>164</c:v>
                </c:pt>
                <c:pt idx="355">
                  <c:v>164</c:v>
                </c:pt>
                <c:pt idx="356">
                  <c:v>164</c:v>
                </c:pt>
                <c:pt idx="357">
                  <c:v>164</c:v>
                </c:pt>
                <c:pt idx="358">
                  <c:v>164</c:v>
                </c:pt>
                <c:pt idx="359">
                  <c:v>164</c:v>
                </c:pt>
                <c:pt idx="360">
                  <c:v>164</c:v>
                </c:pt>
                <c:pt idx="361">
                  <c:v>164</c:v>
                </c:pt>
                <c:pt idx="362">
                  <c:v>164</c:v>
                </c:pt>
                <c:pt idx="363">
                  <c:v>164</c:v>
                </c:pt>
                <c:pt idx="364">
                  <c:v>164</c:v>
                </c:pt>
              </c:numCache>
            </c:numRef>
          </c:val>
          <c:extLst>
            <c:ext xmlns:c16="http://schemas.microsoft.com/office/drawing/2014/chart" uri="{C3380CC4-5D6E-409C-BE32-E72D297353CC}">
              <c16:uniqueId val="{00000000-A2D5-48D4-BF3C-75458A40ABC4}"/>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A2D5-48D4-BF3C-75458A40ABC4}"/>
            </c:ext>
          </c:extLst>
        </c:ser>
        <c:dLbls>
          <c:showLegendKey val="0"/>
          <c:showVal val="0"/>
          <c:showCatName val="0"/>
          <c:showSerName val="0"/>
          <c:showPercent val="0"/>
          <c:showBubbleSize val="0"/>
        </c:dLbls>
        <c:gapWidth val="150"/>
        <c:overlap val="100"/>
        <c:axId val="77961568"/>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145.137</c:v>
                </c:pt>
                <c:pt idx="1">
                  <c:v>156.59200000000001</c:v>
                </c:pt>
                <c:pt idx="2">
                  <c:v>158.02699999999999</c:v>
                </c:pt>
                <c:pt idx="3">
                  <c:v>162.42699999999999</c:v>
                </c:pt>
                <c:pt idx="4">
                  <c:v>157.75700000000001</c:v>
                </c:pt>
                <c:pt idx="5">
                  <c:v>111.09099999999999</c:v>
                </c:pt>
                <c:pt idx="6">
                  <c:v>124.03100000000001</c:v>
                </c:pt>
                <c:pt idx="7">
                  <c:v>133.209</c:v>
                </c:pt>
                <c:pt idx="8">
                  <c:v>136.02699999999999</c:v>
                </c:pt>
                <c:pt idx="9">
                  <c:v>128.63</c:v>
                </c:pt>
                <c:pt idx="10">
                  <c:v>121.968</c:v>
                </c:pt>
                <c:pt idx="11">
                  <c:v>136.1</c:v>
                </c:pt>
                <c:pt idx="12">
                  <c:v>131.67699999999999</c:v>
                </c:pt>
                <c:pt idx="13">
                  <c:v>127.188</c:v>
                </c:pt>
                <c:pt idx="14">
                  <c:v>89.707999999999998</c:v>
                </c:pt>
                <c:pt idx="15">
                  <c:v>72.052999999999997</c:v>
                </c:pt>
                <c:pt idx="16">
                  <c:v>105.343</c:v>
                </c:pt>
                <c:pt idx="17">
                  <c:v>94.415000000000006</c:v>
                </c:pt>
                <c:pt idx="18">
                  <c:v>89.213999999999999</c:v>
                </c:pt>
                <c:pt idx="19">
                  <c:v>94.286000000000001</c:v>
                </c:pt>
                <c:pt idx="20">
                  <c:v>82.501999999999995</c:v>
                </c:pt>
                <c:pt idx="21">
                  <c:v>55.655000000000001</c:v>
                </c:pt>
                <c:pt idx="22">
                  <c:v>87.721000000000004</c:v>
                </c:pt>
                <c:pt idx="23">
                  <c:v>65.403999999999996</c:v>
                </c:pt>
                <c:pt idx="24">
                  <c:v>86.263999999999996</c:v>
                </c:pt>
                <c:pt idx="25">
                  <c:v>103.703</c:v>
                </c:pt>
                <c:pt idx="26">
                  <c:v>99.183000000000007</c:v>
                </c:pt>
                <c:pt idx="27">
                  <c:v>92.921000000000006</c:v>
                </c:pt>
                <c:pt idx="28">
                  <c:v>113.97</c:v>
                </c:pt>
                <c:pt idx="29">
                  <c:v>120.803</c:v>
                </c:pt>
                <c:pt idx="30">
                  <c:v>109.85</c:v>
                </c:pt>
                <c:pt idx="31">
                  <c:v>108.42700000000001</c:v>
                </c:pt>
                <c:pt idx="32">
                  <c:v>92.426000000000002</c:v>
                </c:pt>
                <c:pt idx="33">
                  <c:v>73.936000000000007</c:v>
                </c:pt>
                <c:pt idx="34">
                  <c:v>67.450999999999993</c:v>
                </c:pt>
                <c:pt idx="35">
                  <c:v>107.467</c:v>
                </c:pt>
                <c:pt idx="36">
                  <c:v>107.75</c:v>
                </c:pt>
                <c:pt idx="37">
                  <c:v>76.677000000000007</c:v>
                </c:pt>
                <c:pt idx="38">
                  <c:v>101.414</c:v>
                </c:pt>
                <c:pt idx="39">
                  <c:v>160.292</c:v>
                </c:pt>
                <c:pt idx="40">
                  <c:v>142.88999999999999</c:v>
                </c:pt>
                <c:pt idx="41">
                  <c:v>149.12299999999999</c:v>
                </c:pt>
                <c:pt idx="42">
                  <c:v>162.34100000000001</c:v>
                </c:pt>
                <c:pt idx="43">
                  <c:v>161.80600000000001</c:v>
                </c:pt>
                <c:pt idx="44">
                  <c:v>36.454999999999998</c:v>
                </c:pt>
                <c:pt idx="45">
                  <c:v>50.698</c:v>
                </c:pt>
                <c:pt idx="46">
                  <c:v>26.379000000000001</c:v>
                </c:pt>
                <c:pt idx="47">
                  <c:v>90.567999999999998</c:v>
                </c:pt>
                <c:pt idx="48">
                  <c:v>67.741</c:v>
                </c:pt>
                <c:pt idx="49">
                  <c:v>152.25399999999999</c:v>
                </c:pt>
                <c:pt idx="50">
                  <c:v>139.08699999999999</c:v>
                </c:pt>
                <c:pt idx="51">
                  <c:v>70.72</c:v>
                </c:pt>
                <c:pt idx="52">
                  <c:v>97.186000000000007</c:v>
                </c:pt>
                <c:pt idx="53">
                  <c:v>0</c:v>
                </c:pt>
                <c:pt idx="54">
                  <c:v>0</c:v>
                </c:pt>
                <c:pt idx="55">
                  <c:v>0</c:v>
                </c:pt>
                <c:pt idx="56">
                  <c:v>0</c:v>
                </c:pt>
                <c:pt idx="57">
                  <c:v>27.995000000000001</c:v>
                </c:pt>
                <c:pt idx="58">
                  <c:v>0</c:v>
                </c:pt>
                <c:pt idx="59">
                  <c:v>0</c:v>
                </c:pt>
                <c:pt idx="60">
                  <c:v>0</c:v>
                </c:pt>
                <c:pt idx="61">
                  <c:v>0</c:v>
                </c:pt>
                <c:pt idx="62">
                  <c:v>0</c:v>
                </c:pt>
                <c:pt idx="63">
                  <c:v>131.714</c:v>
                </c:pt>
                <c:pt idx="64">
                  <c:v>162.36099999999999</c:v>
                </c:pt>
                <c:pt idx="65">
                  <c:v>162.869</c:v>
                </c:pt>
                <c:pt idx="66">
                  <c:v>118.815</c:v>
                </c:pt>
                <c:pt idx="67">
                  <c:v>107.28100000000001</c:v>
                </c:pt>
                <c:pt idx="68">
                  <c:v>40.850999999999999</c:v>
                </c:pt>
                <c:pt idx="69">
                  <c:v>43.137</c:v>
                </c:pt>
                <c:pt idx="70">
                  <c:v>66.787999999999997</c:v>
                </c:pt>
                <c:pt idx="71">
                  <c:v>61.98</c:v>
                </c:pt>
                <c:pt idx="72">
                  <c:v>33.895000000000003</c:v>
                </c:pt>
                <c:pt idx="73">
                  <c:v>1.306</c:v>
                </c:pt>
                <c:pt idx="74">
                  <c:v>0</c:v>
                </c:pt>
                <c:pt idx="75">
                  <c:v>0</c:v>
                </c:pt>
                <c:pt idx="76">
                  <c:v>0</c:v>
                </c:pt>
                <c:pt idx="77">
                  <c:v>11.313000000000001</c:v>
                </c:pt>
                <c:pt idx="78">
                  <c:v>11.96</c:v>
                </c:pt>
                <c:pt idx="79">
                  <c:v>7.2720000000000002</c:v>
                </c:pt>
                <c:pt idx="80">
                  <c:v>42.018999999999998</c:v>
                </c:pt>
                <c:pt idx="81">
                  <c:v>83.445999999999998</c:v>
                </c:pt>
                <c:pt idx="82">
                  <c:v>57.295000000000002</c:v>
                </c:pt>
                <c:pt idx="83">
                  <c:v>54.381999999999998</c:v>
                </c:pt>
                <c:pt idx="84">
                  <c:v>100.292</c:v>
                </c:pt>
                <c:pt idx="85">
                  <c:v>81.331999999999994</c:v>
                </c:pt>
                <c:pt idx="86">
                  <c:v>117.27</c:v>
                </c:pt>
                <c:pt idx="87">
                  <c:v>80.637</c:v>
                </c:pt>
                <c:pt idx="88">
                  <c:v>96.878</c:v>
                </c:pt>
                <c:pt idx="89">
                  <c:v>56.878</c:v>
                </c:pt>
                <c:pt idx="90">
                  <c:v>76.465999999999994</c:v>
                </c:pt>
                <c:pt idx="91">
                  <c:v>81.385999999999996</c:v>
                </c:pt>
                <c:pt idx="92">
                  <c:v>66.676000000000002</c:v>
                </c:pt>
                <c:pt idx="93">
                  <c:v>17.745000000000001</c:v>
                </c:pt>
                <c:pt idx="94">
                  <c:v>2.2440000000000002</c:v>
                </c:pt>
                <c:pt idx="95">
                  <c:v>4.0000000000000001E-3</c:v>
                </c:pt>
                <c:pt idx="96">
                  <c:v>22.876000000000001</c:v>
                </c:pt>
                <c:pt idx="97">
                  <c:v>5.24</c:v>
                </c:pt>
                <c:pt idx="98">
                  <c:v>47.075000000000003</c:v>
                </c:pt>
                <c:pt idx="99">
                  <c:v>86.906999999999996</c:v>
                </c:pt>
                <c:pt idx="100">
                  <c:v>99.302999999999997</c:v>
                </c:pt>
                <c:pt idx="101">
                  <c:v>1.9850000000000001</c:v>
                </c:pt>
                <c:pt idx="102">
                  <c:v>7.6999999999999999E-2</c:v>
                </c:pt>
                <c:pt idx="103">
                  <c:v>84.048000000000002</c:v>
                </c:pt>
                <c:pt idx="104">
                  <c:v>69.427999999999997</c:v>
                </c:pt>
                <c:pt idx="105">
                  <c:v>86.424999999999997</c:v>
                </c:pt>
                <c:pt idx="106">
                  <c:v>89.763999999999996</c:v>
                </c:pt>
                <c:pt idx="107">
                  <c:v>77.643000000000001</c:v>
                </c:pt>
                <c:pt idx="108">
                  <c:v>91.596999999999994</c:v>
                </c:pt>
                <c:pt idx="109">
                  <c:v>88.481999999999999</c:v>
                </c:pt>
                <c:pt idx="110">
                  <c:v>82.475999999999999</c:v>
                </c:pt>
                <c:pt idx="111">
                  <c:v>80.805999999999997</c:v>
                </c:pt>
                <c:pt idx="112">
                  <c:v>27.965</c:v>
                </c:pt>
                <c:pt idx="113">
                  <c:v>69.206000000000003</c:v>
                </c:pt>
                <c:pt idx="114">
                  <c:v>91.521000000000001</c:v>
                </c:pt>
                <c:pt idx="115">
                  <c:v>160.255</c:v>
                </c:pt>
                <c:pt idx="116">
                  <c:v>164.16300000000001</c:v>
                </c:pt>
                <c:pt idx="117">
                  <c:v>92.09</c:v>
                </c:pt>
                <c:pt idx="118">
                  <c:v>82.394000000000005</c:v>
                </c:pt>
                <c:pt idx="119">
                  <c:v>31.395</c:v>
                </c:pt>
                <c:pt idx="120">
                  <c:v>75.132999999999996</c:v>
                </c:pt>
                <c:pt idx="121">
                  <c:v>91.988</c:v>
                </c:pt>
                <c:pt idx="122">
                  <c:v>96.578000000000003</c:v>
                </c:pt>
                <c:pt idx="123">
                  <c:v>82.924000000000007</c:v>
                </c:pt>
                <c:pt idx="124">
                  <c:v>40.756</c:v>
                </c:pt>
                <c:pt idx="125">
                  <c:v>52.692999999999998</c:v>
                </c:pt>
                <c:pt idx="126">
                  <c:v>70.686000000000007</c:v>
                </c:pt>
                <c:pt idx="127">
                  <c:v>78.396000000000001</c:v>
                </c:pt>
                <c:pt idx="128">
                  <c:v>74.084999999999994</c:v>
                </c:pt>
                <c:pt idx="129">
                  <c:v>80.290000000000006</c:v>
                </c:pt>
                <c:pt idx="130">
                  <c:v>102.34699999999999</c:v>
                </c:pt>
                <c:pt idx="131">
                  <c:v>115.515</c:v>
                </c:pt>
                <c:pt idx="132">
                  <c:v>107.301</c:v>
                </c:pt>
                <c:pt idx="133">
                  <c:v>119.879</c:v>
                </c:pt>
                <c:pt idx="134">
                  <c:v>125.34699999999999</c:v>
                </c:pt>
                <c:pt idx="135">
                  <c:v>125.24299999999999</c:v>
                </c:pt>
                <c:pt idx="136">
                  <c:v>107.724</c:v>
                </c:pt>
                <c:pt idx="137">
                  <c:v>108.246</c:v>
                </c:pt>
                <c:pt idx="138">
                  <c:v>120.956</c:v>
                </c:pt>
                <c:pt idx="139">
                  <c:v>125.194</c:v>
                </c:pt>
                <c:pt idx="140">
                  <c:v>115.123</c:v>
                </c:pt>
                <c:pt idx="141">
                  <c:v>115.116</c:v>
                </c:pt>
                <c:pt idx="142">
                  <c:v>115.34699999999999</c:v>
                </c:pt>
                <c:pt idx="143">
                  <c:v>118.158</c:v>
                </c:pt>
                <c:pt idx="144">
                  <c:v>113.129</c:v>
                </c:pt>
                <c:pt idx="145">
                  <c:v>101.82</c:v>
                </c:pt>
                <c:pt idx="146">
                  <c:v>116.73</c:v>
                </c:pt>
                <c:pt idx="147">
                  <c:v>123.223</c:v>
                </c:pt>
                <c:pt idx="148">
                  <c:v>129.35</c:v>
                </c:pt>
                <c:pt idx="149">
                  <c:v>138.446</c:v>
                </c:pt>
                <c:pt idx="150">
                  <c:v>162.05799999999999</c:v>
                </c:pt>
                <c:pt idx="151">
                  <c:v>163.87100000000001</c:v>
                </c:pt>
                <c:pt idx="152">
                  <c:v>158.517</c:v>
                </c:pt>
                <c:pt idx="153">
                  <c:v>126.41</c:v>
                </c:pt>
                <c:pt idx="154">
                  <c:v>112.229</c:v>
                </c:pt>
                <c:pt idx="155">
                  <c:v>104.226</c:v>
                </c:pt>
                <c:pt idx="156">
                  <c:v>107.846</c:v>
                </c:pt>
                <c:pt idx="157">
                  <c:v>112.071</c:v>
                </c:pt>
                <c:pt idx="158">
                  <c:v>112.11</c:v>
                </c:pt>
                <c:pt idx="159">
                  <c:v>105.316</c:v>
                </c:pt>
                <c:pt idx="160">
                  <c:v>114.37</c:v>
                </c:pt>
                <c:pt idx="161">
                  <c:v>126.84099999999999</c:v>
                </c:pt>
                <c:pt idx="162">
                  <c:v>142.405</c:v>
                </c:pt>
                <c:pt idx="163">
                  <c:v>129.72399999999999</c:v>
                </c:pt>
                <c:pt idx="164">
                  <c:v>131.79599999999999</c:v>
                </c:pt>
                <c:pt idx="165">
                  <c:v>131.12299999999999</c:v>
                </c:pt>
                <c:pt idx="166">
                  <c:v>122.441</c:v>
                </c:pt>
                <c:pt idx="167">
                  <c:v>131.90299999999999</c:v>
                </c:pt>
                <c:pt idx="168">
                  <c:v>159.428</c:v>
                </c:pt>
                <c:pt idx="169">
                  <c:v>140.13800000000001</c:v>
                </c:pt>
                <c:pt idx="170">
                  <c:v>124.884</c:v>
                </c:pt>
                <c:pt idx="171">
                  <c:v>80.986999999999995</c:v>
                </c:pt>
                <c:pt idx="172">
                  <c:v>67.563000000000002</c:v>
                </c:pt>
                <c:pt idx="173">
                  <c:v>74.225999999999999</c:v>
                </c:pt>
                <c:pt idx="174">
                  <c:v>58.143000000000001</c:v>
                </c:pt>
                <c:pt idx="175">
                  <c:v>75.231999999999999</c:v>
                </c:pt>
                <c:pt idx="176">
                  <c:v>87.283000000000001</c:v>
                </c:pt>
                <c:pt idx="177">
                  <c:v>53.174999999999997</c:v>
                </c:pt>
                <c:pt idx="178">
                  <c:v>46.357999999999997</c:v>
                </c:pt>
                <c:pt idx="179">
                  <c:v>38.209000000000003</c:v>
                </c:pt>
                <c:pt idx="180">
                  <c:v>36.4</c:v>
                </c:pt>
                <c:pt idx="181">
                  <c:v>50.179000000000002</c:v>
                </c:pt>
                <c:pt idx="182">
                  <c:v>41.712000000000003</c:v>
                </c:pt>
                <c:pt idx="183">
                  <c:v>48.2</c:v>
                </c:pt>
                <c:pt idx="184">
                  <c:v>86.602999999999994</c:v>
                </c:pt>
                <c:pt idx="185">
                  <c:v>75.908000000000001</c:v>
                </c:pt>
                <c:pt idx="186">
                  <c:v>32.799999999999997</c:v>
                </c:pt>
                <c:pt idx="187">
                  <c:v>39.677999999999997</c:v>
                </c:pt>
                <c:pt idx="188">
                  <c:v>94.284999999999997</c:v>
                </c:pt>
                <c:pt idx="189">
                  <c:v>65.492999999999995</c:v>
                </c:pt>
                <c:pt idx="190">
                  <c:v>53.536000000000001</c:v>
                </c:pt>
                <c:pt idx="191">
                  <c:v>70.429000000000002</c:v>
                </c:pt>
                <c:pt idx="192">
                  <c:v>66.971999999999994</c:v>
                </c:pt>
                <c:pt idx="193">
                  <c:v>71.516999999999996</c:v>
                </c:pt>
                <c:pt idx="194">
                  <c:v>96.132000000000005</c:v>
                </c:pt>
                <c:pt idx="195">
                  <c:v>65.227000000000004</c:v>
                </c:pt>
                <c:pt idx="196">
                  <c:v>116.774</c:v>
                </c:pt>
                <c:pt idx="197">
                  <c:v>132.53800000000001</c:v>
                </c:pt>
                <c:pt idx="198">
                  <c:v>130.208</c:v>
                </c:pt>
                <c:pt idx="199">
                  <c:v>106.508</c:v>
                </c:pt>
                <c:pt idx="200">
                  <c:v>102.05</c:v>
                </c:pt>
                <c:pt idx="201">
                  <c:v>66.81</c:v>
                </c:pt>
                <c:pt idx="202">
                  <c:v>66.146000000000001</c:v>
                </c:pt>
                <c:pt idx="203">
                  <c:v>95.665000000000006</c:v>
                </c:pt>
                <c:pt idx="204">
                  <c:v>80.872</c:v>
                </c:pt>
                <c:pt idx="205">
                  <c:v>110.613</c:v>
                </c:pt>
                <c:pt idx="206">
                  <c:v>130.483</c:v>
                </c:pt>
                <c:pt idx="207">
                  <c:v>161.05799999999999</c:v>
                </c:pt>
                <c:pt idx="208">
                  <c:v>100.42700000000001</c:v>
                </c:pt>
                <c:pt idx="209">
                  <c:v>89.62</c:v>
                </c:pt>
                <c:pt idx="210">
                  <c:v>75.775000000000006</c:v>
                </c:pt>
                <c:pt idx="211">
                  <c:v>101.39</c:v>
                </c:pt>
                <c:pt idx="212">
                  <c:v>102.68600000000001</c:v>
                </c:pt>
                <c:pt idx="213">
                  <c:v>105.703</c:v>
                </c:pt>
                <c:pt idx="214">
                  <c:v>109.746</c:v>
                </c:pt>
                <c:pt idx="215">
                  <c:v>91.608000000000004</c:v>
                </c:pt>
                <c:pt idx="216">
                  <c:v>46.261000000000003</c:v>
                </c:pt>
                <c:pt idx="217">
                  <c:v>119.79300000000001</c:v>
                </c:pt>
                <c:pt idx="218">
                  <c:v>143.839</c:v>
                </c:pt>
                <c:pt idx="219">
                  <c:v>49.878999999999998</c:v>
                </c:pt>
                <c:pt idx="220">
                  <c:v>126.123</c:v>
                </c:pt>
                <c:pt idx="221">
                  <c:v>117.285</c:v>
                </c:pt>
                <c:pt idx="222">
                  <c:v>66.563999999999993</c:v>
                </c:pt>
                <c:pt idx="223">
                  <c:v>48.886000000000003</c:v>
                </c:pt>
                <c:pt idx="224">
                  <c:v>77.905000000000001</c:v>
                </c:pt>
                <c:pt idx="225">
                  <c:v>67.313999999999993</c:v>
                </c:pt>
                <c:pt idx="226">
                  <c:v>99.421999999999997</c:v>
                </c:pt>
                <c:pt idx="227">
                  <c:v>69.307000000000002</c:v>
                </c:pt>
                <c:pt idx="228">
                  <c:v>60.054000000000002</c:v>
                </c:pt>
                <c:pt idx="229">
                  <c:v>59.643000000000001</c:v>
                </c:pt>
                <c:pt idx="230">
                  <c:v>98.597999999999999</c:v>
                </c:pt>
                <c:pt idx="231">
                  <c:v>39.454999999999998</c:v>
                </c:pt>
                <c:pt idx="232">
                  <c:v>73.864999999999995</c:v>
                </c:pt>
                <c:pt idx="233">
                  <c:v>66.239000000000004</c:v>
                </c:pt>
                <c:pt idx="234">
                  <c:v>72.519000000000005</c:v>
                </c:pt>
                <c:pt idx="235">
                  <c:v>141.28</c:v>
                </c:pt>
                <c:pt idx="236">
                  <c:v>141.50800000000001</c:v>
                </c:pt>
                <c:pt idx="237">
                  <c:v>125.629</c:v>
                </c:pt>
                <c:pt idx="238">
                  <c:v>160.06700000000001</c:v>
                </c:pt>
                <c:pt idx="239">
                  <c:v>146.47800000000001</c:v>
                </c:pt>
                <c:pt idx="240">
                  <c:v>161.22499999999999</c:v>
                </c:pt>
                <c:pt idx="241">
                  <c:v>160.001</c:v>
                </c:pt>
                <c:pt idx="242">
                  <c:v>164.119</c:v>
                </c:pt>
                <c:pt idx="243">
                  <c:v>164.976</c:v>
                </c:pt>
                <c:pt idx="244">
                  <c:v>0</c:v>
                </c:pt>
                <c:pt idx="245">
                  <c:v>0</c:v>
                </c:pt>
                <c:pt idx="246">
                  <c:v>30.797999999999998</c:v>
                </c:pt>
                <c:pt idx="247">
                  <c:v>121.149</c:v>
                </c:pt>
                <c:pt idx="248">
                  <c:v>161.18600000000001</c:v>
                </c:pt>
                <c:pt idx="249">
                  <c:v>164.489</c:v>
                </c:pt>
                <c:pt idx="250">
                  <c:v>158.87799999999999</c:v>
                </c:pt>
                <c:pt idx="251">
                  <c:v>136.51400000000001</c:v>
                </c:pt>
                <c:pt idx="252">
                  <c:v>103.80800000000001</c:v>
                </c:pt>
                <c:pt idx="253">
                  <c:v>96.762</c:v>
                </c:pt>
                <c:pt idx="254">
                  <c:v>96.721000000000004</c:v>
                </c:pt>
                <c:pt idx="255">
                  <c:v>48.374000000000002</c:v>
                </c:pt>
                <c:pt idx="256">
                  <c:v>51.179000000000002</c:v>
                </c:pt>
                <c:pt idx="257">
                  <c:v>26.375</c:v>
                </c:pt>
                <c:pt idx="258">
                  <c:v>35.042999999999999</c:v>
                </c:pt>
                <c:pt idx="259">
                  <c:v>21.457999999999998</c:v>
                </c:pt>
                <c:pt idx="260">
                  <c:v>24.65</c:v>
                </c:pt>
                <c:pt idx="261">
                  <c:v>18.190000000000001</c:v>
                </c:pt>
                <c:pt idx="262">
                  <c:v>17.262</c:v>
                </c:pt>
                <c:pt idx="263">
                  <c:v>12.222</c:v>
                </c:pt>
                <c:pt idx="264">
                  <c:v>52.122999999999998</c:v>
                </c:pt>
                <c:pt idx="265">
                  <c:v>22.995999999999999</c:v>
                </c:pt>
                <c:pt idx="266">
                  <c:v>51.503999999999998</c:v>
                </c:pt>
                <c:pt idx="267">
                  <c:v>12.746</c:v>
                </c:pt>
                <c:pt idx="268">
                  <c:v>59.207999999999998</c:v>
                </c:pt>
                <c:pt idx="269">
                  <c:v>97.007000000000005</c:v>
                </c:pt>
                <c:pt idx="270">
                  <c:v>98.369</c:v>
                </c:pt>
                <c:pt idx="271">
                  <c:v>25.099</c:v>
                </c:pt>
                <c:pt idx="272">
                  <c:v>61.598999999999997</c:v>
                </c:pt>
                <c:pt idx="273">
                  <c:v>33.271000000000001</c:v>
                </c:pt>
                <c:pt idx="274">
                  <c:v>60.594000000000001</c:v>
                </c:pt>
                <c:pt idx="275">
                  <c:v>72.783000000000001</c:v>
                </c:pt>
                <c:pt idx="276">
                  <c:v>77.861999999999995</c:v>
                </c:pt>
                <c:pt idx="277">
                  <c:v>73.445999999999998</c:v>
                </c:pt>
                <c:pt idx="278">
                  <c:v>122.595</c:v>
                </c:pt>
                <c:pt idx="279">
                  <c:v>104.902</c:v>
                </c:pt>
                <c:pt idx="280">
                  <c:v>76.292000000000002</c:v>
                </c:pt>
                <c:pt idx="281">
                  <c:v>54.463999999999999</c:v>
                </c:pt>
                <c:pt idx="282">
                  <c:v>54.118000000000002</c:v>
                </c:pt>
                <c:pt idx="283">
                  <c:v>88.114999999999995</c:v>
                </c:pt>
                <c:pt idx="284">
                  <c:v>50.238999999999997</c:v>
                </c:pt>
                <c:pt idx="285">
                  <c:v>67.147000000000006</c:v>
                </c:pt>
                <c:pt idx="286">
                  <c:v>61.518000000000001</c:v>
                </c:pt>
                <c:pt idx="287">
                  <c:v>57.966000000000001</c:v>
                </c:pt>
                <c:pt idx="288">
                  <c:v>45.37</c:v>
                </c:pt>
                <c:pt idx="289">
                  <c:v>140.56</c:v>
                </c:pt>
                <c:pt idx="290">
                  <c:v>118.187</c:v>
                </c:pt>
                <c:pt idx="291">
                  <c:v>22.898</c:v>
                </c:pt>
                <c:pt idx="292">
                  <c:v>16.507999999999999</c:v>
                </c:pt>
                <c:pt idx="293">
                  <c:v>30.667000000000002</c:v>
                </c:pt>
                <c:pt idx="294">
                  <c:v>35.716999999999999</c:v>
                </c:pt>
                <c:pt idx="295">
                  <c:v>9.3529999999999998</c:v>
                </c:pt>
                <c:pt idx="296">
                  <c:v>23.792000000000002</c:v>
                </c:pt>
                <c:pt idx="297">
                  <c:v>27.827999999999999</c:v>
                </c:pt>
                <c:pt idx="298">
                  <c:v>39.899000000000001</c:v>
                </c:pt>
                <c:pt idx="299">
                  <c:v>59.484000000000002</c:v>
                </c:pt>
                <c:pt idx="300">
                  <c:v>92.317999999999998</c:v>
                </c:pt>
                <c:pt idx="301">
                  <c:v>84.05</c:v>
                </c:pt>
                <c:pt idx="302">
                  <c:v>67.492999999999995</c:v>
                </c:pt>
                <c:pt idx="303">
                  <c:v>78.259</c:v>
                </c:pt>
                <c:pt idx="304">
                  <c:v>78.789000000000001</c:v>
                </c:pt>
                <c:pt idx="305">
                  <c:v>72.552999999999997</c:v>
                </c:pt>
                <c:pt idx="306">
                  <c:v>64.938999999999993</c:v>
                </c:pt>
                <c:pt idx="307">
                  <c:v>45.252000000000002</c:v>
                </c:pt>
                <c:pt idx="308">
                  <c:v>44.732999999999997</c:v>
                </c:pt>
                <c:pt idx="309">
                  <c:v>46.762999999999998</c:v>
                </c:pt>
                <c:pt idx="310">
                  <c:v>1.4059999999999999</c:v>
                </c:pt>
                <c:pt idx="311">
                  <c:v>28.931999999999999</c:v>
                </c:pt>
                <c:pt idx="312">
                  <c:v>47.273000000000003</c:v>
                </c:pt>
                <c:pt idx="313">
                  <c:v>102.765</c:v>
                </c:pt>
                <c:pt idx="314">
                  <c:v>113.771</c:v>
                </c:pt>
                <c:pt idx="315">
                  <c:v>105.32899999999999</c:v>
                </c:pt>
                <c:pt idx="316">
                  <c:v>92.703999999999994</c:v>
                </c:pt>
                <c:pt idx="317">
                  <c:v>72.588999999999999</c:v>
                </c:pt>
                <c:pt idx="318">
                  <c:v>4.0540000000000003</c:v>
                </c:pt>
                <c:pt idx="319">
                  <c:v>154.649</c:v>
                </c:pt>
                <c:pt idx="320">
                  <c:v>162.90100000000001</c:v>
                </c:pt>
                <c:pt idx="321">
                  <c:v>157.29300000000001</c:v>
                </c:pt>
                <c:pt idx="322">
                  <c:v>161.065</c:v>
                </c:pt>
                <c:pt idx="323">
                  <c:v>160.214</c:v>
                </c:pt>
                <c:pt idx="324">
                  <c:v>161.59</c:v>
                </c:pt>
                <c:pt idx="325">
                  <c:v>163.66999999999999</c:v>
                </c:pt>
                <c:pt idx="326">
                  <c:v>121.17700000000001</c:v>
                </c:pt>
                <c:pt idx="327">
                  <c:v>160.07400000000001</c:v>
                </c:pt>
                <c:pt idx="328">
                  <c:v>163.74199999999999</c:v>
                </c:pt>
                <c:pt idx="329">
                  <c:v>136.45099999999999</c:v>
                </c:pt>
                <c:pt idx="330">
                  <c:v>154.886</c:v>
                </c:pt>
                <c:pt idx="331">
                  <c:v>162.89400000000001</c:v>
                </c:pt>
                <c:pt idx="332">
                  <c:v>165.114</c:v>
                </c:pt>
                <c:pt idx="333">
                  <c:v>163.68</c:v>
                </c:pt>
                <c:pt idx="334">
                  <c:v>164.09</c:v>
                </c:pt>
                <c:pt idx="335">
                  <c:v>140.76499999999999</c:v>
                </c:pt>
                <c:pt idx="336">
                  <c:v>163.27199999999999</c:v>
                </c:pt>
                <c:pt idx="337">
                  <c:v>164.119</c:v>
                </c:pt>
                <c:pt idx="338">
                  <c:v>163.85400000000001</c:v>
                </c:pt>
                <c:pt idx="339">
                  <c:v>164.017</c:v>
                </c:pt>
                <c:pt idx="340">
                  <c:v>163.94499999999999</c:v>
                </c:pt>
                <c:pt idx="341">
                  <c:v>162.28200000000001</c:v>
                </c:pt>
                <c:pt idx="342">
                  <c:v>163.39699999999999</c:v>
                </c:pt>
                <c:pt idx="343">
                  <c:v>163.37700000000001</c:v>
                </c:pt>
                <c:pt idx="344">
                  <c:v>163.59200000000001</c:v>
                </c:pt>
                <c:pt idx="345">
                  <c:v>164.06399999999999</c:v>
                </c:pt>
                <c:pt idx="346">
                  <c:v>113.051</c:v>
                </c:pt>
                <c:pt idx="347">
                  <c:v>129.458</c:v>
                </c:pt>
                <c:pt idx="348">
                  <c:v>114.562</c:v>
                </c:pt>
                <c:pt idx="349">
                  <c:v>85.718999999999994</c:v>
                </c:pt>
                <c:pt idx="350">
                  <c:v>63.012</c:v>
                </c:pt>
                <c:pt idx="351">
                  <c:v>77.108000000000004</c:v>
                </c:pt>
                <c:pt idx="352">
                  <c:v>118.95099999999999</c:v>
                </c:pt>
                <c:pt idx="353">
                  <c:v>70.8</c:v>
                </c:pt>
                <c:pt idx="354">
                  <c:v>77.831000000000003</c:v>
                </c:pt>
                <c:pt idx="355">
                  <c:v>50.795999999999999</c:v>
                </c:pt>
                <c:pt idx="356">
                  <c:v>57.991999999999997</c:v>
                </c:pt>
                <c:pt idx="357">
                  <c:v>20.917999999999999</c:v>
                </c:pt>
                <c:pt idx="358">
                  <c:v>0</c:v>
                </c:pt>
                <c:pt idx="359">
                  <c:v>85.727000000000004</c:v>
                </c:pt>
                <c:pt idx="360">
                  <c:v>146.65700000000001</c:v>
                </c:pt>
                <c:pt idx="361">
                  <c:v>136.828</c:v>
                </c:pt>
                <c:pt idx="362">
                  <c:v>101.658</c:v>
                </c:pt>
                <c:pt idx="363">
                  <c:v>159.64599999999999</c:v>
                </c:pt>
                <c:pt idx="364">
                  <c:v>162.399</c:v>
                </c:pt>
              </c:numCache>
            </c:numRef>
          </c:val>
          <c:smooth val="0"/>
          <c:extLst>
            <c:ext xmlns:c16="http://schemas.microsoft.com/office/drawing/2014/chart" uri="{C3380CC4-5D6E-409C-BE32-E72D297353CC}">
              <c16:uniqueId val="{00000002-A2D5-48D4-BF3C-75458A40ABC4}"/>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A2D5-48D4-BF3C-75458A40ABC4}"/>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164</c:v>
                </c:pt>
                <c:pt idx="1">
                  <c:v>164</c:v>
                </c:pt>
                <c:pt idx="2">
                  <c:v>164</c:v>
                </c:pt>
                <c:pt idx="3">
                  <c:v>164</c:v>
                </c:pt>
                <c:pt idx="4">
                  <c:v>164</c:v>
                </c:pt>
                <c:pt idx="5">
                  <c:v>164</c:v>
                </c:pt>
                <c:pt idx="6">
                  <c:v>164</c:v>
                </c:pt>
                <c:pt idx="7">
                  <c:v>164</c:v>
                </c:pt>
                <c:pt idx="8">
                  <c:v>164</c:v>
                </c:pt>
                <c:pt idx="9">
                  <c:v>164</c:v>
                </c:pt>
                <c:pt idx="10">
                  <c:v>164</c:v>
                </c:pt>
                <c:pt idx="11">
                  <c:v>164</c:v>
                </c:pt>
                <c:pt idx="12">
                  <c:v>164</c:v>
                </c:pt>
                <c:pt idx="13">
                  <c:v>164</c:v>
                </c:pt>
                <c:pt idx="14">
                  <c:v>164</c:v>
                </c:pt>
                <c:pt idx="15">
                  <c:v>164</c:v>
                </c:pt>
                <c:pt idx="16">
                  <c:v>164</c:v>
                </c:pt>
                <c:pt idx="17">
                  <c:v>164</c:v>
                </c:pt>
                <c:pt idx="18">
                  <c:v>164</c:v>
                </c:pt>
                <c:pt idx="19">
                  <c:v>164</c:v>
                </c:pt>
                <c:pt idx="20">
                  <c:v>164</c:v>
                </c:pt>
                <c:pt idx="21">
                  <c:v>164</c:v>
                </c:pt>
                <c:pt idx="22">
                  <c:v>164</c:v>
                </c:pt>
                <c:pt idx="23">
                  <c:v>164</c:v>
                </c:pt>
                <c:pt idx="24">
                  <c:v>164</c:v>
                </c:pt>
                <c:pt idx="25">
                  <c:v>164</c:v>
                </c:pt>
                <c:pt idx="26">
                  <c:v>164</c:v>
                </c:pt>
                <c:pt idx="27">
                  <c:v>164</c:v>
                </c:pt>
                <c:pt idx="28">
                  <c:v>164</c:v>
                </c:pt>
                <c:pt idx="29">
                  <c:v>164</c:v>
                </c:pt>
                <c:pt idx="30">
                  <c:v>164</c:v>
                </c:pt>
                <c:pt idx="31">
                  <c:v>164</c:v>
                </c:pt>
                <c:pt idx="32">
                  <c:v>164</c:v>
                </c:pt>
                <c:pt idx="33">
                  <c:v>164</c:v>
                </c:pt>
                <c:pt idx="34">
                  <c:v>164</c:v>
                </c:pt>
                <c:pt idx="35">
                  <c:v>164</c:v>
                </c:pt>
                <c:pt idx="36">
                  <c:v>164</c:v>
                </c:pt>
                <c:pt idx="37">
                  <c:v>164</c:v>
                </c:pt>
                <c:pt idx="38">
                  <c:v>164</c:v>
                </c:pt>
                <c:pt idx="39">
                  <c:v>164</c:v>
                </c:pt>
                <c:pt idx="40">
                  <c:v>164</c:v>
                </c:pt>
                <c:pt idx="41">
                  <c:v>164</c:v>
                </c:pt>
                <c:pt idx="42">
                  <c:v>164</c:v>
                </c:pt>
                <c:pt idx="43">
                  <c:v>164</c:v>
                </c:pt>
                <c:pt idx="44">
                  <c:v>164</c:v>
                </c:pt>
                <c:pt idx="45">
                  <c:v>164</c:v>
                </c:pt>
                <c:pt idx="46">
                  <c:v>164</c:v>
                </c:pt>
                <c:pt idx="47">
                  <c:v>164</c:v>
                </c:pt>
                <c:pt idx="48">
                  <c:v>164</c:v>
                </c:pt>
                <c:pt idx="49">
                  <c:v>164</c:v>
                </c:pt>
                <c:pt idx="50">
                  <c:v>164</c:v>
                </c:pt>
                <c:pt idx="51">
                  <c:v>164</c:v>
                </c:pt>
                <c:pt idx="52">
                  <c:v>164</c:v>
                </c:pt>
                <c:pt idx="53">
                  <c:v>164</c:v>
                </c:pt>
                <c:pt idx="54">
                  <c:v>164</c:v>
                </c:pt>
                <c:pt idx="55">
                  <c:v>164</c:v>
                </c:pt>
                <c:pt idx="56">
                  <c:v>164</c:v>
                </c:pt>
                <c:pt idx="57">
                  <c:v>164</c:v>
                </c:pt>
                <c:pt idx="58">
                  <c:v>164</c:v>
                </c:pt>
                <c:pt idx="59">
                  <c:v>164</c:v>
                </c:pt>
                <c:pt idx="60">
                  <c:v>164</c:v>
                </c:pt>
                <c:pt idx="61">
                  <c:v>164</c:v>
                </c:pt>
                <c:pt idx="62">
                  <c:v>164</c:v>
                </c:pt>
                <c:pt idx="63">
                  <c:v>164</c:v>
                </c:pt>
                <c:pt idx="64">
                  <c:v>164</c:v>
                </c:pt>
                <c:pt idx="65">
                  <c:v>164</c:v>
                </c:pt>
                <c:pt idx="66">
                  <c:v>164</c:v>
                </c:pt>
                <c:pt idx="67">
                  <c:v>164</c:v>
                </c:pt>
                <c:pt idx="68">
                  <c:v>164</c:v>
                </c:pt>
                <c:pt idx="69">
                  <c:v>164</c:v>
                </c:pt>
                <c:pt idx="70">
                  <c:v>164</c:v>
                </c:pt>
                <c:pt idx="71">
                  <c:v>164</c:v>
                </c:pt>
                <c:pt idx="72">
                  <c:v>164</c:v>
                </c:pt>
                <c:pt idx="73">
                  <c:v>164</c:v>
                </c:pt>
                <c:pt idx="74">
                  <c:v>164</c:v>
                </c:pt>
                <c:pt idx="75">
                  <c:v>164</c:v>
                </c:pt>
                <c:pt idx="76">
                  <c:v>164</c:v>
                </c:pt>
                <c:pt idx="77">
                  <c:v>164</c:v>
                </c:pt>
                <c:pt idx="78">
                  <c:v>164</c:v>
                </c:pt>
                <c:pt idx="79">
                  <c:v>164</c:v>
                </c:pt>
                <c:pt idx="80">
                  <c:v>164</c:v>
                </c:pt>
                <c:pt idx="81">
                  <c:v>164</c:v>
                </c:pt>
                <c:pt idx="82">
                  <c:v>164</c:v>
                </c:pt>
                <c:pt idx="83">
                  <c:v>164</c:v>
                </c:pt>
                <c:pt idx="84">
                  <c:v>164</c:v>
                </c:pt>
                <c:pt idx="85">
                  <c:v>164</c:v>
                </c:pt>
                <c:pt idx="86">
                  <c:v>164</c:v>
                </c:pt>
                <c:pt idx="87">
                  <c:v>164</c:v>
                </c:pt>
                <c:pt idx="88">
                  <c:v>164</c:v>
                </c:pt>
                <c:pt idx="89">
                  <c:v>164</c:v>
                </c:pt>
                <c:pt idx="90">
                  <c:v>164</c:v>
                </c:pt>
                <c:pt idx="91">
                  <c:v>164</c:v>
                </c:pt>
                <c:pt idx="92">
                  <c:v>164</c:v>
                </c:pt>
                <c:pt idx="93">
                  <c:v>164</c:v>
                </c:pt>
                <c:pt idx="94">
                  <c:v>164</c:v>
                </c:pt>
                <c:pt idx="95">
                  <c:v>164</c:v>
                </c:pt>
                <c:pt idx="96">
                  <c:v>164</c:v>
                </c:pt>
                <c:pt idx="97">
                  <c:v>164</c:v>
                </c:pt>
                <c:pt idx="98">
                  <c:v>164</c:v>
                </c:pt>
                <c:pt idx="99">
                  <c:v>164</c:v>
                </c:pt>
                <c:pt idx="100">
                  <c:v>164</c:v>
                </c:pt>
                <c:pt idx="101">
                  <c:v>164</c:v>
                </c:pt>
                <c:pt idx="102">
                  <c:v>164</c:v>
                </c:pt>
                <c:pt idx="103">
                  <c:v>164</c:v>
                </c:pt>
                <c:pt idx="104">
                  <c:v>164</c:v>
                </c:pt>
                <c:pt idx="105">
                  <c:v>164</c:v>
                </c:pt>
                <c:pt idx="106">
                  <c:v>164</c:v>
                </c:pt>
                <c:pt idx="107">
                  <c:v>164</c:v>
                </c:pt>
                <c:pt idx="108">
                  <c:v>164</c:v>
                </c:pt>
                <c:pt idx="109">
                  <c:v>164</c:v>
                </c:pt>
                <c:pt idx="110">
                  <c:v>164</c:v>
                </c:pt>
                <c:pt idx="111">
                  <c:v>164</c:v>
                </c:pt>
                <c:pt idx="112">
                  <c:v>164</c:v>
                </c:pt>
                <c:pt idx="113">
                  <c:v>164</c:v>
                </c:pt>
                <c:pt idx="114">
                  <c:v>164</c:v>
                </c:pt>
                <c:pt idx="115">
                  <c:v>164</c:v>
                </c:pt>
                <c:pt idx="116">
                  <c:v>164</c:v>
                </c:pt>
                <c:pt idx="117">
                  <c:v>164</c:v>
                </c:pt>
                <c:pt idx="118">
                  <c:v>164</c:v>
                </c:pt>
                <c:pt idx="119">
                  <c:v>164</c:v>
                </c:pt>
                <c:pt idx="120">
                  <c:v>164</c:v>
                </c:pt>
                <c:pt idx="121">
                  <c:v>164</c:v>
                </c:pt>
                <c:pt idx="122">
                  <c:v>164</c:v>
                </c:pt>
                <c:pt idx="123">
                  <c:v>164</c:v>
                </c:pt>
                <c:pt idx="124">
                  <c:v>164</c:v>
                </c:pt>
                <c:pt idx="125">
                  <c:v>164</c:v>
                </c:pt>
                <c:pt idx="126">
                  <c:v>164</c:v>
                </c:pt>
                <c:pt idx="127">
                  <c:v>164</c:v>
                </c:pt>
                <c:pt idx="128">
                  <c:v>164</c:v>
                </c:pt>
                <c:pt idx="129">
                  <c:v>164</c:v>
                </c:pt>
                <c:pt idx="130">
                  <c:v>164</c:v>
                </c:pt>
                <c:pt idx="131">
                  <c:v>164</c:v>
                </c:pt>
                <c:pt idx="132">
                  <c:v>164</c:v>
                </c:pt>
                <c:pt idx="133">
                  <c:v>164</c:v>
                </c:pt>
                <c:pt idx="134">
                  <c:v>164</c:v>
                </c:pt>
                <c:pt idx="135">
                  <c:v>164</c:v>
                </c:pt>
                <c:pt idx="136">
                  <c:v>164</c:v>
                </c:pt>
                <c:pt idx="137">
                  <c:v>164</c:v>
                </c:pt>
                <c:pt idx="138">
                  <c:v>164</c:v>
                </c:pt>
                <c:pt idx="139">
                  <c:v>164</c:v>
                </c:pt>
                <c:pt idx="140">
                  <c:v>164</c:v>
                </c:pt>
                <c:pt idx="141">
                  <c:v>164</c:v>
                </c:pt>
                <c:pt idx="142">
                  <c:v>164</c:v>
                </c:pt>
                <c:pt idx="143">
                  <c:v>164</c:v>
                </c:pt>
                <c:pt idx="144">
                  <c:v>164</c:v>
                </c:pt>
                <c:pt idx="145">
                  <c:v>164</c:v>
                </c:pt>
                <c:pt idx="146">
                  <c:v>164</c:v>
                </c:pt>
                <c:pt idx="147">
                  <c:v>164</c:v>
                </c:pt>
                <c:pt idx="148">
                  <c:v>164</c:v>
                </c:pt>
                <c:pt idx="149">
                  <c:v>164</c:v>
                </c:pt>
                <c:pt idx="150">
                  <c:v>164</c:v>
                </c:pt>
                <c:pt idx="151">
                  <c:v>164</c:v>
                </c:pt>
                <c:pt idx="152">
                  <c:v>164</c:v>
                </c:pt>
                <c:pt idx="153">
                  <c:v>164</c:v>
                </c:pt>
                <c:pt idx="154">
                  <c:v>164</c:v>
                </c:pt>
                <c:pt idx="155">
                  <c:v>164</c:v>
                </c:pt>
                <c:pt idx="156">
                  <c:v>164</c:v>
                </c:pt>
                <c:pt idx="157">
                  <c:v>164</c:v>
                </c:pt>
                <c:pt idx="158">
                  <c:v>164</c:v>
                </c:pt>
                <c:pt idx="159">
                  <c:v>164</c:v>
                </c:pt>
                <c:pt idx="160">
                  <c:v>164</c:v>
                </c:pt>
                <c:pt idx="161">
                  <c:v>164</c:v>
                </c:pt>
                <c:pt idx="162">
                  <c:v>164</c:v>
                </c:pt>
                <c:pt idx="163">
                  <c:v>164</c:v>
                </c:pt>
                <c:pt idx="164">
                  <c:v>164</c:v>
                </c:pt>
                <c:pt idx="165">
                  <c:v>164</c:v>
                </c:pt>
                <c:pt idx="166">
                  <c:v>164</c:v>
                </c:pt>
                <c:pt idx="167">
                  <c:v>164</c:v>
                </c:pt>
                <c:pt idx="168">
                  <c:v>164</c:v>
                </c:pt>
                <c:pt idx="169">
                  <c:v>164</c:v>
                </c:pt>
                <c:pt idx="170">
                  <c:v>164</c:v>
                </c:pt>
                <c:pt idx="171">
                  <c:v>164</c:v>
                </c:pt>
                <c:pt idx="172">
                  <c:v>164</c:v>
                </c:pt>
                <c:pt idx="173">
                  <c:v>164</c:v>
                </c:pt>
                <c:pt idx="174">
                  <c:v>164</c:v>
                </c:pt>
                <c:pt idx="175">
                  <c:v>164</c:v>
                </c:pt>
                <c:pt idx="176">
                  <c:v>164</c:v>
                </c:pt>
                <c:pt idx="177">
                  <c:v>164</c:v>
                </c:pt>
                <c:pt idx="178">
                  <c:v>164</c:v>
                </c:pt>
                <c:pt idx="179">
                  <c:v>164</c:v>
                </c:pt>
                <c:pt idx="180">
                  <c:v>164</c:v>
                </c:pt>
                <c:pt idx="181">
                  <c:v>164</c:v>
                </c:pt>
                <c:pt idx="182">
                  <c:v>164</c:v>
                </c:pt>
                <c:pt idx="183">
                  <c:v>164</c:v>
                </c:pt>
                <c:pt idx="184">
                  <c:v>164</c:v>
                </c:pt>
                <c:pt idx="185">
                  <c:v>164</c:v>
                </c:pt>
                <c:pt idx="186">
                  <c:v>164</c:v>
                </c:pt>
                <c:pt idx="187">
                  <c:v>164</c:v>
                </c:pt>
                <c:pt idx="188">
                  <c:v>164</c:v>
                </c:pt>
                <c:pt idx="189">
                  <c:v>164</c:v>
                </c:pt>
                <c:pt idx="190">
                  <c:v>164</c:v>
                </c:pt>
                <c:pt idx="191">
                  <c:v>164</c:v>
                </c:pt>
                <c:pt idx="192">
                  <c:v>164</c:v>
                </c:pt>
                <c:pt idx="193">
                  <c:v>164</c:v>
                </c:pt>
                <c:pt idx="194">
                  <c:v>164</c:v>
                </c:pt>
                <c:pt idx="195">
                  <c:v>164</c:v>
                </c:pt>
                <c:pt idx="196">
                  <c:v>164</c:v>
                </c:pt>
                <c:pt idx="197">
                  <c:v>164</c:v>
                </c:pt>
                <c:pt idx="198">
                  <c:v>164</c:v>
                </c:pt>
                <c:pt idx="199">
                  <c:v>164</c:v>
                </c:pt>
                <c:pt idx="200">
                  <c:v>164</c:v>
                </c:pt>
                <c:pt idx="201">
                  <c:v>164</c:v>
                </c:pt>
                <c:pt idx="202">
                  <c:v>164</c:v>
                </c:pt>
                <c:pt idx="203">
                  <c:v>164</c:v>
                </c:pt>
                <c:pt idx="204">
                  <c:v>164</c:v>
                </c:pt>
                <c:pt idx="205">
                  <c:v>164</c:v>
                </c:pt>
                <c:pt idx="206">
                  <c:v>164</c:v>
                </c:pt>
                <c:pt idx="207">
                  <c:v>164</c:v>
                </c:pt>
                <c:pt idx="208">
                  <c:v>164</c:v>
                </c:pt>
                <c:pt idx="209">
                  <c:v>164</c:v>
                </c:pt>
                <c:pt idx="210">
                  <c:v>164</c:v>
                </c:pt>
                <c:pt idx="211">
                  <c:v>164</c:v>
                </c:pt>
                <c:pt idx="212">
                  <c:v>164</c:v>
                </c:pt>
                <c:pt idx="213">
                  <c:v>164</c:v>
                </c:pt>
                <c:pt idx="214">
                  <c:v>164</c:v>
                </c:pt>
                <c:pt idx="215">
                  <c:v>164</c:v>
                </c:pt>
                <c:pt idx="216">
                  <c:v>164</c:v>
                </c:pt>
                <c:pt idx="217">
                  <c:v>164</c:v>
                </c:pt>
                <c:pt idx="218">
                  <c:v>164</c:v>
                </c:pt>
                <c:pt idx="219">
                  <c:v>164</c:v>
                </c:pt>
                <c:pt idx="220">
                  <c:v>164</c:v>
                </c:pt>
                <c:pt idx="221">
                  <c:v>164</c:v>
                </c:pt>
                <c:pt idx="222">
                  <c:v>164</c:v>
                </c:pt>
                <c:pt idx="223">
                  <c:v>164</c:v>
                </c:pt>
                <c:pt idx="224">
                  <c:v>164</c:v>
                </c:pt>
                <c:pt idx="225">
                  <c:v>164</c:v>
                </c:pt>
                <c:pt idx="226">
                  <c:v>164</c:v>
                </c:pt>
                <c:pt idx="227">
                  <c:v>164</c:v>
                </c:pt>
                <c:pt idx="228">
                  <c:v>164</c:v>
                </c:pt>
                <c:pt idx="229">
                  <c:v>164</c:v>
                </c:pt>
                <c:pt idx="230">
                  <c:v>164</c:v>
                </c:pt>
                <c:pt idx="231">
                  <c:v>164</c:v>
                </c:pt>
                <c:pt idx="232">
                  <c:v>164</c:v>
                </c:pt>
                <c:pt idx="233">
                  <c:v>164</c:v>
                </c:pt>
                <c:pt idx="234">
                  <c:v>164</c:v>
                </c:pt>
                <c:pt idx="235">
                  <c:v>164</c:v>
                </c:pt>
                <c:pt idx="236">
                  <c:v>164</c:v>
                </c:pt>
                <c:pt idx="237">
                  <c:v>164</c:v>
                </c:pt>
                <c:pt idx="238">
                  <c:v>164</c:v>
                </c:pt>
                <c:pt idx="239">
                  <c:v>164</c:v>
                </c:pt>
                <c:pt idx="240">
                  <c:v>164</c:v>
                </c:pt>
                <c:pt idx="241">
                  <c:v>164</c:v>
                </c:pt>
                <c:pt idx="242">
                  <c:v>164</c:v>
                </c:pt>
                <c:pt idx="243">
                  <c:v>164</c:v>
                </c:pt>
                <c:pt idx="244">
                  <c:v>164</c:v>
                </c:pt>
                <c:pt idx="245">
                  <c:v>164</c:v>
                </c:pt>
                <c:pt idx="246">
                  <c:v>164</c:v>
                </c:pt>
                <c:pt idx="247">
                  <c:v>164</c:v>
                </c:pt>
                <c:pt idx="248">
                  <c:v>164</c:v>
                </c:pt>
                <c:pt idx="249">
                  <c:v>164</c:v>
                </c:pt>
                <c:pt idx="250">
                  <c:v>164</c:v>
                </c:pt>
                <c:pt idx="251">
                  <c:v>164</c:v>
                </c:pt>
                <c:pt idx="252">
                  <c:v>164</c:v>
                </c:pt>
                <c:pt idx="253">
                  <c:v>164</c:v>
                </c:pt>
                <c:pt idx="254">
                  <c:v>164</c:v>
                </c:pt>
                <c:pt idx="255">
                  <c:v>164</c:v>
                </c:pt>
                <c:pt idx="256">
                  <c:v>164</c:v>
                </c:pt>
                <c:pt idx="257">
                  <c:v>164</c:v>
                </c:pt>
                <c:pt idx="258">
                  <c:v>164</c:v>
                </c:pt>
                <c:pt idx="259">
                  <c:v>164</c:v>
                </c:pt>
                <c:pt idx="260">
                  <c:v>164</c:v>
                </c:pt>
                <c:pt idx="261">
                  <c:v>164</c:v>
                </c:pt>
                <c:pt idx="262">
                  <c:v>164</c:v>
                </c:pt>
                <c:pt idx="263">
                  <c:v>164</c:v>
                </c:pt>
                <c:pt idx="264">
                  <c:v>164</c:v>
                </c:pt>
                <c:pt idx="265">
                  <c:v>164</c:v>
                </c:pt>
                <c:pt idx="266">
                  <c:v>164</c:v>
                </c:pt>
                <c:pt idx="267">
                  <c:v>164</c:v>
                </c:pt>
                <c:pt idx="268">
                  <c:v>164</c:v>
                </c:pt>
                <c:pt idx="269">
                  <c:v>164</c:v>
                </c:pt>
                <c:pt idx="270">
                  <c:v>164</c:v>
                </c:pt>
                <c:pt idx="271">
                  <c:v>164</c:v>
                </c:pt>
                <c:pt idx="272">
                  <c:v>164</c:v>
                </c:pt>
                <c:pt idx="273">
                  <c:v>164</c:v>
                </c:pt>
                <c:pt idx="274">
                  <c:v>164</c:v>
                </c:pt>
                <c:pt idx="275">
                  <c:v>164</c:v>
                </c:pt>
                <c:pt idx="276">
                  <c:v>164</c:v>
                </c:pt>
                <c:pt idx="277">
                  <c:v>164</c:v>
                </c:pt>
                <c:pt idx="278">
                  <c:v>164</c:v>
                </c:pt>
                <c:pt idx="279">
                  <c:v>164</c:v>
                </c:pt>
                <c:pt idx="280">
                  <c:v>164</c:v>
                </c:pt>
                <c:pt idx="281">
                  <c:v>164</c:v>
                </c:pt>
                <c:pt idx="282">
                  <c:v>164</c:v>
                </c:pt>
                <c:pt idx="283">
                  <c:v>164</c:v>
                </c:pt>
                <c:pt idx="284">
                  <c:v>164</c:v>
                </c:pt>
                <c:pt idx="285">
                  <c:v>164</c:v>
                </c:pt>
                <c:pt idx="286">
                  <c:v>164</c:v>
                </c:pt>
                <c:pt idx="287">
                  <c:v>164</c:v>
                </c:pt>
                <c:pt idx="288">
                  <c:v>164</c:v>
                </c:pt>
                <c:pt idx="289">
                  <c:v>164</c:v>
                </c:pt>
                <c:pt idx="290">
                  <c:v>164</c:v>
                </c:pt>
                <c:pt idx="291">
                  <c:v>164</c:v>
                </c:pt>
                <c:pt idx="292">
                  <c:v>164</c:v>
                </c:pt>
                <c:pt idx="293">
                  <c:v>164</c:v>
                </c:pt>
                <c:pt idx="294">
                  <c:v>164</c:v>
                </c:pt>
                <c:pt idx="295">
                  <c:v>164</c:v>
                </c:pt>
                <c:pt idx="296">
                  <c:v>164</c:v>
                </c:pt>
                <c:pt idx="297">
                  <c:v>164</c:v>
                </c:pt>
                <c:pt idx="298">
                  <c:v>164</c:v>
                </c:pt>
                <c:pt idx="299">
                  <c:v>164</c:v>
                </c:pt>
                <c:pt idx="300">
                  <c:v>164</c:v>
                </c:pt>
                <c:pt idx="301">
                  <c:v>164</c:v>
                </c:pt>
                <c:pt idx="302">
                  <c:v>164</c:v>
                </c:pt>
                <c:pt idx="303">
                  <c:v>164</c:v>
                </c:pt>
                <c:pt idx="304">
                  <c:v>164</c:v>
                </c:pt>
                <c:pt idx="305">
                  <c:v>164</c:v>
                </c:pt>
                <c:pt idx="306">
                  <c:v>164</c:v>
                </c:pt>
                <c:pt idx="307">
                  <c:v>164</c:v>
                </c:pt>
                <c:pt idx="308">
                  <c:v>164</c:v>
                </c:pt>
                <c:pt idx="309">
                  <c:v>164</c:v>
                </c:pt>
                <c:pt idx="310">
                  <c:v>164</c:v>
                </c:pt>
                <c:pt idx="311">
                  <c:v>164</c:v>
                </c:pt>
                <c:pt idx="312">
                  <c:v>164</c:v>
                </c:pt>
                <c:pt idx="313">
                  <c:v>164</c:v>
                </c:pt>
                <c:pt idx="314">
                  <c:v>164</c:v>
                </c:pt>
                <c:pt idx="315">
                  <c:v>164</c:v>
                </c:pt>
                <c:pt idx="316">
                  <c:v>164</c:v>
                </c:pt>
                <c:pt idx="317">
                  <c:v>164</c:v>
                </c:pt>
                <c:pt idx="318">
                  <c:v>164</c:v>
                </c:pt>
                <c:pt idx="319">
                  <c:v>164</c:v>
                </c:pt>
                <c:pt idx="320">
                  <c:v>164</c:v>
                </c:pt>
                <c:pt idx="321">
                  <c:v>164</c:v>
                </c:pt>
                <c:pt idx="322">
                  <c:v>164</c:v>
                </c:pt>
                <c:pt idx="323">
                  <c:v>164</c:v>
                </c:pt>
                <c:pt idx="324">
                  <c:v>164</c:v>
                </c:pt>
                <c:pt idx="325">
                  <c:v>164</c:v>
                </c:pt>
                <c:pt idx="326">
                  <c:v>164</c:v>
                </c:pt>
                <c:pt idx="327">
                  <c:v>164</c:v>
                </c:pt>
                <c:pt idx="328">
                  <c:v>164</c:v>
                </c:pt>
                <c:pt idx="329">
                  <c:v>164</c:v>
                </c:pt>
                <c:pt idx="330">
                  <c:v>164</c:v>
                </c:pt>
                <c:pt idx="331">
                  <c:v>164</c:v>
                </c:pt>
                <c:pt idx="332">
                  <c:v>164</c:v>
                </c:pt>
                <c:pt idx="333">
                  <c:v>164</c:v>
                </c:pt>
                <c:pt idx="334">
                  <c:v>164</c:v>
                </c:pt>
                <c:pt idx="335">
                  <c:v>164</c:v>
                </c:pt>
                <c:pt idx="336">
                  <c:v>164</c:v>
                </c:pt>
                <c:pt idx="337">
                  <c:v>164</c:v>
                </c:pt>
                <c:pt idx="338">
                  <c:v>164</c:v>
                </c:pt>
                <c:pt idx="339">
                  <c:v>164</c:v>
                </c:pt>
                <c:pt idx="340">
                  <c:v>164</c:v>
                </c:pt>
                <c:pt idx="341">
                  <c:v>164</c:v>
                </c:pt>
                <c:pt idx="342">
                  <c:v>164</c:v>
                </c:pt>
                <c:pt idx="343">
                  <c:v>164</c:v>
                </c:pt>
                <c:pt idx="344">
                  <c:v>164</c:v>
                </c:pt>
                <c:pt idx="345">
                  <c:v>164</c:v>
                </c:pt>
                <c:pt idx="346">
                  <c:v>164</c:v>
                </c:pt>
                <c:pt idx="347">
                  <c:v>164</c:v>
                </c:pt>
                <c:pt idx="348">
                  <c:v>164</c:v>
                </c:pt>
                <c:pt idx="349">
                  <c:v>164</c:v>
                </c:pt>
                <c:pt idx="350">
                  <c:v>164</c:v>
                </c:pt>
                <c:pt idx="351">
                  <c:v>164</c:v>
                </c:pt>
                <c:pt idx="352">
                  <c:v>164</c:v>
                </c:pt>
                <c:pt idx="353">
                  <c:v>164</c:v>
                </c:pt>
                <c:pt idx="354">
                  <c:v>164</c:v>
                </c:pt>
                <c:pt idx="355">
                  <c:v>164</c:v>
                </c:pt>
                <c:pt idx="356">
                  <c:v>164</c:v>
                </c:pt>
                <c:pt idx="357">
                  <c:v>164</c:v>
                </c:pt>
                <c:pt idx="358">
                  <c:v>164</c:v>
                </c:pt>
                <c:pt idx="359">
                  <c:v>164</c:v>
                </c:pt>
                <c:pt idx="360">
                  <c:v>164</c:v>
                </c:pt>
                <c:pt idx="361">
                  <c:v>164</c:v>
                </c:pt>
                <c:pt idx="362">
                  <c:v>164</c:v>
                </c:pt>
                <c:pt idx="363">
                  <c:v>164</c:v>
                </c:pt>
                <c:pt idx="364">
                  <c:v>164</c:v>
                </c:pt>
              </c:numCache>
            </c:numRef>
          </c:val>
          <c:smooth val="0"/>
          <c:extLst>
            <c:ext xmlns:c16="http://schemas.microsoft.com/office/drawing/2014/chart" uri="{C3380CC4-5D6E-409C-BE32-E72D297353CC}">
              <c16:uniqueId val="{00000005-A2D5-48D4-BF3C-75458A40ABC4}"/>
            </c:ext>
          </c:extLst>
        </c:ser>
        <c:dLbls>
          <c:showLegendKey val="0"/>
          <c:showVal val="0"/>
          <c:showCatName val="0"/>
          <c:showSerName val="0"/>
          <c:showPercent val="0"/>
          <c:showBubbleSize val="0"/>
        </c:dLbls>
        <c:marker val="1"/>
        <c:smooth val="0"/>
        <c:axId val="77961568"/>
        <c:axId val="1"/>
      </c:lineChart>
      <c:dateAx>
        <c:axId val="77961568"/>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3"/>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77961568"/>
        <c:crosses val="autoZero"/>
        <c:crossBetween val="between"/>
      </c:valAx>
      <c:spPr>
        <a:noFill/>
        <a:ln w="25400">
          <a:noFill/>
        </a:ln>
      </c:spPr>
    </c:plotArea>
    <c:legend>
      <c:legendPos val="b"/>
      <c:layout>
        <c:manualLayout>
          <c:xMode val="edge"/>
          <c:yMode val="edge"/>
          <c:x val="1.7813112269417027E-3"/>
          <c:y val="0.90563243424359186"/>
          <c:w val="0.47846156334331452"/>
          <c:h val="2.3599585512803833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2.5178535883968678E-2</c:v>
                </c:pt>
                <c:pt idx="1">
                  <c:v>5.8108134431355367E-2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AD76-42BD-8AB5-5438C470141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3.0877877691082294E-2</c:v>
                </c:pt>
                <c:pt idx="1">
                  <c:v>7.0523331954197174E-2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AD76-42BD-8AB5-5438C470141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3.6127960532133269E-2</c:v>
                </c:pt>
                <c:pt idx="1">
                  <c:v>5.5388706653048819E-2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AD76-42BD-8AB5-5438C4701417}"/>
            </c:ext>
          </c:extLst>
        </c:ser>
        <c:dLbls>
          <c:showLegendKey val="0"/>
          <c:showVal val="0"/>
          <c:showCatName val="0"/>
          <c:showSerName val="0"/>
          <c:showPercent val="0"/>
          <c:showBubbleSize val="0"/>
        </c:dLbls>
        <c:gapWidth val="34"/>
        <c:overlap val="100"/>
        <c:axId val="645008240"/>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9.2184374107184247E-2</c:v>
                </c:pt>
                <c:pt idx="1">
                  <c:v>0.18402017303860135</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AD76-42BD-8AB5-5438C4701417}"/>
            </c:ext>
          </c:extLst>
        </c:ser>
        <c:dLbls>
          <c:showLegendKey val="0"/>
          <c:showVal val="0"/>
          <c:showCatName val="0"/>
          <c:showSerName val="0"/>
          <c:showPercent val="0"/>
          <c:showBubbleSize val="0"/>
        </c:dLbls>
        <c:marker val="1"/>
        <c:smooth val="0"/>
        <c:axId val="645008240"/>
        <c:axId val="1"/>
      </c:lineChart>
      <c:catAx>
        <c:axId val="645008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645008240"/>
        <c:crosses val="autoZero"/>
        <c:crossBetween val="between"/>
      </c:valAx>
      <c:spPr>
        <a:noFill/>
        <a:ln w="25400">
          <a:noFill/>
        </a:ln>
      </c:spPr>
    </c:plotArea>
    <c:legend>
      <c:legendPos val="b"/>
      <c:legendEntry>
        <c:idx val="3"/>
        <c:delete val="1"/>
      </c:legendEntry>
      <c:layout>
        <c:manualLayout>
          <c:xMode val="edge"/>
          <c:yMode val="edge"/>
          <c:x val="2.1892060717597066E-3"/>
          <c:y val="0.72077243425919335"/>
          <c:w val="0.31831107824435501"/>
          <c:h val="1.1635772315642168E-2"/>
        </c:manualLayout>
      </c:layout>
      <c:overlay val="0"/>
      <c:spPr>
        <a:noFill/>
        <a:ln w="25400">
          <a:noFill/>
        </a:ln>
      </c:spPr>
      <c:txPr>
        <a:bodyPr/>
        <a:lstStyle/>
        <a:p>
          <a:pPr>
            <a:defRPr sz="78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0</xdr:row>
      <xdr:rowOff>133350</xdr:rowOff>
    </xdr:from>
    <xdr:to>
      <xdr:col>1</xdr:col>
      <xdr:colOff>1057275</xdr:colOff>
      <xdr:row>0</xdr:row>
      <xdr:rowOff>838200</xdr:rowOff>
    </xdr:to>
    <xdr:pic>
      <xdr:nvPicPr>
        <xdr:cNvPr id="2970798" name="Picture 2">
          <a:extLst>
            <a:ext uri="{FF2B5EF4-FFF2-40B4-BE49-F238E27FC236}">
              <a16:creationId xmlns:a16="http://schemas.microsoft.com/office/drawing/2014/main" id="{1DAA06EC-4D8A-16A7-8C45-78F5243620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133350"/>
          <a:ext cx="35528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28982" name="Picture 1">
          <a:hlinkClick xmlns:r="http://schemas.openxmlformats.org/officeDocument/2006/relationships" r:id="rId1"/>
          <a:extLst>
            <a:ext uri="{FF2B5EF4-FFF2-40B4-BE49-F238E27FC236}">
              <a16:creationId xmlns:a16="http://schemas.microsoft.com/office/drawing/2014/main" id="{C8FF4E5D-81A3-D880-214C-20E75CBB84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905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1028700</xdr:colOff>
      <xdr:row>56</xdr:row>
      <xdr:rowOff>523875</xdr:rowOff>
    </xdr:to>
    <xdr:graphicFrame macro="">
      <xdr:nvGraphicFramePr>
        <xdr:cNvPr id="2798424" name="Chart 7">
          <a:extLst>
            <a:ext uri="{FF2B5EF4-FFF2-40B4-BE49-F238E27FC236}">
              <a16:creationId xmlns:a16="http://schemas.microsoft.com/office/drawing/2014/main" id="{DD1E6BDF-841E-9593-8B19-20C57108E0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1047750</xdr:colOff>
      <xdr:row>7</xdr:row>
      <xdr:rowOff>9525</xdr:rowOff>
    </xdr:from>
    <xdr:to>
      <xdr:col>9</xdr:col>
      <xdr:colOff>18935700</xdr:colOff>
      <xdr:row>56</xdr:row>
      <xdr:rowOff>523875</xdr:rowOff>
    </xdr:to>
    <xdr:graphicFrame macro="">
      <xdr:nvGraphicFramePr>
        <xdr:cNvPr id="2798425" name="Chart 8">
          <a:extLst>
            <a:ext uri="{FF2B5EF4-FFF2-40B4-BE49-F238E27FC236}">
              <a16:creationId xmlns:a16="http://schemas.microsoft.com/office/drawing/2014/main" id="{05D1C840-D385-5568-AAE0-2A791DDDFA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209550</xdr:rowOff>
    </xdr:from>
    <xdr:to>
      <xdr:col>9</xdr:col>
      <xdr:colOff>1476375</xdr:colOff>
      <xdr:row>108</xdr:row>
      <xdr:rowOff>9525</xdr:rowOff>
    </xdr:to>
    <xdr:graphicFrame macro="">
      <xdr:nvGraphicFramePr>
        <xdr:cNvPr id="2798426" name="Chart 11">
          <a:extLst>
            <a:ext uri="{FF2B5EF4-FFF2-40B4-BE49-F238E27FC236}">
              <a16:creationId xmlns:a16="http://schemas.microsoft.com/office/drawing/2014/main" id="{CD9A6B35-6F1A-3CD6-19BE-8207B4544F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2981325</xdr:colOff>
      <xdr:row>3</xdr:row>
      <xdr:rowOff>228600</xdr:rowOff>
    </xdr:to>
    <xdr:pic>
      <xdr:nvPicPr>
        <xdr:cNvPr id="2798427" name="Picture 1">
          <a:hlinkClick xmlns:r="http://schemas.openxmlformats.org/officeDocument/2006/relationships" r:id="rId4"/>
          <a:extLst>
            <a:ext uri="{FF2B5EF4-FFF2-40B4-BE49-F238E27FC236}">
              <a16:creationId xmlns:a16="http://schemas.microsoft.com/office/drawing/2014/main" id="{AD5DFDB8-5C11-B0A2-B942-1071D4D8DAA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096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2819400</xdr:colOff>
      <xdr:row>91</xdr:row>
      <xdr:rowOff>523875</xdr:rowOff>
    </xdr:to>
    <xdr:graphicFrame macro="">
      <xdr:nvGraphicFramePr>
        <xdr:cNvPr id="2816421" name="Chart 1">
          <a:extLst>
            <a:ext uri="{FF2B5EF4-FFF2-40B4-BE49-F238E27FC236}">
              <a16:creationId xmlns:a16="http://schemas.microsoft.com/office/drawing/2014/main" id="{6D4147F2-DF13-E4CD-A94B-8CDC637704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3009900</xdr:colOff>
      <xdr:row>3</xdr:row>
      <xdr:rowOff>342900</xdr:rowOff>
    </xdr:to>
    <xdr:pic>
      <xdr:nvPicPr>
        <xdr:cNvPr id="2816422" name="Picture 1">
          <a:hlinkClick xmlns:r="http://schemas.openxmlformats.org/officeDocument/2006/relationships" r:id="rId2"/>
          <a:extLst>
            <a:ext uri="{FF2B5EF4-FFF2-40B4-BE49-F238E27FC236}">
              <a16:creationId xmlns:a16="http://schemas.microsoft.com/office/drawing/2014/main" id="{9B0EC8C4-4685-769C-B832-D75E91C9021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905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578079" name="Group 1">
          <a:extLst>
            <a:ext uri="{FF2B5EF4-FFF2-40B4-BE49-F238E27FC236}">
              <a16:creationId xmlns:a16="http://schemas.microsoft.com/office/drawing/2014/main" id="{E0EE1BE0-9DD4-B762-1FCD-8AB8D35DB437}"/>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FF91E799-E563-62B1-372D-9341DFB560D8}"/>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578085" name="Picture 3">
            <a:extLst>
              <a:ext uri="{FF2B5EF4-FFF2-40B4-BE49-F238E27FC236}">
                <a16:creationId xmlns:a16="http://schemas.microsoft.com/office/drawing/2014/main" id="{CDEEA2D7-833E-847D-EAE1-3ED1E3CC13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3578080" name="Group 7">
          <a:extLst>
            <a:ext uri="{FF2B5EF4-FFF2-40B4-BE49-F238E27FC236}">
              <a16:creationId xmlns:a16="http://schemas.microsoft.com/office/drawing/2014/main" id="{3BC247ED-5E8F-A918-74BB-36BBBDE126F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174F99F5-4D91-7A16-CE3C-F33B042EAEC3}"/>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578083" name="Picture 9">
            <a:extLst>
              <a:ext uri="{FF2B5EF4-FFF2-40B4-BE49-F238E27FC236}">
                <a16:creationId xmlns:a16="http://schemas.microsoft.com/office/drawing/2014/main" id="{E22FCD2D-BC04-1B24-C780-D44E1379C0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177800</xdr:rowOff>
    </xdr:to>
    <xdr:pic>
      <xdr:nvPicPr>
        <xdr:cNvPr id="3578081" name="Picture 1">
          <a:hlinkClick xmlns:r="http://schemas.openxmlformats.org/officeDocument/2006/relationships" r:id="rId1"/>
          <a:extLst>
            <a:ext uri="{FF2B5EF4-FFF2-40B4-BE49-F238E27FC236}">
              <a16:creationId xmlns:a16="http://schemas.microsoft.com/office/drawing/2014/main" id="{71BAE36B-6BE4-71BC-25FB-399B907B5B1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01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815340</xdr:colOff>
      <xdr:row>4</xdr:row>
      <xdr:rowOff>0</xdr:rowOff>
    </xdr:to>
    <xdr:pic>
      <xdr:nvPicPr>
        <xdr:cNvPr id="1736150" name="Picture 1">
          <a:hlinkClick xmlns:r="http://schemas.openxmlformats.org/officeDocument/2006/relationships" r:id="rId1"/>
          <a:extLst>
            <a:ext uri="{FF2B5EF4-FFF2-40B4-BE49-F238E27FC236}">
              <a16:creationId xmlns:a16="http://schemas.microsoft.com/office/drawing/2014/main" id="{E09E53FB-7FC5-61AE-EAE4-74BBD54331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37174" name="Picture 1">
          <a:hlinkClick xmlns:r="http://schemas.openxmlformats.org/officeDocument/2006/relationships" r:id="rId1"/>
          <a:extLst>
            <a:ext uri="{FF2B5EF4-FFF2-40B4-BE49-F238E27FC236}">
              <a16:creationId xmlns:a16="http://schemas.microsoft.com/office/drawing/2014/main" id="{FF206BE2-4DBA-BC06-F84B-F3484F3EED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38204" name="Picture 3">
          <a:hlinkClick xmlns:r="http://schemas.openxmlformats.org/officeDocument/2006/relationships" r:id="rId1"/>
          <a:extLst>
            <a:ext uri="{FF2B5EF4-FFF2-40B4-BE49-F238E27FC236}">
              <a16:creationId xmlns:a16="http://schemas.microsoft.com/office/drawing/2014/main" id="{41D06798-E0D7-ABE0-6E5A-DA0F53B77E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544" name="Group 1">
          <a:extLst>
            <a:ext uri="{FF2B5EF4-FFF2-40B4-BE49-F238E27FC236}">
              <a16:creationId xmlns:a16="http://schemas.microsoft.com/office/drawing/2014/main" id="{A54FB5B0-998F-5BD4-12FA-25E0CD51C79C}"/>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6F335AFD-7C5F-9AFC-168D-899B7CA2B15B}"/>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547" name="Picture 3">
            <a:extLst>
              <a:ext uri="{FF2B5EF4-FFF2-40B4-BE49-F238E27FC236}">
                <a16:creationId xmlns:a16="http://schemas.microsoft.com/office/drawing/2014/main" id="{C7F2407E-0AB0-560F-9284-CA72785784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2990850</xdr:colOff>
      <xdr:row>3</xdr:row>
      <xdr:rowOff>342900</xdr:rowOff>
    </xdr:to>
    <xdr:pic>
      <xdr:nvPicPr>
        <xdr:cNvPr id="2803545" name="Picture 1">
          <a:hlinkClick xmlns:r="http://schemas.openxmlformats.org/officeDocument/2006/relationships" r:id="rId1"/>
          <a:extLst>
            <a:ext uri="{FF2B5EF4-FFF2-40B4-BE49-F238E27FC236}">
              <a16:creationId xmlns:a16="http://schemas.microsoft.com/office/drawing/2014/main" id="{BF54E6A4-6BCF-7158-045F-BE37620E495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01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xdr:colOff>
      <xdr:row>3</xdr:row>
      <xdr:rowOff>262890</xdr:rowOff>
    </xdr:to>
    <xdr:pic>
      <xdr:nvPicPr>
        <xdr:cNvPr id="1740246" name="Picture 1">
          <a:hlinkClick xmlns:r="http://schemas.openxmlformats.org/officeDocument/2006/relationships" r:id="rId1"/>
          <a:extLst>
            <a:ext uri="{FF2B5EF4-FFF2-40B4-BE49-F238E27FC236}">
              <a16:creationId xmlns:a16="http://schemas.microsoft.com/office/drawing/2014/main" id="{E5D60CD8-E84D-C49C-64C2-EE1BF54296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86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133350</xdr:rowOff>
    </xdr:to>
    <xdr:pic>
      <xdr:nvPicPr>
        <xdr:cNvPr id="1741270" name="Picture 1">
          <a:hlinkClick xmlns:r="http://schemas.openxmlformats.org/officeDocument/2006/relationships" r:id="rId1"/>
          <a:extLst>
            <a:ext uri="{FF2B5EF4-FFF2-40B4-BE49-F238E27FC236}">
              <a16:creationId xmlns:a16="http://schemas.microsoft.com/office/drawing/2014/main" id="{099A5819-788D-C1A1-2E69-2D4BA0A076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524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1587</xdr:colOff>
      <xdr:row>3</xdr:row>
      <xdr:rowOff>342900</xdr:rowOff>
    </xdr:to>
    <xdr:pic>
      <xdr:nvPicPr>
        <xdr:cNvPr id="1742323" name="Picture 1">
          <a:hlinkClick xmlns:r="http://schemas.openxmlformats.org/officeDocument/2006/relationships" r:id="rId1"/>
          <a:extLst>
            <a:ext uri="{FF2B5EF4-FFF2-40B4-BE49-F238E27FC236}">
              <a16:creationId xmlns:a16="http://schemas.microsoft.com/office/drawing/2014/main" id="{88F28586-D5FC-DE4A-38E8-182CC2319E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819150</xdr:colOff>
      <xdr:row>4</xdr:row>
      <xdr:rowOff>2117</xdr:rowOff>
    </xdr:to>
    <xdr:pic>
      <xdr:nvPicPr>
        <xdr:cNvPr id="1360406" name="Picture 1">
          <a:hlinkClick xmlns:r="http://schemas.openxmlformats.org/officeDocument/2006/relationships" r:id="rId1"/>
          <a:extLst>
            <a:ext uri="{FF2B5EF4-FFF2-40B4-BE49-F238E27FC236}">
              <a16:creationId xmlns:a16="http://schemas.microsoft.com/office/drawing/2014/main" id="{5F44371E-917C-C768-BB32-D4863D27D6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43318" name="Picture 1">
          <a:hlinkClick xmlns:r="http://schemas.openxmlformats.org/officeDocument/2006/relationships" r:id="rId1"/>
          <a:extLst>
            <a:ext uri="{FF2B5EF4-FFF2-40B4-BE49-F238E27FC236}">
              <a16:creationId xmlns:a16="http://schemas.microsoft.com/office/drawing/2014/main" id="{1D6DEC2B-E6ED-7146-CD12-043861762B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497313" name="Group 1">
          <a:extLst>
            <a:ext uri="{FF2B5EF4-FFF2-40B4-BE49-F238E27FC236}">
              <a16:creationId xmlns:a16="http://schemas.microsoft.com/office/drawing/2014/main" id="{DF7EBD93-E7EC-4CAA-2C57-8983197CCE04}"/>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5C278079-89BD-AF00-8F44-E0DF18D8E8FE}"/>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497319" name="Picture 3">
            <a:extLst>
              <a:ext uri="{FF2B5EF4-FFF2-40B4-BE49-F238E27FC236}">
                <a16:creationId xmlns:a16="http://schemas.microsoft.com/office/drawing/2014/main" id="{7E8ADD6E-0211-57E1-B109-86A024C090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3497314" name="Group 7">
          <a:extLst>
            <a:ext uri="{FF2B5EF4-FFF2-40B4-BE49-F238E27FC236}">
              <a16:creationId xmlns:a16="http://schemas.microsoft.com/office/drawing/2014/main" id="{32571986-0D64-327B-6C30-92A6EA3ED3D8}"/>
            </a:ext>
          </a:extLst>
        </xdr:cNvPr>
        <xdr:cNvGrpSpPr>
          <a:grpSpLocks/>
        </xdr:cNvGrpSpPr>
      </xdr:nvGrpSpPr>
      <xdr:grpSpPr bwMode="auto">
        <a:xfrm>
          <a:off x="0" y="0"/>
          <a:ext cx="8382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F46EE13-4580-ED17-3B06-E51C7A877BF4}"/>
              </a:ext>
            </a:extLst>
          </xdr:cNvPr>
          <xdr:cNvSpPr>
            <a:spLocks noChangeArrowheads="1"/>
          </xdr:cNvSpPr>
        </xdr:nvSpPr>
        <xdr:spPr bwMode="auto">
          <a:xfrm>
            <a:off x="-149674286757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497317" name="Picture 9">
            <a:extLst>
              <a:ext uri="{FF2B5EF4-FFF2-40B4-BE49-F238E27FC236}">
                <a16:creationId xmlns:a16="http://schemas.microsoft.com/office/drawing/2014/main" id="{8C7F6C5D-3768-5518-2099-CADA55E01E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2990850</xdr:colOff>
      <xdr:row>3</xdr:row>
      <xdr:rowOff>438150</xdr:rowOff>
    </xdr:to>
    <xdr:pic>
      <xdr:nvPicPr>
        <xdr:cNvPr id="3497315" name="Picture 1">
          <a:hlinkClick xmlns:r="http://schemas.openxmlformats.org/officeDocument/2006/relationships" r:id="rId1"/>
          <a:extLst>
            <a:ext uri="{FF2B5EF4-FFF2-40B4-BE49-F238E27FC236}">
              <a16:creationId xmlns:a16="http://schemas.microsoft.com/office/drawing/2014/main" id="{F963B840-89CD-127A-0922-69568D5794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92075</xdr:colOff>
      <xdr:row>4</xdr:row>
      <xdr:rowOff>0</xdr:rowOff>
    </xdr:to>
    <xdr:pic>
      <xdr:nvPicPr>
        <xdr:cNvPr id="1744349" name="Picture 1">
          <a:hlinkClick xmlns:r="http://schemas.openxmlformats.org/officeDocument/2006/relationships" r:id="rId1"/>
          <a:extLst>
            <a:ext uri="{FF2B5EF4-FFF2-40B4-BE49-F238E27FC236}">
              <a16:creationId xmlns:a16="http://schemas.microsoft.com/office/drawing/2014/main" id="{B3F4A322-069D-9624-C3C2-6F70A4D0EB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477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1745370" name="Picture 1">
          <a:hlinkClick xmlns:r="http://schemas.openxmlformats.org/officeDocument/2006/relationships" r:id="rId1"/>
          <a:extLst>
            <a:ext uri="{FF2B5EF4-FFF2-40B4-BE49-F238E27FC236}">
              <a16:creationId xmlns:a16="http://schemas.microsoft.com/office/drawing/2014/main" id="{F454993D-E508-7A07-6E99-A9B8F99B3D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72368C69-1989-7CD0-7BCE-BEFC17DCBF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AA0EFD93-27B6-0AFF-7C3A-AFAC45F64C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7" name="Picture 6">
          <a:extLst>
            <a:ext uri="{FF2B5EF4-FFF2-40B4-BE49-F238E27FC236}">
              <a16:creationId xmlns:a16="http://schemas.microsoft.com/office/drawing/2014/main" id="{BA10647F-45CE-7E7A-B28D-88324A4055B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95250</xdr:colOff>
      <xdr:row>4</xdr:row>
      <xdr:rowOff>0</xdr:rowOff>
    </xdr:to>
    <xdr:pic>
      <xdr:nvPicPr>
        <xdr:cNvPr id="1746391" name="Picture 1">
          <a:hlinkClick xmlns:r="http://schemas.openxmlformats.org/officeDocument/2006/relationships" r:id="rId1"/>
          <a:extLst>
            <a:ext uri="{FF2B5EF4-FFF2-40B4-BE49-F238E27FC236}">
              <a16:creationId xmlns:a16="http://schemas.microsoft.com/office/drawing/2014/main" id="{17E78C5D-805E-92A4-7065-0A54853491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477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4DA25185-58BB-DA09-9EE0-2F126BCA68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ADC59204-6E21-A82D-C102-F9C3206352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1747414" name="Picture 1">
          <a:hlinkClick xmlns:r="http://schemas.openxmlformats.org/officeDocument/2006/relationships" r:id="rId1"/>
          <a:extLst>
            <a:ext uri="{FF2B5EF4-FFF2-40B4-BE49-F238E27FC236}">
              <a16:creationId xmlns:a16="http://schemas.microsoft.com/office/drawing/2014/main" id="{CB752FC3-A15F-AC25-D150-311F5101F2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2001647B-2D7A-F35B-EFFA-C13CBDDDB2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24341136-49C1-6412-EA01-6318431EE00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95250</xdr:colOff>
      <xdr:row>3</xdr:row>
      <xdr:rowOff>93345</xdr:rowOff>
    </xdr:to>
    <xdr:pic>
      <xdr:nvPicPr>
        <xdr:cNvPr id="1748438" name="Picture 1">
          <a:hlinkClick xmlns:r="http://schemas.openxmlformats.org/officeDocument/2006/relationships" r:id="rId1"/>
          <a:extLst>
            <a:ext uri="{FF2B5EF4-FFF2-40B4-BE49-F238E27FC236}">
              <a16:creationId xmlns:a16="http://schemas.microsoft.com/office/drawing/2014/main" id="{6EBF96A5-645E-E873-E6B1-027262294D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572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405417</xdr:colOff>
      <xdr:row>62</xdr:row>
      <xdr:rowOff>19050</xdr:rowOff>
    </xdr:to>
    <xdr:pic>
      <xdr:nvPicPr>
        <xdr:cNvPr id="3" name="Picture 2">
          <a:extLst>
            <a:ext uri="{FF2B5EF4-FFF2-40B4-BE49-F238E27FC236}">
              <a16:creationId xmlns:a16="http://schemas.microsoft.com/office/drawing/2014/main" id="{B58A0F95-1A57-46C4-69D0-D4BBD279ED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017"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5970F2FE-285C-C6E7-6640-D335025F1B7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7" name="Picture 6">
          <a:extLst>
            <a:ext uri="{FF2B5EF4-FFF2-40B4-BE49-F238E27FC236}">
              <a16:creationId xmlns:a16="http://schemas.microsoft.com/office/drawing/2014/main" id="{485CD192-106F-0AE3-1C80-4F55FDED9BA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3</xdr:row>
      <xdr:rowOff>257175</xdr:rowOff>
    </xdr:to>
    <xdr:pic>
      <xdr:nvPicPr>
        <xdr:cNvPr id="1749463" name="Picture 1">
          <a:hlinkClick xmlns:r="http://schemas.openxmlformats.org/officeDocument/2006/relationships" r:id="rId1"/>
          <a:extLst>
            <a:ext uri="{FF2B5EF4-FFF2-40B4-BE49-F238E27FC236}">
              <a16:creationId xmlns:a16="http://schemas.microsoft.com/office/drawing/2014/main" id="{BCA8E60B-16EC-258B-9F2A-203E7AB314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905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40A3AE1A-7ACA-49D3-8822-D3DCD4F252AE}" name="Table141" displayName="Table141" ref="A1:G4" totalsRowShown="0" headerRowDxfId="87" tableBorderDxfId="86">
  <autoFilter ref="A1:G4" xr:uid="{CA622AA1-FEE1-4628-8BB4-6437DB265FCA}"/>
  <tableColumns count="7">
    <tableColumn id="1" xr3:uid="{00000000-0010-0000-0100-000001000000}" name="Date"/>
    <tableColumn id="2" xr3:uid="{00000000-0010-0000-0100-000002000000}" name="AER amendment#"/>
    <tableColumn id="3" xr3:uid="{00000000-0010-0000-0100-000003000000}" name="Worksheet" dataDxfId="85"/>
    <tableColumn id="4" xr3:uid="{00000000-0010-0000-0100-000004000000}" name="Table"/>
    <tableColumn id="5" xr3:uid="{00000000-0010-0000-0100-000005000000}" name="Cell" dataDxfId="84"/>
    <tableColumn id="6" xr3:uid="{00000000-0010-0000-0100-000006000000}" name="Change"/>
    <tableColumn id="7" xr3:uid="{00000000-0010-0000-0100-000007000000}" name="Reas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5.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37DC0-8C7C-4166-B159-7AF4CF7EA3EB}">
  <sheetPr codeName="Sheet1"/>
  <dimension ref="A1:K51"/>
  <sheetViews>
    <sheetView tabSelected="1" zoomScale="85" zoomScaleNormal="85" workbookViewId="0">
      <pane ySplit="6" topLeftCell="A7" activePane="bottomLeft" state="frozen"/>
      <selection pane="bottomLeft"/>
    </sheetView>
  </sheetViews>
  <sheetFormatPr defaultColWidth="9.453125" defaultRowHeight="12.5" x14ac:dyDescent="0.25"/>
  <cols>
    <col min="1" max="1" width="41" style="223" customWidth="1"/>
    <col min="2" max="2" width="23.54296875" style="223" customWidth="1"/>
    <col min="3" max="6" width="20.54296875" style="223" customWidth="1"/>
    <col min="7" max="8" width="11.453125" style="223" customWidth="1"/>
    <col min="9" max="11" width="20.54296875" style="223" customWidth="1"/>
    <col min="12" max="13" width="9.453125" style="223"/>
    <col min="14" max="14" width="27.453125" style="223" customWidth="1"/>
    <col min="15" max="16384" width="9.453125" style="223"/>
  </cols>
  <sheetData>
    <row r="1" spans="1:11" ht="66" customHeight="1" x14ac:dyDescent="0.25"/>
    <row r="2" spans="1:11" ht="20.25" customHeight="1" x14ac:dyDescent="0.25">
      <c r="A2" s="224" t="s">
        <v>20</v>
      </c>
      <c r="B2" s="224"/>
      <c r="C2" s="224"/>
      <c r="D2" s="224"/>
      <c r="E2" s="224"/>
      <c r="F2" s="224"/>
      <c r="G2" s="224"/>
      <c r="H2" s="224"/>
      <c r="I2" s="224"/>
      <c r="J2" s="224"/>
      <c r="K2" s="224"/>
    </row>
    <row r="3" spans="1:11" ht="20" x14ac:dyDescent="0.25">
      <c r="A3" s="224" t="s">
        <v>301</v>
      </c>
      <c r="B3" s="224"/>
      <c r="C3" s="224"/>
      <c r="D3" s="224"/>
      <c r="E3" s="224"/>
      <c r="F3" s="224"/>
      <c r="G3" s="224"/>
      <c r="H3" s="224"/>
      <c r="I3" s="224"/>
      <c r="J3" s="224"/>
      <c r="K3" s="224"/>
    </row>
    <row r="4" spans="1:11" x14ac:dyDescent="0.25">
      <c r="A4" s="225"/>
      <c r="B4" s="225"/>
      <c r="C4" s="225"/>
      <c r="D4" s="225"/>
      <c r="E4" s="225"/>
      <c r="F4" s="225"/>
      <c r="G4" s="225"/>
      <c r="H4" s="225"/>
      <c r="I4" s="225"/>
      <c r="J4" s="225"/>
      <c r="K4" s="225"/>
    </row>
    <row r="5" spans="1:11" s="229" customFormat="1" ht="15.5" x14ac:dyDescent="0.3">
      <c r="A5" s="226" t="s">
        <v>21</v>
      </c>
      <c r="B5" s="227"/>
      <c r="C5" s="227"/>
      <c r="D5" s="227"/>
      <c r="E5" s="227"/>
      <c r="F5" s="227"/>
      <c r="G5" s="227"/>
      <c r="H5" s="227"/>
      <c r="I5" s="227"/>
      <c r="J5" s="228"/>
      <c r="K5" s="228"/>
    </row>
    <row r="6" spans="1:11" s="229" customFormat="1" ht="15.5" x14ac:dyDescent="0.3">
      <c r="A6" s="226" t="s">
        <v>331</v>
      </c>
      <c r="B6" s="227"/>
      <c r="C6" s="227"/>
      <c r="D6" s="227"/>
      <c r="E6" s="227"/>
      <c r="F6" s="227"/>
      <c r="G6" s="227"/>
      <c r="H6" s="227"/>
      <c r="I6" s="227"/>
      <c r="J6" s="228"/>
      <c r="K6" s="228"/>
    </row>
    <row r="7" spans="1:11" ht="16" thickBot="1" x14ac:dyDescent="0.3">
      <c r="A7" s="230"/>
      <c r="B7" s="230"/>
      <c r="C7" s="230"/>
      <c r="D7" s="230"/>
      <c r="E7" s="230"/>
      <c r="F7" s="230"/>
      <c r="G7" s="230"/>
      <c r="H7" s="230"/>
      <c r="I7" s="230"/>
      <c r="J7" s="225"/>
      <c r="K7" s="225"/>
    </row>
    <row r="8" spans="1:11" ht="12.75" customHeight="1" x14ac:dyDescent="0.25">
      <c r="A8" s="332" t="s">
        <v>1</v>
      </c>
      <c r="B8" s="333"/>
      <c r="C8" s="333"/>
      <c r="D8" s="333"/>
      <c r="E8" s="333"/>
      <c r="F8" s="333"/>
      <c r="G8" s="333"/>
      <c r="H8" s="333"/>
      <c r="I8" s="334"/>
      <c r="J8" s="225"/>
      <c r="K8" s="225"/>
    </row>
    <row r="9" spans="1:11" ht="15.5" x14ac:dyDescent="0.25">
      <c r="A9" s="231" t="s">
        <v>330</v>
      </c>
      <c r="B9" s="232"/>
      <c r="C9" s="232"/>
      <c r="D9" s="233"/>
      <c r="E9" s="233"/>
      <c r="F9" s="233"/>
      <c r="G9" s="233"/>
      <c r="H9" s="233"/>
      <c r="I9" s="234"/>
      <c r="J9" s="225"/>
      <c r="K9" s="225"/>
    </row>
    <row r="10" spans="1:11" ht="15.5" x14ac:dyDescent="0.25">
      <c r="A10" s="338" t="s">
        <v>329</v>
      </c>
      <c r="B10" s="339"/>
      <c r="C10" s="339"/>
      <c r="D10" s="339"/>
      <c r="E10" s="339"/>
      <c r="F10" s="339"/>
      <c r="G10" s="339"/>
      <c r="H10" s="339"/>
      <c r="I10" s="340"/>
      <c r="J10" s="225"/>
      <c r="K10" s="225"/>
    </row>
    <row r="11" spans="1:11" ht="16" thickBot="1" x14ac:dyDescent="0.3">
      <c r="A11" s="335" t="s">
        <v>287</v>
      </c>
      <c r="B11" s="336"/>
      <c r="C11" s="336"/>
      <c r="D11" s="336"/>
      <c r="E11" s="336"/>
      <c r="F11" s="336"/>
      <c r="G11" s="336"/>
      <c r="H11" s="336"/>
      <c r="I11" s="337"/>
      <c r="J11" s="225"/>
      <c r="K11" s="225"/>
    </row>
    <row r="12" spans="1:11" ht="15.5" x14ac:dyDescent="0.25">
      <c r="A12" s="341"/>
      <c r="B12" s="342"/>
      <c r="C12" s="342"/>
      <c r="D12" s="342"/>
      <c r="E12" s="342"/>
      <c r="F12" s="342"/>
      <c r="G12" s="342"/>
      <c r="H12" s="342"/>
      <c r="I12" s="342"/>
      <c r="J12" s="225"/>
      <c r="K12" s="225"/>
    </row>
    <row r="13" spans="1:11" ht="15.5" x14ac:dyDescent="0.25">
      <c r="A13" s="235" t="s">
        <v>2</v>
      </c>
      <c r="B13" s="230"/>
      <c r="C13" s="230"/>
      <c r="D13" s="230"/>
      <c r="E13" s="230"/>
      <c r="F13" s="230"/>
      <c r="G13" s="230"/>
      <c r="H13" s="230"/>
      <c r="I13" s="230"/>
      <c r="J13" s="225"/>
      <c r="K13" s="225"/>
    </row>
    <row r="14" spans="1:11" ht="15.5" x14ac:dyDescent="0.25">
      <c r="A14" s="236" t="s">
        <v>306</v>
      </c>
      <c r="B14" s="230"/>
      <c r="C14" s="230"/>
      <c r="D14" s="230"/>
      <c r="E14" s="230"/>
      <c r="F14" s="230"/>
      <c r="G14" s="230"/>
      <c r="H14" s="230"/>
      <c r="I14" s="230"/>
      <c r="J14" s="225"/>
      <c r="K14" s="225"/>
    </row>
    <row r="15" spans="1:11" x14ac:dyDescent="0.25">
      <c r="A15" s="225"/>
      <c r="B15" s="225"/>
      <c r="C15" s="225"/>
      <c r="D15" s="225"/>
      <c r="E15" s="225"/>
      <c r="F15" s="225"/>
      <c r="G15" s="225"/>
      <c r="H15" s="225"/>
      <c r="I15" s="225"/>
      <c r="J15" s="225"/>
      <c r="K15" s="225"/>
    </row>
    <row r="16" spans="1:11" x14ac:dyDescent="0.25">
      <c r="A16" s="225"/>
      <c r="B16" s="225"/>
      <c r="C16" s="225"/>
      <c r="D16" s="225"/>
      <c r="E16" s="225"/>
      <c r="F16" s="225"/>
      <c r="G16" s="225"/>
      <c r="H16" s="225"/>
      <c r="I16" s="225"/>
      <c r="J16" s="225"/>
      <c r="K16" s="225"/>
    </row>
    <row r="17" spans="1:11" ht="15.5" x14ac:dyDescent="0.25">
      <c r="A17" s="329" t="s">
        <v>125</v>
      </c>
      <c r="B17" s="330"/>
      <c r="C17" s="348" t="s">
        <v>480</v>
      </c>
      <c r="D17" s="349"/>
      <c r="E17" s="349"/>
      <c r="F17" s="230"/>
      <c r="G17" s="230"/>
      <c r="H17" s="230"/>
      <c r="I17" s="230"/>
      <c r="J17" s="230"/>
      <c r="K17" s="230"/>
    </row>
    <row r="18" spans="1:11" ht="15.5" x14ac:dyDescent="0.25">
      <c r="A18" s="236"/>
      <c r="B18" s="236"/>
      <c r="C18" s="237"/>
      <c r="D18" s="237"/>
      <c r="E18" s="237"/>
      <c r="F18" s="230"/>
      <c r="G18" s="230"/>
      <c r="H18" s="230"/>
      <c r="I18" s="230"/>
      <c r="J18" s="230"/>
      <c r="K18" s="230"/>
    </row>
    <row r="19" spans="1:11" ht="18" customHeight="1" x14ac:dyDescent="0.25">
      <c r="A19" s="329" t="s">
        <v>22</v>
      </c>
      <c r="B19" s="330"/>
      <c r="C19" s="381" t="s">
        <v>481</v>
      </c>
      <c r="D19" s="382"/>
      <c r="E19" s="382"/>
      <c r="F19" s="230"/>
      <c r="G19" s="230"/>
      <c r="H19" s="230"/>
      <c r="I19" s="230"/>
      <c r="J19" s="230"/>
      <c r="K19" s="230"/>
    </row>
    <row r="20" spans="1:11" ht="15.5" x14ac:dyDescent="0.25">
      <c r="A20" s="236"/>
      <c r="B20" s="236"/>
      <c r="C20" s="343"/>
      <c r="D20" s="344"/>
      <c r="E20" s="344"/>
      <c r="F20" s="230"/>
      <c r="G20" s="230"/>
      <c r="H20" s="230"/>
      <c r="I20" s="230"/>
      <c r="J20" s="230"/>
      <c r="K20" s="230"/>
    </row>
    <row r="21" spans="1:11" ht="15.5" x14ac:dyDescent="0.25">
      <c r="A21" s="329" t="s">
        <v>126</v>
      </c>
      <c r="B21" s="331"/>
      <c r="C21" s="345" t="s">
        <v>484</v>
      </c>
      <c r="D21" s="346"/>
      <c r="E21" s="347"/>
      <c r="F21" s="230"/>
      <c r="G21" s="230"/>
      <c r="H21" s="230"/>
      <c r="I21" s="230"/>
      <c r="J21" s="230"/>
      <c r="K21" s="230"/>
    </row>
    <row r="22" spans="1:11" ht="15.5" x14ac:dyDescent="0.25">
      <c r="A22" s="230"/>
      <c r="B22" s="230"/>
      <c r="C22" s="237"/>
      <c r="D22" s="237"/>
      <c r="E22" s="237"/>
      <c r="F22" s="230"/>
      <c r="G22" s="230"/>
      <c r="H22" s="230"/>
      <c r="I22" s="230"/>
      <c r="J22" s="230"/>
      <c r="K22" s="230"/>
    </row>
    <row r="23" spans="1:11" ht="18" customHeight="1" x14ac:dyDescent="0.25">
      <c r="A23" s="329" t="s">
        <v>180</v>
      </c>
      <c r="B23" s="331"/>
      <c r="C23" s="383" t="s">
        <v>485</v>
      </c>
      <c r="D23" s="384"/>
      <c r="E23" s="385"/>
      <c r="F23" s="230"/>
      <c r="G23" s="230"/>
      <c r="H23" s="230"/>
      <c r="I23" s="230"/>
      <c r="J23" s="230"/>
      <c r="K23" s="230"/>
    </row>
    <row r="24" spans="1:11" ht="15.5" x14ac:dyDescent="0.25">
      <c r="A24" s="230"/>
      <c r="B24" s="230"/>
      <c r="C24" s="237"/>
      <c r="D24" s="237"/>
      <c r="E24" s="237"/>
      <c r="F24" s="230"/>
      <c r="G24" s="230"/>
      <c r="H24" s="230"/>
      <c r="I24" s="230"/>
      <c r="J24" s="230"/>
      <c r="K24" s="230"/>
    </row>
    <row r="25" spans="1:11" ht="15.5" x14ac:dyDescent="0.25">
      <c r="A25" s="329" t="s">
        <v>97</v>
      </c>
      <c r="B25" s="331"/>
      <c r="C25" s="350">
        <v>45474</v>
      </c>
      <c r="D25" s="351"/>
      <c r="E25" s="352"/>
      <c r="F25" s="230"/>
      <c r="G25" s="230"/>
      <c r="H25" s="230"/>
      <c r="I25" s="230"/>
      <c r="J25" s="230"/>
      <c r="K25" s="230"/>
    </row>
    <row r="26" spans="1:11" ht="15.5" x14ac:dyDescent="0.25">
      <c r="A26" s="230"/>
      <c r="B26" s="230"/>
      <c r="C26" s="237"/>
      <c r="D26" s="237"/>
      <c r="E26" s="237"/>
      <c r="F26" s="230"/>
      <c r="G26" s="230"/>
      <c r="H26" s="230"/>
      <c r="I26" s="230"/>
      <c r="J26" s="230"/>
      <c r="K26" s="230"/>
    </row>
    <row r="27" spans="1:11" ht="15.5" x14ac:dyDescent="0.25">
      <c r="A27" s="329" t="s">
        <v>98</v>
      </c>
      <c r="B27" s="331"/>
      <c r="C27" s="350">
        <v>45838</v>
      </c>
      <c r="D27" s="351"/>
      <c r="E27" s="352"/>
      <c r="F27" s="230"/>
      <c r="G27" s="230"/>
      <c r="H27" s="230"/>
      <c r="I27" s="230"/>
      <c r="J27" s="230"/>
      <c r="K27" s="230"/>
    </row>
    <row r="28" spans="1:11" ht="15.5" x14ac:dyDescent="0.25">
      <c r="A28" s="230"/>
      <c r="B28" s="230"/>
      <c r="C28" s="237"/>
      <c r="D28" s="237"/>
      <c r="E28" s="237"/>
      <c r="F28" s="230"/>
      <c r="G28" s="230"/>
      <c r="H28" s="230"/>
      <c r="I28" s="230"/>
      <c r="J28" s="230"/>
      <c r="K28" s="230"/>
    </row>
    <row r="29" spans="1:11" ht="15.5" x14ac:dyDescent="0.25">
      <c r="A29" s="386" t="s">
        <v>179</v>
      </c>
      <c r="B29" s="386"/>
      <c r="C29" s="350">
        <v>46013</v>
      </c>
      <c r="D29" s="351"/>
      <c r="E29" s="352"/>
      <c r="F29" s="230"/>
      <c r="G29" s="230"/>
      <c r="H29" s="230"/>
      <c r="I29" s="230"/>
      <c r="J29" s="230"/>
      <c r="K29" s="230"/>
    </row>
    <row r="30" spans="1:11" ht="15.5" x14ac:dyDescent="0.25">
      <c r="A30" s="230"/>
      <c r="B30" s="230"/>
      <c r="C30" s="237"/>
      <c r="D30" s="237"/>
      <c r="E30" s="237"/>
      <c r="F30" s="230"/>
      <c r="G30" s="230"/>
      <c r="H30" s="230"/>
      <c r="I30" s="230"/>
      <c r="J30" s="230"/>
      <c r="K30" s="230"/>
    </row>
    <row r="31" spans="1:11" ht="15.5" x14ac:dyDescent="0.25">
      <c r="A31" s="386" t="s">
        <v>174</v>
      </c>
      <c r="B31" s="386"/>
      <c r="C31" s="350">
        <v>45838</v>
      </c>
      <c r="D31" s="351"/>
      <c r="E31" s="352"/>
      <c r="F31" s="230"/>
      <c r="G31" s="230"/>
      <c r="H31" s="230"/>
      <c r="I31" s="230"/>
      <c r="J31" s="230"/>
      <c r="K31" s="230"/>
    </row>
    <row r="32" spans="1:11" ht="15.5" x14ac:dyDescent="0.25">
      <c r="A32" s="230"/>
      <c r="B32" s="230"/>
      <c r="C32" s="237"/>
      <c r="D32" s="237"/>
      <c r="E32" s="237"/>
      <c r="F32" s="230"/>
      <c r="G32" s="230"/>
      <c r="H32" s="230"/>
      <c r="I32" s="230"/>
      <c r="J32" s="230"/>
      <c r="K32" s="230"/>
    </row>
    <row r="33" spans="1:11" ht="60" customHeight="1" x14ac:dyDescent="0.25">
      <c r="A33" s="380" t="s">
        <v>166</v>
      </c>
      <c r="B33" s="380"/>
      <c r="C33" s="376" t="s">
        <v>486</v>
      </c>
      <c r="D33" s="377"/>
      <c r="E33" s="378"/>
      <c r="F33" s="379" t="s">
        <v>308</v>
      </c>
      <c r="G33" s="380"/>
      <c r="H33" s="380"/>
      <c r="I33" s="376" t="s">
        <v>487</v>
      </c>
      <c r="J33" s="377"/>
      <c r="K33" s="378"/>
    </row>
    <row r="34" spans="1:11" ht="16" thickBot="1" x14ac:dyDescent="0.4">
      <c r="A34" s="238"/>
      <c r="B34" s="238"/>
      <c r="C34" s="238"/>
      <c r="D34" s="238"/>
      <c r="E34" s="238"/>
      <c r="F34" s="238"/>
      <c r="G34" s="238"/>
      <c r="H34" s="238"/>
      <c r="I34" s="238"/>
      <c r="J34" s="238"/>
      <c r="K34" s="238"/>
    </row>
    <row r="35" spans="1:11" ht="15.5" x14ac:dyDescent="0.35">
      <c r="A35" s="355"/>
      <c r="B35" s="356"/>
      <c r="C35" s="356"/>
      <c r="D35" s="356"/>
      <c r="E35" s="356"/>
      <c r="F35" s="356"/>
      <c r="G35" s="356"/>
      <c r="H35" s="357"/>
      <c r="I35" s="238"/>
      <c r="J35" s="238"/>
      <c r="K35" s="238"/>
    </row>
    <row r="36" spans="1:11" ht="15.5" x14ac:dyDescent="0.35">
      <c r="A36" s="361" t="s">
        <v>3</v>
      </c>
      <c r="B36" s="353" t="s">
        <v>4</v>
      </c>
      <c r="C36" s="354"/>
      <c r="D36" s="370" t="s">
        <v>519</v>
      </c>
      <c r="E36" s="371"/>
      <c r="F36" s="371"/>
      <c r="G36" s="372"/>
      <c r="H36" s="365"/>
      <c r="I36" s="238"/>
      <c r="J36" s="238"/>
      <c r="K36" s="238"/>
    </row>
    <row r="37" spans="1:11" ht="15.5" x14ac:dyDescent="0.35">
      <c r="A37" s="361"/>
      <c r="B37" s="353" t="s">
        <v>5</v>
      </c>
      <c r="C37" s="354"/>
      <c r="D37" s="370" t="s">
        <v>488</v>
      </c>
      <c r="E37" s="371"/>
      <c r="F37" s="371"/>
      <c r="G37" s="372"/>
      <c r="H37" s="365"/>
      <c r="I37" s="238"/>
      <c r="J37" s="238"/>
      <c r="K37" s="238"/>
    </row>
    <row r="38" spans="1:11" ht="15.5" x14ac:dyDescent="0.35">
      <c r="A38" s="361"/>
      <c r="B38" s="239"/>
      <c r="C38" s="240" t="s">
        <v>6</v>
      </c>
      <c r="D38" s="158" t="s">
        <v>489</v>
      </c>
      <c r="E38" s="240" t="s">
        <v>7</v>
      </c>
      <c r="F38" s="158">
        <v>2000</v>
      </c>
      <c r="G38" s="241"/>
      <c r="H38" s="365"/>
      <c r="I38" s="238"/>
      <c r="J38" s="238"/>
      <c r="K38" s="238"/>
    </row>
    <row r="39" spans="1:11" ht="15.5" x14ac:dyDescent="0.35">
      <c r="A39" s="361"/>
      <c r="B39" s="366"/>
      <c r="C39" s="366"/>
      <c r="D39" s="366"/>
      <c r="E39" s="366"/>
      <c r="F39" s="366"/>
      <c r="G39" s="366"/>
      <c r="H39" s="365"/>
      <c r="I39" s="238"/>
      <c r="J39" s="238"/>
      <c r="K39" s="238"/>
    </row>
    <row r="40" spans="1:11" ht="15.5" x14ac:dyDescent="0.35">
      <c r="A40" s="361" t="s">
        <v>8</v>
      </c>
      <c r="B40" s="353" t="s">
        <v>4</v>
      </c>
      <c r="C40" s="354"/>
      <c r="D40" s="367" t="s">
        <v>490</v>
      </c>
      <c r="E40" s="367"/>
      <c r="F40" s="367"/>
      <c r="G40" s="367"/>
      <c r="H40" s="365"/>
      <c r="I40" s="238"/>
      <c r="J40" s="238"/>
      <c r="K40" s="238"/>
    </row>
    <row r="41" spans="1:11" ht="15.5" x14ac:dyDescent="0.35">
      <c r="A41" s="361"/>
      <c r="B41" s="353" t="s">
        <v>5</v>
      </c>
      <c r="C41" s="354"/>
      <c r="D41" s="367" t="s">
        <v>491</v>
      </c>
      <c r="E41" s="367"/>
      <c r="F41" s="367"/>
      <c r="G41" s="367"/>
      <c r="H41" s="365"/>
      <c r="I41" s="238"/>
      <c r="J41" s="238"/>
      <c r="K41" s="238"/>
    </row>
    <row r="42" spans="1:11" ht="15.5" x14ac:dyDescent="0.35">
      <c r="A42" s="361"/>
      <c r="B42" s="239"/>
      <c r="C42" s="240" t="s">
        <v>6</v>
      </c>
      <c r="D42" s="158"/>
      <c r="E42" s="240" t="s">
        <v>7</v>
      </c>
      <c r="F42" s="158">
        <v>1225</v>
      </c>
      <c r="G42" s="241"/>
      <c r="H42" s="365"/>
      <c r="I42" s="238"/>
      <c r="J42" s="238"/>
      <c r="K42" s="238"/>
    </row>
    <row r="43" spans="1:11" ht="16" thickBot="1" x14ac:dyDescent="0.4">
      <c r="A43" s="362"/>
      <c r="B43" s="363"/>
      <c r="C43" s="363"/>
      <c r="D43" s="363"/>
      <c r="E43" s="363"/>
      <c r="F43" s="363"/>
      <c r="G43" s="363"/>
      <c r="H43" s="364"/>
      <c r="I43" s="238"/>
      <c r="J43" s="238"/>
      <c r="K43" s="238"/>
    </row>
    <row r="44" spans="1:11" ht="15.5" x14ac:dyDescent="0.35">
      <c r="A44" s="355"/>
      <c r="B44" s="356"/>
      <c r="C44" s="356"/>
      <c r="D44" s="356"/>
      <c r="E44" s="356"/>
      <c r="F44" s="356"/>
      <c r="G44" s="356"/>
      <c r="H44" s="357"/>
      <c r="I44" s="238"/>
      <c r="J44" s="238"/>
      <c r="K44" s="238"/>
    </row>
    <row r="45" spans="1:11" ht="15.5" x14ac:dyDescent="0.35">
      <c r="A45" s="242" t="s">
        <v>9</v>
      </c>
      <c r="B45" s="370" t="s">
        <v>492</v>
      </c>
      <c r="C45" s="371"/>
      <c r="D45" s="373"/>
      <c r="E45" s="373"/>
      <c r="F45" s="374"/>
      <c r="G45" s="368"/>
      <c r="H45" s="369"/>
      <c r="I45" s="238"/>
      <c r="J45" s="238"/>
      <c r="K45" s="238"/>
    </row>
    <row r="46" spans="1:11" ht="15.5" x14ac:dyDescent="0.35">
      <c r="A46" s="242" t="s">
        <v>10</v>
      </c>
      <c r="B46" s="375" t="s">
        <v>493</v>
      </c>
      <c r="C46" s="371"/>
      <c r="D46" s="371"/>
      <c r="E46" s="371"/>
      <c r="F46" s="372"/>
      <c r="G46" s="368"/>
      <c r="H46" s="369"/>
      <c r="I46" s="238"/>
      <c r="J46" s="238"/>
      <c r="K46" s="238"/>
    </row>
    <row r="47" spans="1:11" ht="15.5" x14ac:dyDescent="0.35">
      <c r="A47" s="242" t="s">
        <v>11</v>
      </c>
      <c r="B47" s="370" t="s">
        <v>494</v>
      </c>
      <c r="C47" s="371"/>
      <c r="D47" s="371"/>
      <c r="E47" s="371"/>
      <c r="F47" s="372"/>
      <c r="G47" s="368"/>
      <c r="H47" s="369"/>
      <c r="I47" s="238"/>
      <c r="J47" s="238"/>
      <c r="K47" s="238"/>
    </row>
    <row r="48" spans="1:11" ht="16" thickBot="1" x14ac:dyDescent="0.4">
      <c r="A48" s="358"/>
      <c r="B48" s="359"/>
      <c r="C48" s="359"/>
      <c r="D48" s="359"/>
      <c r="E48" s="359"/>
      <c r="F48" s="359"/>
      <c r="G48" s="359"/>
      <c r="H48" s="360"/>
      <c r="I48" s="238"/>
      <c r="J48" s="238"/>
      <c r="K48" s="238"/>
    </row>
    <row r="49" spans="1:11" ht="15.5" x14ac:dyDescent="0.35">
      <c r="A49" s="238"/>
      <c r="B49" s="238"/>
      <c r="C49" s="238"/>
      <c r="D49" s="238"/>
      <c r="E49" s="238"/>
      <c r="F49" s="238"/>
      <c r="G49" s="238"/>
      <c r="H49" s="238"/>
      <c r="I49" s="238"/>
      <c r="J49" s="238"/>
      <c r="K49" s="238"/>
    </row>
    <row r="50" spans="1:11" ht="15.5" x14ac:dyDescent="0.35">
      <c r="A50" s="238"/>
      <c r="B50" s="238"/>
      <c r="C50" s="238"/>
      <c r="D50" s="238"/>
      <c r="E50" s="238"/>
      <c r="F50" s="238"/>
      <c r="G50" s="238"/>
      <c r="H50" s="238"/>
      <c r="I50" s="238"/>
      <c r="J50" s="238"/>
      <c r="K50" s="238"/>
    </row>
    <row r="51" spans="1:11" ht="15.5" x14ac:dyDescent="0.35">
      <c r="A51" s="238"/>
      <c r="B51" s="238"/>
      <c r="C51" s="238"/>
      <c r="D51" s="238"/>
      <c r="E51" s="238"/>
      <c r="F51" s="238"/>
      <c r="G51" s="238"/>
      <c r="H51" s="238"/>
      <c r="I51" s="238"/>
      <c r="J51" s="238"/>
      <c r="K51" s="238"/>
    </row>
  </sheetData>
  <sheetProtection sheet="1"/>
  <mergeCells count="45">
    <mergeCell ref="D36:G36"/>
    <mergeCell ref="D37:G37"/>
    <mergeCell ref="A35:H35"/>
    <mergeCell ref="A36:A39"/>
    <mergeCell ref="C33:E33"/>
    <mergeCell ref="I33:K33"/>
    <mergeCell ref="F33:H33"/>
    <mergeCell ref="A19:B19"/>
    <mergeCell ref="C27:E27"/>
    <mergeCell ref="C19:E19"/>
    <mergeCell ref="A21:B21"/>
    <mergeCell ref="C23:E23"/>
    <mergeCell ref="C29:E29"/>
    <mergeCell ref="A33:B33"/>
    <mergeCell ref="C31:E31"/>
    <mergeCell ref="A27:B27"/>
    <mergeCell ref="A29:B29"/>
    <mergeCell ref="A31:B31"/>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A17:B17"/>
    <mergeCell ref="A23:B23"/>
    <mergeCell ref="A25:B25"/>
    <mergeCell ref="A8:I8"/>
    <mergeCell ref="A11:I11"/>
    <mergeCell ref="A10:I10"/>
    <mergeCell ref="A12:I12"/>
    <mergeCell ref="C20:E20"/>
    <mergeCell ref="C21:E21"/>
    <mergeCell ref="C17:E17"/>
    <mergeCell ref="C25:E25"/>
  </mergeCells>
  <phoneticPr fontId="8" type="noConversion"/>
  <dataValidations count="4">
    <dataValidation type="list" allowBlank="1" showInputMessage="1" showErrorMessage="1" sqref="C33:E33" xr:uid="{0380DC43-5658-44D8-9BAF-F2BD9E75FCCF}">
      <formula1>"Yes, No"</formula1>
    </dataValidation>
    <dataValidation type="list" allowBlank="1" showInputMessage="1" showErrorMessage="1" sqref="C23:E23" xr:uid="{C9354B9E-1781-4D52-B31C-635FE3967F7F}">
      <formula1>"Scheme pipeline, Non-scheme pipeline"</formula1>
    </dataValidation>
    <dataValidation type="date" operator="greaterThan" allowBlank="1" showInputMessage="1" showErrorMessage="1" sqref="C25:E25" xr:uid="{D46C156D-0DBA-43F6-89FB-872961FDCD16}">
      <formula1>40179</formula1>
    </dataValidation>
    <dataValidation type="list" allowBlank="1" showInputMessage="1" showErrorMessage="1" sqref="D38 D42" xr:uid="{4ACBA373-3740-4F5D-88C4-62CF8CBF8BBF}">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&amp;C&amp;A_x000D_&amp;1#&amp;"Calibri"&amp;10&amp;K008000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0600C-102F-4C0B-8A6E-4571B2132164}">
  <sheetPr codeName="Sheet9">
    <tabColor rgb="FF17415D"/>
    <pageSetUpPr fitToPage="1"/>
  </sheetPr>
  <dimension ref="A1:H50"/>
  <sheetViews>
    <sheetView showGridLines="0" zoomScale="66" zoomScaleNormal="85" workbookViewId="0"/>
  </sheetViews>
  <sheetFormatPr defaultColWidth="9.453125" defaultRowHeight="22.5" x14ac:dyDescent="0.45"/>
  <cols>
    <col min="1" max="1" width="6.453125" style="1" customWidth="1"/>
    <col min="2" max="2" width="10.54296875" style="1" customWidth="1"/>
    <col min="3" max="3" width="26.54296875" style="1" customWidth="1"/>
    <col min="4" max="4" width="135.54296875" style="1" customWidth="1"/>
    <col min="5" max="5" width="61.453125" style="1" customWidth="1"/>
    <col min="6" max="6" width="27.54296875" style="1" customWidth="1"/>
    <col min="7" max="7" width="19.453125" style="1" bestFit="1" customWidth="1"/>
    <col min="8" max="8" width="8.54296875" style="1" customWidth="1"/>
    <col min="9" max="16384" width="9.453125" style="1"/>
  </cols>
  <sheetData>
    <row r="1" spans="1:8" ht="25" x14ac:dyDescent="0.45">
      <c r="A1" s="1" t="s">
        <v>12</v>
      </c>
      <c r="C1" s="96" t="s">
        <v>301</v>
      </c>
      <c r="D1" s="96"/>
      <c r="E1" s="96"/>
      <c r="F1" s="96"/>
      <c r="G1" s="3"/>
      <c r="H1" s="3"/>
    </row>
    <row r="2" spans="1:8" ht="20.25" customHeight="1" x14ac:dyDescent="0.45">
      <c r="B2" s="3"/>
      <c r="C2" s="96" t="str">
        <f>IF(Tradingname=0," ",Tradingname)</f>
        <v>APA Pipelines Investments (BWP) Pty Limited</v>
      </c>
      <c r="D2" s="96"/>
      <c r="E2" s="96"/>
      <c r="F2" s="96"/>
      <c r="G2" s="3"/>
    </row>
    <row r="3" spans="1:8" ht="33.75" customHeight="1" x14ac:dyDescent="0.5">
      <c r="B3" s="3"/>
      <c r="C3" s="96" t="s">
        <v>109</v>
      </c>
      <c r="D3" s="98">
        <f>IF(Yearending=0, "01/01/2000", Yearending)</f>
        <v>45838</v>
      </c>
      <c r="E3" s="96"/>
      <c r="F3" s="97"/>
    </row>
    <row r="4" spans="1:8" ht="15" customHeight="1" x14ac:dyDescent="0.45">
      <c r="B4" s="3"/>
      <c r="C4" s="3"/>
      <c r="D4" s="3"/>
      <c r="E4" s="3"/>
      <c r="F4" s="3"/>
      <c r="G4" s="3"/>
    </row>
    <row r="5" spans="1:8" s="3" customFormat="1" ht="15" customHeight="1" thickBot="1" x14ac:dyDescent="0.3"/>
    <row r="6" spans="1:8" s="3" customFormat="1" ht="15" customHeight="1" x14ac:dyDescent="0.5">
      <c r="C6" s="143"/>
      <c r="D6" s="144"/>
      <c r="E6" s="144"/>
      <c r="F6" s="145"/>
    </row>
    <row r="7" spans="1:8" s="3" customFormat="1" ht="25" x14ac:dyDescent="0.5">
      <c r="C7" s="146"/>
      <c r="D7" s="387" t="s">
        <v>198</v>
      </c>
      <c r="E7" s="387"/>
      <c r="F7" s="147"/>
    </row>
    <row r="8" spans="1:8" s="3" customFormat="1" ht="25" x14ac:dyDescent="0.5">
      <c r="C8" s="146"/>
      <c r="D8" s="148"/>
      <c r="E8" s="148"/>
      <c r="F8" s="147"/>
    </row>
    <row r="9" spans="1:8" s="3" customFormat="1" ht="25" x14ac:dyDescent="0.5">
      <c r="C9" s="146"/>
      <c r="D9" s="153" t="s">
        <v>201</v>
      </c>
      <c r="E9" s="157" t="s">
        <v>327</v>
      </c>
      <c r="F9" s="147"/>
    </row>
    <row r="10" spans="1:8" s="3" customFormat="1" ht="25" x14ac:dyDescent="0.5">
      <c r="C10" s="146"/>
      <c r="D10" s="153"/>
      <c r="E10" s="157" t="s">
        <v>326</v>
      </c>
      <c r="F10" s="147"/>
    </row>
    <row r="11" spans="1:8" s="3" customFormat="1" ht="25" x14ac:dyDescent="0.5">
      <c r="C11" s="146"/>
      <c r="D11" s="153"/>
      <c r="E11" s="157" t="s">
        <v>325</v>
      </c>
      <c r="F11" s="147"/>
    </row>
    <row r="12" spans="1:8" s="3" customFormat="1" ht="25" x14ac:dyDescent="0.5">
      <c r="C12" s="146"/>
      <c r="D12" s="148"/>
      <c r="E12" s="148"/>
      <c r="F12" s="147"/>
    </row>
    <row r="13" spans="1:8" s="3" customFormat="1" ht="25" x14ac:dyDescent="0.5">
      <c r="C13" s="146"/>
      <c r="D13" s="153" t="s">
        <v>204</v>
      </c>
      <c r="E13" s="154"/>
      <c r="F13" s="147"/>
    </row>
    <row r="14" spans="1:8" s="3" customFormat="1" ht="25" x14ac:dyDescent="0.5">
      <c r="C14" s="146"/>
      <c r="D14" s="92"/>
      <c r="E14" s="93"/>
      <c r="F14" s="147"/>
    </row>
    <row r="15" spans="1:8" s="3" customFormat="1" ht="25" x14ac:dyDescent="0.5">
      <c r="C15" s="146"/>
      <c r="D15" s="153" t="s">
        <v>203</v>
      </c>
      <c r="E15" s="156" t="s">
        <v>312</v>
      </c>
      <c r="F15" s="147"/>
    </row>
    <row r="16" spans="1:8" s="3" customFormat="1" ht="25" x14ac:dyDescent="0.5">
      <c r="C16" s="146"/>
      <c r="D16" s="153"/>
      <c r="E16" s="156" t="s">
        <v>453</v>
      </c>
      <c r="F16" s="147"/>
    </row>
    <row r="17" spans="3:6" s="3" customFormat="1" ht="25" x14ac:dyDescent="0.5">
      <c r="C17" s="146"/>
      <c r="D17" s="153"/>
      <c r="E17" s="156" t="s">
        <v>217</v>
      </c>
      <c r="F17" s="147"/>
    </row>
    <row r="18" spans="3:6" s="3" customFormat="1" ht="25" x14ac:dyDescent="0.5">
      <c r="C18" s="146"/>
      <c r="D18" s="153"/>
      <c r="E18" s="156" t="s">
        <v>218</v>
      </c>
      <c r="F18" s="147"/>
    </row>
    <row r="19" spans="3:6" s="3" customFormat="1" ht="25" x14ac:dyDescent="0.5">
      <c r="C19" s="146"/>
      <c r="D19" s="153"/>
      <c r="E19" s="156" t="s">
        <v>280</v>
      </c>
      <c r="F19" s="147"/>
    </row>
    <row r="20" spans="3:6" s="3" customFormat="1" ht="25.5" customHeight="1" x14ac:dyDescent="0.5">
      <c r="C20" s="94"/>
      <c r="D20" s="92"/>
      <c r="E20" s="93"/>
      <c r="F20" s="95"/>
    </row>
    <row r="21" spans="3:6" s="3" customFormat="1" ht="25.5" customHeight="1" x14ac:dyDescent="0.5">
      <c r="C21" s="146"/>
      <c r="D21" s="153" t="s">
        <v>441</v>
      </c>
      <c r="E21" s="156" t="s">
        <v>437</v>
      </c>
      <c r="F21" s="147"/>
    </row>
    <row r="22" spans="3:6" s="3" customFormat="1" ht="25.5" customHeight="1" x14ac:dyDescent="0.5">
      <c r="C22" s="146"/>
      <c r="D22" s="153" t="s">
        <v>443</v>
      </c>
      <c r="E22" s="156" t="s">
        <v>438</v>
      </c>
      <c r="F22" s="147"/>
    </row>
    <row r="23" spans="3:6" s="3" customFormat="1" ht="25.5" customHeight="1" x14ac:dyDescent="0.5">
      <c r="C23" s="146"/>
      <c r="D23" s="153"/>
      <c r="E23" s="156" t="s">
        <v>439</v>
      </c>
      <c r="F23" s="147"/>
    </row>
    <row r="24" spans="3:6" s="3" customFormat="1" ht="25.5" customHeight="1" x14ac:dyDescent="0.5">
      <c r="C24" s="146"/>
      <c r="D24" s="153"/>
      <c r="E24" s="156" t="s">
        <v>440</v>
      </c>
      <c r="F24" s="147"/>
    </row>
    <row r="25" spans="3:6" s="3" customFormat="1" ht="25" x14ac:dyDescent="0.5">
      <c r="C25" s="94"/>
      <c r="D25" s="92"/>
      <c r="E25" s="93"/>
      <c r="F25" s="95"/>
    </row>
    <row r="26" spans="3:6" s="3" customFormat="1" ht="25" x14ac:dyDescent="0.5">
      <c r="C26" s="146"/>
      <c r="D26" s="153" t="s">
        <v>442</v>
      </c>
      <c r="E26" s="156" t="s">
        <v>205</v>
      </c>
      <c r="F26" s="147"/>
    </row>
    <row r="27" spans="3:6" s="3" customFormat="1" ht="25" x14ac:dyDescent="0.5">
      <c r="C27" s="94"/>
      <c r="D27" s="92"/>
      <c r="E27" s="93"/>
      <c r="F27" s="95"/>
    </row>
    <row r="28" spans="3:6" s="3" customFormat="1" ht="25" x14ac:dyDescent="0.5">
      <c r="C28" s="94"/>
      <c r="D28" s="153" t="s">
        <v>281</v>
      </c>
      <c r="E28" s="155"/>
      <c r="F28" s="95"/>
    </row>
    <row r="29" spans="3:6" s="3" customFormat="1" ht="25" x14ac:dyDescent="0.5">
      <c r="C29" s="94"/>
      <c r="D29" s="92"/>
      <c r="E29" s="93"/>
      <c r="F29" s="95"/>
    </row>
    <row r="30" spans="3:6" s="3" customFormat="1" ht="25" x14ac:dyDescent="0.5">
      <c r="C30" s="146"/>
      <c r="D30" s="153" t="s">
        <v>304</v>
      </c>
      <c r="E30" s="154"/>
      <c r="F30" s="147"/>
    </row>
    <row r="31" spans="3:6" s="3" customFormat="1" ht="25.5" thickBot="1" x14ac:dyDescent="0.55000000000000004">
      <c r="C31" s="149"/>
      <c r="D31" s="150"/>
      <c r="E31" s="151"/>
      <c r="F31" s="152"/>
    </row>
    <row r="32" spans="3:6" s="3" customFormat="1" x14ac:dyDescent="0.25">
      <c r="C32" s="2"/>
      <c r="D32" s="2"/>
      <c r="E32" s="2"/>
      <c r="F32" s="2"/>
    </row>
    <row r="33" spans="2:6" s="3" customFormat="1" x14ac:dyDescent="0.45">
      <c r="B33" s="2"/>
      <c r="C33" s="2"/>
      <c r="D33" s="1"/>
      <c r="E33" s="1"/>
      <c r="F33" s="2"/>
    </row>
    <row r="34" spans="2:6" s="3" customFormat="1" x14ac:dyDescent="0.45">
      <c r="B34" s="2"/>
      <c r="C34" s="2"/>
      <c r="D34" s="1"/>
      <c r="E34" s="2"/>
    </row>
    <row r="35" spans="2:6" s="3" customFormat="1" x14ac:dyDescent="0.45">
      <c r="B35" s="2"/>
      <c r="C35" s="2"/>
      <c r="D35" s="1"/>
      <c r="E35" s="1"/>
      <c r="F35" s="2"/>
    </row>
    <row r="36" spans="2:6" s="3" customFormat="1" x14ac:dyDescent="0.45">
      <c r="B36" s="2"/>
      <c r="C36" s="2"/>
      <c r="D36" s="1"/>
      <c r="E36" s="1"/>
      <c r="F36" s="2"/>
    </row>
    <row r="37" spans="2:6" s="3" customFormat="1" x14ac:dyDescent="0.45">
      <c r="B37" s="2"/>
      <c r="C37" s="2"/>
      <c r="D37" s="1"/>
      <c r="E37" s="1"/>
      <c r="F37" s="2"/>
    </row>
    <row r="38" spans="2:6" s="3" customFormat="1" x14ac:dyDescent="0.45">
      <c r="B38" s="2"/>
      <c r="C38" s="2"/>
      <c r="D38" s="1"/>
      <c r="E38" s="1"/>
      <c r="F38" s="2"/>
    </row>
    <row r="39" spans="2:6" s="3" customFormat="1" x14ac:dyDescent="0.45">
      <c r="B39" s="2"/>
      <c r="C39" s="2"/>
      <c r="D39" s="1"/>
      <c r="E39" s="1"/>
      <c r="F39" s="2"/>
    </row>
    <row r="40" spans="2:6" s="3" customFormat="1" x14ac:dyDescent="0.45">
      <c r="B40" s="2"/>
      <c r="C40" s="2"/>
      <c r="D40" s="1"/>
      <c r="E40" s="1"/>
      <c r="F40" s="2"/>
    </row>
    <row r="41" spans="2:6" s="3" customFormat="1" x14ac:dyDescent="0.45">
      <c r="B41" s="2"/>
      <c r="C41" s="2"/>
      <c r="D41" s="1"/>
      <c r="E41" s="1"/>
      <c r="F41" s="2"/>
    </row>
    <row r="42" spans="2:6" s="3" customFormat="1" x14ac:dyDescent="0.45">
      <c r="B42" s="2"/>
      <c r="C42" s="2"/>
      <c r="D42" s="1"/>
      <c r="E42" s="1"/>
      <c r="F42" s="2"/>
    </row>
    <row r="43" spans="2:6" s="3" customFormat="1" x14ac:dyDescent="0.45">
      <c r="B43" s="2"/>
      <c r="C43" s="2"/>
      <c r="D43" s="1"/>
      <c r="E43" s="1"/>
      <c r="F43" s="2"/>
    </row>
    <row r="44" spans="2:6" s="3" customFormat="1" x14ac:dyDescent="0.45">
      <c r="B44" s="2"/>
      <c r="C44" s="2"/>
      <c r="D44" s="1"/>
      <c r="E44" s="1"/>
      <c r="F44" s="2"/>
    </row>
    <row r="45" spans="2:6" s="3" customFormat="1" x14ac:dyDescent="0.45">
      <c r="B45" s="2"/>
      <c r="C45" s="2"/>
      <c r="D45" s="1"/>
      <c r="E45" s="1"/>
      <c r="F45" s="2"/>
    </row>
    <row r="46" spans="2:6" s="3" customFormat="1" x14ac:dyDescent="0.45">
      <c r="B46" s="2"/>
      <c r="C46" s="2"/>
      <c r="D46" s="1"/>
      <c r="E46" s="1"/>
      <c r="F46" s="2"/>
    </row>
    <row r="47" spans="2:6" s="3" customFormat="1" x14ac:dyDescent="0.45">
      <c r="B47" s="2"/>
      <c r="C47" s="1"/>
      <c r="D47" s="1"/>
      <c r="E47" s="1"/>
      <c r="F47" s="1"/>
    </row>
    <row r="48" spans="2:6" s="3" customFormat="1" x14ac:dyDescent="0.45">
      <c r="B48" s="2"/>
      <c r="C48" s="1"/>
      <c r="D48" s="1"/>
      <c r="E48" s="1"/>
      <c r="F48" s="1"/>
    </row>
    <row r="49" spans="2:6" s="3" customFormat="1" x14ac:dyDescent="0.45">
      <c r="B49" s="2"/>
      <c r="C49" s="1"/>
      <c r="D49" s="1"/>
      <c r="E49" s="1"/>
      <c r="F49" s="1"/>
    </row>
    <row r="50" spans="2:6" s="3" customFormat="1" x14ac:dyDescent="0.45">
      <c r="B50" s="2"/>
      <c r="C50" s="1"/>
      <c r="D50" s="1"/>
      <c r="E50" s="1"/>
      <c r="F50" s="1"/>
    </row>
  </sheetData>
  <sheetProtection sheet="1"/>
  <mergeCells count="1">
    <mergeCell ref="D7:E7"/>
  </mergeCells>
  <phoneticPr fontId="30" type="noConversion"/>
  <hyperlinks>
    <hyperlink ref="D13" location="'1. Pipeline information'!A1" display="1. PIPELINE INFORMATION" xr:uid="{8B4ED3C3-8069-4DE2-A1BD-7563FB74F767}"/>
    <hyperlink ref="E26" location="'4.1 Pipelines capex'!A1" display="4.1 Pipelines capex" xr:uid="{5A0B11B0-2201-4694-B92E-E965C0D835EC}"/>
    <hyperlink ref="D28" location="'5. Historical demand'!A1" display="5. Historical demand" xr:uid="{79CF548D-EB14-41FA-8F1A-ABD840A2F14A}"/>
    <hyperlink ref="D30" location="'6. Pricing template'!A1" display="6. PRICING TEMPLATE" xr:uid="{407A1BC2-EDE3-4691-995E-7BB4D73E2B01}"/>
    <hyperlink ref="D15" location="'2. Revenue and expenses'!A1" display="2. REVENUE AND EXPENSES" xr:uid="{81DC0765-C579-4BC6-B4A8-F6ACEE5BBEC1}"/>
    <hyperlink ref="E9" location="'Financial summary'!A1" display="Financial summary" xr:uid="{7CCEC8B5-6C32-4A4E-B258-4924B9345A1F}"/>
    <hyperlink ref="E10" location="'Data visualisation'!A1" display="Data visualisation" xr:uid="{4F8F1ED6-1CB3-4A2A-A915-686AA045EA70}"/>
    <hyperlink ref="E11" location="'Pricing benchmarks summary'!A1" display="Pricing benchmarks summary" xr:uid="{962E000A-CF87-4AE4-8F95-8087D0A38FF6}"/>
    <hyperlink ref="E15" location="'2.1 Profit &amp; Loss by component'!A1" display="2.1 Profit &amp; Loss by component" xr:uid="{4FCEFB97-5803-4D28-91B5-55AD43253D54}"/>
    <hyperlink ref="E17" location="'2.3 Revenue contributions '!A1" display="2.3 Revenue contributions " xr:uid="{597E4788-4D55-4EDB-A3B4-F5647278F7B1}"/>
    <hyperlink ref="E18" location="'2.4 Indirect revenue'!A1" display="2.4 Indirect revenue" xr:uid="{71AEFD82-D3EC-4E3B-903E-E4861AA8295A}"/>
    <hyperlink ref="E19" location="'2.5 Shared expenses'!A1" display="2.5 Shared expenses" xr:uid="{82982CD7-75E7-40DE-9F20-7CAD9489CE06}"/>
    <hyperlink ref="D26" location="'4. Recovered Capital'!A1" display="4. ASSET - RECOVERED CAPITAL METHOD (RCM)" xr:uid="{F8E5BB35-4C9D-483C-84A9-04D6C7475A33}"/>
    <hyperlink ref="D21" location="'3.1 Depreciated Book Value'!Print_Area" display="3.1 ASSET VALUE - DEPRICIATED BOOK VALUE METHOD (DBVM)" xr:uid="{12E879BB-DAAC-460D-B53E-C894470D0F1D}"/>
    <hyperlink ref="D22" location="'3.2 Regulatory Asset Base'!Print_Area" display="3.2 ASSET VALUE - REGULATORY ASSET BASE (RAB)" xr:uid="{74D239DD-991D-4085-8A9C-AFB502017796}"/>
    <hyperlink ref="E21" location="'3.3 Asset useful life'!Print_Area" display="3.3 Asset useful life" xr:uid="{22A53315-C5D7-4C61-ADDF-BE49E0BC3182}"/>
    <hyperlink ref="E22" location="'3.4 Asset impairment'!Print_Area" display="3.4 Asset impairment" xr:uid="{7259C17D-AA90-41B8-8B42-8BA9142930DE}"/>
    <hyperlink ref="E23" location="'3.5 Depreciation amortisation'!Print_Area" display="3.5 Depreciation amortisation" xr:uid="{B0E8D535-5304-4B03-ADFC-D28612F9885E}"/>
    <hyperlink ref="E24" location="'3.6 Shared supporting assets'!Print_Area" display="3.6 Shared supporting assets" xr:uid="{AFAF2529-6F73-4718-9857-55F76A29CE07}"/>
    <hyperlink ref="E16" location="'2.2 Allocation to services'!Print_Area" display="2.2 Allocation to pipeline services" xr:uid="{99A30292-A121-4A48-A523-DDE1B9E1D1B0}"/>
  </hyperlinks>
  <pageMargins left="0.25" right="0.25" top="0.75" bottom="0.75" header="0.3" footer="0.3"/>
  <pageSetup paperSize="9" scale="10" orientation="portrait" r:id="rId1"/>
  <headerFooter alignWithMargins="0">
    <oddFooter>&amp;L&amp;D&amp;C&amp; Template: &amp;A
&amp;F_x000D_&amp;1#&amp;"Calibri"&amp;10&amp;K008000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54B84-4F7A-4D6B-9764-F771EC19AB9E}">
  <sheetPr codeName="Sheet4">
    <tabColor rgb="FF17415D"/>
  </sheetPr>
  <dimension ref="A1:G48"/>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5" x14ac:dyDescent="0.25"/>
  <cols>
    <col min="1" max="1" width="11.54296875" customWidth="1"/>
    <col min="2" max="2" width="69.453125" customWidth="1"/>
    <col min="3" max="3" width="38.54296875" customWidth="1"/>
    <col min="4" max="4" width="40.453125" customWidth="1"/>
    <col min="5" max="5" width="55" customWidth="1"/>
    <col min="6" max="6" width="39.54296875" customWidth="1"/>
    <col min="7" max="7" width="38.453125" customWidth="1"/>
    <col min="8" max="8" width="37.453125" customWidth="1"/>
  </cols>
  <sheetData>
    <row r="1" spans="1:7" ht="20" x14ac:dyDescent="0.25">
      <c r="A1" s="4"/>
      <c r="B1" s="135" t="s">
        <v>302</v>
      </c>
      <c r="C1" s="135"/>
    </row>
    <row r="2" spans="1:7" ht="20.25" customHeight="1" x14ac:dyDescent="0.25">
      <c r="A2" s="4"/>
      <c r="B2" s="135" t="str">
        <f>IF(Tradingname=0," ",Tradingname)</f>
        <v>APA Pipelines Investments (BWP) Pty Limited</v>
      </c>
      <c r="C2" s="135"/>
    </row>
    <row r="3" spans="1:7" ht="20" x14ac:dyDescent="0.4">
      <c r="B3" s="135" t="s">
        <v>109</v>
      </c>
      <c r="C3" s="99">
        <f>IF(Yearending=0, "01/01/2000", Yearending)</f>
        <v>45838</v>
      </c>
    </row>
    <row r="4" spans="1:7" ht="20" x14ac:dyDescent="0.25">
      <c r="B4" s="91" t="s">
        <v>327</v>
      </c>
      <c r="C4" s="91"/>
      <c r="F4" s="6"/>
      <c r="G4" s="6"/>
    </row>
    <row r="5" spans="1:7" x14ac:dyDescent="0.25">
      <c r="C5" s="6"/>
    </row>
    <row r="6" spans="1:7" ht="15.5" x14ac:dyDescent="0.35">
      <c r="B6" s="106" t="s">
        <v>457</v>
      </c>
      <c r="C6" s="105"/>
    </row>
    <row r="9" spans="1:7" ht="13" x14ac:dyDescent="0.25">
      <c r="B9" s="21" t="s">
        <v>460</v>
      </c>
      <c r="C9" s="21" t="s">
        <v>18</v>
      </c>
    </row>
    <row r="10" spans="1:7" x14ac:dyDescent="0.25">
      <c r="B10" s="119" t="s">
        <v>32</v>
      </c>
      <c r="C10" s="121">
        <f>'2.1 Profit &amp; Loss by component'!$F$18</f>
        <v>21046651.828192521</v>
      </c>
    </row>
    <row r="11" spans="1:7" x14ac:dyDescent="0.25">
      <c r="B11" s="119" t="s">
        <v>38</v>
      </c>
      <c r="C11" s="121">
        <f>'2.1 Profit &amp; Loss by component'!$F$21</f>
        <v>0</v>
      </c>
    </row>
    <row r="12" spans="1:7" ht="13" x14ac:dyDescent="0.3">
      <c r="B12" s="120" t="s">
        <v>15</v>
      </c>
      <c r="C12" s="121">
        <f>'2.1 Profit &amp; Loss by component'!$F$22</f>
        <v>21046651.828192521</v>
      </c>
    </row>
    <row r="13" spans="1:7" x14ac:dyDescent="0.25">
      <c r="B13" s="19" t="s">
        <v>253</v>
      </c>
      <c r="C13" s="121">
        <f>'2.1 Profit &amp; Loss by component'!$F$32</f>
        <v>5980220.2800000003</v>
      </c>
    </row>
    <row r="14" spans="1:7" x14ac:dyDescent="0.25">
      <c r="B14" s="20" t="s">
        <v>272</v>
      </c>
      <c r="C14" s="121">
        <f>'2.1 Profit &amp; Loss by component'!$F$43</f>
        <v>2879503.8596534212</v>
      </c>
    </row>
    <row r="15" spans="1:7" ht="13" x14ac:dyDescent="0.3">
      <c r="B15" s="120" t="s">
        <v>257</v>
      </c>
      <c r="C15" s="121">
        <f>'2.1 Profit &amp; Loss by component'!$F$44</f>
        <v>8859724.1396534219</v>
      </c>
    </row>
    <row r="16" spans="1:7" ht="13" x14ac:dyDescent="0.3">
      <c r="B16" s="120" t="s">
        <v>465</v>
      </c>
      <c r="C16" s="121">
        <f>'2.1 Profit &amp; Loss by component'!$F$45</f>
        <v>12186927.688539099</v>
      </c>
    </row>
    <row r="17" spans="2:5" x14ac:dyDescent="0.25">
      <c r="B17" s="7"/>
      <c r="C17" s="7"/>
      <c r="D17" s="7"/>
      <c r="E17" s="7"/>
    </row>
    <row r="19" spans="2:5" ht="13" x14ac:dyDescent="0.25">
      <c r="B19" s="21" t="s">
        <v>428</v>
      </c>
      <c r="C19" s="21" t="s">
        <v>461</v>
      </c>
    </row>
    <row r="20" spans="2:5" ht="15.5" x14ac:dyDescent="0.25">
      <c r="B20" s="82" t="s">
        <v>148</v>
      </c>
      <c r="C20" s="8">
        <f>'3.1 Depreciated Book Value'!$D$125</f>
        <v>51716587.297894113</v>
      </c>
    </row>
    <row r="21" spans="2:5" ht="15.5" x14ac:dyDescent="0.25">
      <c r="B21" s="82" t="s">
        <v>310</v>
      </c>
      <c r="C21" s="83">
        <f>IFERROR(C16/C20,0)</f>
        <v>0.23564833499822499</v>
      </c>
    </row>
    <row r="22" spans="2:5" ht="13" x14ac:dyDescent="0.25">
      <c r="B22" s="21" t="s">
        <v>429</v>
      </c>
      <c r="C22" s="21" t="s">
        <v>461</v>
      </c>
    </row>
    <row r="23" spans="2:5" ht="15.5" x14ac:dyDescent="0.25">
      <c r="B23" s="82" t="s">
        <v>148</v>
      </c>
      <c r="C23" s="8">
        <f>'3.2 Regulatory Asset Base'!$H$95</f>
        <v>0</v>
      </c>
    </row>
    <row r="24" spans="2:5" ht="15.5" x14ac:dyDescent="0.25">
      <c r="B24" s="82" t="s">
        <v>310</v>
      </c>
      <c r="C24" s="83">
        <f>IFERROR(C16/C23,0)</f>
        <v>0</v>
      </c>
    </row>
    <row r="25" spans="2:5" ht="13" x14ac:dyDescent="0.25">
      <c r="B25" s="21" t="s">
        <v>309</v>
      </c>
      <c r="C25" s="21" t="s">
        <v>461</v>
      </c>
    </row>
    <row r="26" spans="2:5" ht="15.5" x14ac:dyDescent="0.25">
      <c r="B26" s="82" t="s">
        <v>64</v>
      </c>
      <c r="C26" s="121">
        <f>'4. Recovered Capital'!$E$29</f>
        <v>98527113.491911843</v>
      </c>
    </row>
    <row r="27" spans="2:5" ht="15.5" x14ac:dyDescent="0.25">
      <c r="B27" s="82" t="s">
        <v>310</v>
      </c>
      <c r="C27" s="83">
        <f>IFERROR(C16/INDEX('4. Recovered Capital'!$F$12:$BH$39,27,MATCH(VALUE(RIGHT(TEXT(C3,"dd/mm/yyyy"),4)),'4. Recovered Capital'!$F$12:$BH$12,0)),0)</f>
        <v>0.36676318953128456</v>
      </c>
    </row>
    <row r="41" ht="27" customHeight="1" x14ac:dyDescent="0.25"/>
    <row r="48" ht="32.15" customHeight="1" x14ac:dyDescent="0.25"/>
  </sheetData>
  <sheetProtection sheet="1"/>
  <pageMargins left="0.7" right="0.7" top="0.75" bottom="0.75" header="0.3" footer="0.3"/>
  <pageSetup paperSize="9" orientation="portrait" r:id="rId1"/>
  <headerFooter>
    <oddFooter>&amp;C_x000D_&amp;1#&amp;"Calibri"&amp;10&amp;K008000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CD481-F697-4CF9-ADE0-93C9A9556298}">
  <sheetPr codeName="Sheet18">
    <tabColor rgb="FF17415D"/>
  </sheetPr>
  <dimension ref="B1:E60"/>
  <sheetViews>
    <sheetView zoomScale="57" zoomScaleNormal="70"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453125" style="205" customWidth="1"/>
    <col min="2" max="2" width="21" style="205" customWidth="1"/>
    <col min="3" max="5" width="42.453125" style="205" customWidth="1"/>
    <col min="6" max="6" width="34.54296875" style="205" customWidth="1"/>
    <col min="7" max="7" width="44" style="205" customWidth="1"/>
    <col min="8" max="8" width="9.453125" style="205"/>
    <col min="9" max="9" width="70.54296875" style="205" customWidth="1"/>
    <col min="10" max="10" width="108.54296875" style="205" bestFit="1" customWidth="1"/>
    <col min="11" max="16384" width="9.453125" style="205"/>
  </cols>
  <sheetData>
    <row r="1" spans="2:5" ht="20.25" customHeight="1" x14ac:dyDescent="0.4">
      <c r="B1" s="135" t="s">
        <v>302</v>
      </c>
      <c r="C1" s="135"/>
      <c r="D1" s="204"/>
      <c r="E1" s="204"/>
    </row>
    <row r="2" spans="2:5" ht="20" x14ac:dyDescent="0.4">
      <c r="B2" s="135" t="str">
        <f>IF(Tradingname=0," ",Tradingname)</f>
        <v>APA Pipelines Investments (BWP) Pty Limited</v>
      </c>
      <c r="C2" s="135"/>
      <c r="D2" s="206"/>
    </row>
    <row r="3" spans="2:5" ht="23.15" customHeight="1" x14ac:dyDescent="0.4">
      <c r="B3" s="135" t="s">
        <v>109</v>
      </c>
      <c r="C3" s="99">
        <f>IF(Yearending=0, "01/01/2000", Yearending)</f>
        <v>45838</v>
      </c>
    </row>
    <row r="4" spans="2:5" ht="20" x14ac:dyDescent="0.25">
      <c r="B4" s="91" t="s">
        <v>326</v>
      </c>
      <c r="C4" s="91"/>
    </row>
    <row r="7" spans="2:5" ht="15.5" x14ac:dyDescent="0.35">
      <c r="B7" s="207" t="s">
        <v>328</v>
      </c>
    </row>
    <row r="59" spans="2:5" ht="15.5" x14ac:dyDescent="0.35">
      <c r="B59" s="207" t="s">
        <v>187</v>
      </c>
      <c r="C59" s="208"/>
      <c r="D59" s="208"/>
      <c r="E59" s="208"/>
    </row>
    <row r="60" spans="2:5" ht="15.5" x14ac:dyDescent="0.35">
      <c r="B60" s="207"/>
      <c r="C60" s="208"/>
      <c r="D60" s="208"/>
      <c r="E60" s="208"/>
    </row>
  </sheetData>
  <sheetProtection sheet="1" objects="1" scenarios="1"/>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A5E0-14EB-46E1-AE86-A29B2E6C3A02}">
  <sheetPr codeName="Sheet19">
    <tabColor rgb="FF17415D"/>
  </sheetPr>
  <dimension ref="A1:G42"/>
  <sheetViews>
    <sheetView showGridLines="0" zoomScale="97" zoomScaleNormal="55" workbookViewId="0">
      <pane xSplit="1" ySplit="6" topLeftCell="B13" activePane="bottomRight" state="frozen"/>
      <selection pane="topRight" activeCell="B1" sqref="B1"/>
      <selection pane="bottomLeft" activeCell="A7" sqref="A7"/>
      <selection pane="bottomRight"/>
    </sheetView>
  </sheetViews>
  <sheetFormatPr defaultRowHeight="12.5" x14ac:dyDescent="0.25"/>
  <cols>
    <col min="1" max="1" width="11.54296875" customWidth="1"/>
    <col min="2" max="2" width="60.453125" customWidth="1"/>
    <col min="3" max="3" width="38.54296875" customWidth="1"/>
    <col min="4" max="4" width="40.453125" customWidth="1"/>
    <col min="5" max="5" width="55" customWidth="1"/>
    <col min="6" max="6" width="39.54296875" customWidth="1"/>
    <col min="7" max="7" width="38.453125" customWidth="1"/>
    <col min="8" max="8" width="37.453125" customWidth="1"/>
  </cols>
  <sheetData>
    <row r="1" spans="1:7" ht="20" x14ac:dyDescent="0.25">
      <c r="A1" s="4"/>
      <c r="B1" s="135" t="s">
        <v>302</v>
      </c>
      <c r="C1" s="135"/>
    </row>
    <row r="2" spans="1:7" ht="20.25" customHeight="1" x14ac:dyDescent="0.25">
      <c r="A2" s="4"/>
      <c r="B2" s="135" t="str">
        <f>IF(Tradingname=0," ",Tradingname)</f>
        <v>APA Pipelines Investments (BWP) Pty Limited</v>
      </c>
      <c r="C2" s="135"/>
    </row>
    <row r="3" spans="1:7" ht="20" x14ac:dyDescent="0.4">
      <c r="B3" s="135" t="s">
        <v>109</v>
      </c>
      <c r="C3" s="99">
        <f>IF(Yearending=0, "01/01/2000", Yearending)</f>
        <v>45838</v>
      </c>
    </row>
    <row r="4" spans="1:7" ht="20" x14ac:dyDescent="0.25">
      <c r="B4" s="91" t="s">
        <v>325</v>
      </c>
      <c r="C4" s="91"/>
      <c r="F4" s="6"/>
      <c r="G4" s="6"/>
    </row>
    <row r="5" spans="1:7" x14ac:dyDescent="0.25">
      <c r="C5" s="6"/>
    </row>
    <row r="6" spans="1:7" ht="15.5" x14ac:dyDescent="0.35">
      <c r="B6" s="106" t="s">
        <v>457</v>
      </c>
      <c r="C6" s="105"/>
    </row>
    <row r="9" spans="1:7" ht="13" x14ac:dyDescent="0.25">
      <c r="B9" s="21" t="s">
        <v>202</v>
      </c>
      <c r="C9" s="388" t="s">
        <v>321</v>
      </c>
      <c r="D9" s="389"/>
      <c r="E9" s="390" t="s">
        <v>317</v>
      </c>
    </row>
    <row r="10" spans="1:7" x14ac:dyDescent="0.25">
      <c r="B10" s="112"/>
      <c r="C10" s="109" t="s">
        <v>220</v>
      </c>
      <c r="D10" s="109" t="s">
        <v>221</v>
      </c>
      <c r="E10" s="391"/>
    </row>
    <row r="11" spans="1:7" x14ac:dyDescent="0.25">
      <c r="B11" s="112" t="s">
        <v>360</v>
      </c>
      <c r="C11" s="138">
        <f>IFERROR('6. Pricing template'!$G37,)</f>
        <v>9.2184374107184247E-2</v>
      </c>
      <c r="D11" s="138">
        <f>IFERROR('6. Pricing template'!$G38,)</f>
        <v>0.18402017303860135</v>
      </c>
      <c r="E11" s="139" t="s">
        <v>322</v>
      </c>
    </row>
    <row r="12" spans="1:7" ht="12.75" customHeight="1" x14ac:dyDescent="0.25">
      <c r="B12" s="112" t="s">
        <v>450</v>
      </c>
      <c r="C12" s="138">
        <f>IFERROR('6. Pricing template'!$G39,)</f>
        <v>0</v>
      </c>
      <c r="D12" s="138">
        <f>IFERROR('6. Pricing template'!$G40,)</f>
        <v>0</v>
      </c>
      <c r="E12" s="139" t="s">
        <v>322</v>
      </c>
    </row>
    <row r="13" spans="1:7" x14ac:dyDescent="0.25">
      <c r="B13" s="112" t="s">
        <v>362</v>
      </c>
      <c r="C13" s="138">
        <f>IFERROR('6. Pricing template'!$G41,)</f>
        <v>0</v>
      </c>
      <c r="D13" s="138">
        <f>IFERROR('6. Pricing template'!$G42,)</f>
        <v>0</v>
      </c>
      <c r="E13" s="139" t="s">
        <v>322</v>
      </c>
    </row>
    <row r="14" spans="1:7" x14ac:dyDescent="0.25">
      <c r="B14" s="112" t="s">
        <v>363</v>
      </c>
      <c r="C14" s="138">
        <f>IFERROR('6. Pricing template'!$G43,)</f>
        <v>0</v>
      </c>
      <c r="D14" s="138">
        <f>IFERROR('6. Pricing template'!$G44,)</f>
        <v>0</v>
      </c>
      <c r="E14" s="139" t="s">
        <v>322</v>
      </c>
    </row>
    <row r="15" spans="1:7" x14ac:dyDescent="0.25">
      <c r="B15" s="194" t="s">
        <v>364</v>
      </c>
      <c r="C15" s="138">
        <f>IFERROR('6. Pricing template'!$G45,)</f>
        <v>0</v>
      </c>
      <c r="D15" s="138">
        <f>IFERROR('6. Pricing template'!$G46,)</f>
        <v>0</v>
      </c>
      <c r="E15" s="139" t="s">
        <v>322</v>
      </c>
    </row>
    <row r="16" spans="1:7" ht="12.75" customHeight="1" x14ac:dyDescent="0.25">
      <c r="B16" s="112" t="s">
        <v>451</v>
      </c>
      <c r="C16" s="138">
        <f>IFERROR('6. Pricing template'!$G47,)</f>
        <v>0</v>
      </c>
      <c r="D16" s="138">
        <f>IFERROR('6. Pricing template'!$G48,)</f>
        <v>0</v>
      </c>
      <c r="E16" s="139" t="s">
        <v>322</v>
      </c>
    </row>
    <row r="17" spans="2:5" x14ac:dyDescent="0.25">
      <c r="B17" s="112" t="s">
        <v>366</v>
      </c>
      <c r="C17" s="138">
        <f>IFERROR('6. Pricing template'!$G49,)</f>
        <v>0</v>
      </c>
      <c r="D17" s="138">
        <f>IFERROR('6. Pricing template'!$G50,)</f>
        <v>0</v>
      </c>
      <c r="E17" s="139" t="s">
        <v>322</v>
      </c>
    </row>
    <row r="18" spans="2:5" x14ac:dyDescent="0.25">
      <c r="B18" s="112" t="s">
        <v>367</v>
      </c>
      <c r="C18" s="138">
        <f>IFERROR('6. Pricing template'!$G51,)</f>
        <v>0</v>
      </c>
      <c r="D18" s="138">
        <f>IFERROR('6. Pricing template'!$G52,)</f>
        <v>0</v>
      </c>
      <c r="E18" s="139" t="s">
        <v>323</v>
      </c>
    </row>
    <row r="19" spans="2:5" x14ac:dyDescent="0.25">
      <c r="B19" s="112" t="s">
        <v>368</v>
      </c>
      <c r="C19" s="138">
        <f>IFERROR('6. Pricing template'!$G53,)</f>
        <v>0</v>
      </c>
      <c r="D19" s="138">
        <f>IFERROR('6. Pricing template'!$G54,)</f>
        <v>0</v>
      </c>
      <c r="E19" s="139" t="s">
        <v>324</v>
      </c>
    </row>
    <row r="20" spans="2:5" x14ac:dyDescent="0.25">
      <c r="B20" s="112" t="s">
        <v>311</v>
      </c>
      <c r="C20" s="138">
        <f>IFERROR('6. Pricing template'!$G55,)</f>
        <v>0</v>
      </c>
      <c r="D20" s="138">
        <f>IFERROR('6. Pricing template'!$G56,)</f>
        <v>0</v>
      </c>
      <c r="E20" s="139"/>
    </row>
    <row r="35" ht="27" customHeight="1" x14ac:dyDescent="0.25"/>
    <row r="42" ht="32.15" customHeight="1" x14ac:dyDescent="0.25"/>
  </sheetData>
  <sheetProtection sheet="1" objects="1" scenarios="1"/>
  <mergeCells count="2">
    <mergeCell ref="C9:D9"/>
    <mergeCell ref="E9:E10"/>
  </mergeCells>
  <pageMargins left="0.7" right="0.7" top="0.75" bottom="0.75" header="0.3" footer="0.3"/>
  <pageSetup paperSize="9" orientation="portrait" r:id="rId1"/>
  <headerFooter>
    <oddFooter>&amp;C_x000D_&amp;1#&amp;"Calibri"&amp;10&amp;K008000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7B240-A058-463A-B857-7B434A3F2ED7}">
  <sheetPr codeName="Sheet5">
    <tabColor rgb="FF17415D"/>
  </sheetPr>
  <dimension ref="B1:H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4" width="42.54296875" style="4" customWidth="1"/>
    <col min="5" max="5" width="10.54296875" style="4" customWidth="1"/>
    <col min="6" max="8" width="19.54296875" style="4" customWidth="1"/>
    <col min="9" max="9" width="18.453125" style="4" customWidth="1"/>
    <col min="10" max="16384" width="9.453125" style="4"/>
  </cols>
  <sheetData>
    <row r="1" spans="2:8" ht="23.15" customHeight="1" x14ac:dyDescent="0.7">
      <c r="B1" s="135" t="s">
        <v>302</v>
      </c>
      <c r="C1" s="135"/>
      <c r="D1" s="243"/>
    </row>
    <row r="2" spans="2:8" ht="20" x14ac:dyDescent="0.25">
      <c r="B2" s="135" t="str">
        <f>IF(Tradingname=0," ",Tradingname)</f>
        <v>APA Pipelines Investments (BWP) Pty Limited</v>
      </c>
      <c r="C2" s="135"/>
    </row>
    <row r="3" spans="2:8" ht="20" x14ac:dyDescent="0.4">
      <c r="B3" s="135" t="s">
        <v>109</v>
      </c>
      <c r="C3" s="99">
        <f>IF(Yearending=0, "01/01/2000", Yearending)</f>
        <v>45838</v>
      </c>
    </row>
    <row r="4" spans="2:8" ht="20" x14ac:dyDescent="0.25">
      <c r="B4" s="91" t="s">
        <v>65</v>
      </c>
      <c r="C4" s="91"/>
    </row>
    <row r="5" spans="2:8" ht="20" x14ac:dyDescent="0.4">
      <c r="B5" s="244"/>
    </row>
    <row r="6" spans="2:8" ht="20" x14ac:dyDescent="0.4">
      <c r="B6" s="244"/>
    </row>
    <row r="7" spans="2:8" ht="15.5" x14ac:dyDescent="0.35">
      <c r="B7" s="214" t="s">
        <v>111</v>
      </c>
    </row>
    <row r="8" spans="2:8" ht="13" x14ac:dyDescent="0.3">
      <c r="B8" s="215"/>
      <c r="C8" s="216"/>
      <c r="D8" s="216"/>
      <c r="E8" s="245"/>
      <c r="F8" s="246"/>
      <c r="G8" s="247"/>
      <c r="H8" s="247"/>
    </row>
    <row r="9" spans="2:8" ht="14.15" customHeight="1" x14ac:dyDescent="0.25">
      <c r="B9" s="22" t="s">
        <v>23</v>
      </c>
      <c r="C9" s="122" t="s">
        <v>482</v>
      </c>
    </row>
    <row r="10" spans="2:8" ht="14.15" customHeight="1" x14ac:dyDescent="0.25">
      <c r="B10" s="22" t="s">
        <v>288</v>
      </c>
      <c r="C10" s="123">
        <v>112</v>
      </c>
    </row>
    <row r="11" spans="2:8" ht="14.15" customHeight="1" x14ac:dyDescent="0.25">
      <c r="B11" s="22" t="s">
        <v>24</v>
      </c>
      <c r="C11" s="69">
        <v>4</v>
      </c>
    </row>
    <row r="12" spans="2:8" ht="14.15" customHeight="1" x14ac:dyDescent="0.25">
      <c r="B12" s="22" t="s">
        <v>25</v>
      </c>
      <c r="C12" s="69" t="s">
        <v>483</v>
      </c>
    </row>
    <row r="13" spans="2:8" ht="14.15" customHeight="1" x14ac:dyDescent="0.25">
      <c r="B13" s="22" t="s">
        <v>352</v>
      </c>
      <c r="C13" s="140" t="s">
        <v>516</v>
      </c>
    </row>
    <row r="14" spans="2:8" ht="14.15" customHeight="1" x14ac:dyDescent="0.25">
      <c r="B14" s="22" t="s">
        <v>85</v>
      </c>
      <c r="C14" s="307">
        <v>39871</v>
      </c>
    </row>
    <row r="15" spans="2:8" ht="14.15" customHeight="1" x14ac:dyDescent="0.25">
      <c r="B15" s="22" t="str">
        <f>IF(Cover!C23="Scheme pipeline", "Date opening RAB established","")</f>
        <v/>
      </c>
      <c r="C15" s="141"/>
    </row>
    <row r="16" spans="2:8" ht="14.15" customHeight="1" x14ac:dyDescent="0.25">
      <c r="B16" s="22" t="str">
        <f>IF(Cover!C23="Scheme pipeline", "Open RAB value on date established","")</f>
        <v/>
      </c>
      <c r="C16" s="68"/>
    </row>
    <row r="18" spans="2:4" ht="15.5" x14ac:dyDescent="0.35">
      <c r="B18" s="214" t="s">
        <v>112</v>
      </c>
    </row>
    <row r="20" spans="2:4" ht="51" customHeight="1" x14ac:dyDescent="0.25">
      <c r="B20" s="136" t="s">
        <v>26</v>
      </c>
      <c r="C20" s="107" t="s">
        <v>78</v>
      </c>
      <c r="D20" s="107" t="s">
        <v>31</v>
      </c>
    </row>
    <row r="21" spans="2:4" ht="14" x14ac:dyDescent="0.3">
      <c r="B21" s="24" t="s">
        <v>27</v>
      </c>
      <c r="C21" s="248"/>
      <c r="D21" s="248"/>
    </row>
    <row r="22" spans="2:4" x14ac:dyDescent="0.25">
      <c r="B22" s="25" t="s">
        <v>360</v>
      </c>
      <c r="C22" s="64" t="s">
        <v>501</v>
      </c>
      <c r="D22" s="64" t="s">
        <v>486</v>
      </c>
    </row>
    <row r="23" spans="2:4" x14ac:dyDescent="0.25">
      <c r="B23" s="25" t="s">
        <v>361</v>
      </c>
      <c r="C23" s="64" t="s">
        <v>486</v>
      </c>
      <c r="D23" s="64" t="s">
        <v>486</v>
      </c>
    </row>
    <row r="24" spans="2:4" ht="25" x14ac:dyDescent="0.25">
      <c r="B24" s="25" t="s">
        <v>362</v>
      </c>
      <c r="C24" s="64" t="s">
        <v>501</v>
      </c>
      <c r="D24" s="64" t="s">
        <v>486</v>
      </c>
    </row>
    <row r="25" spans="2:4" ht="14" x14ac:dyDescent="0.3">
      <c r="B25" s="26" t="s">
        <v>133</v>
      </c>
      <c r="C25" s="248"/>
      <c r="D25" s="248"/>
    </row>
    <row r="26" spans="2:4" x14ac:dyDescent="0.25">
      <c r="B26" s="27" t="s">
        <v>363</v>
      </c>
      <c r="C26" s="64" t="s">
        <v>486</v>
      </c>
      <c r="D26" s="64" t="s">
        <v>486</v>
      </c>
    </row>
    <row r="27" spans="2:4" ht="25" x14ac:dyDescent="0.25">
      <c r="B27" s="28" t="s">
        <v>364</v>
      </c>
      <c r="C27" s="64" t="s">
        <v>486</v>
      </c>
      <c r="D27" s="64" t="s">
        <v>486</v>
      </c>
    </row>
    <row r="28" spans="2:4" ht="14" x14ac:dyDescent="0.3">
      <c r="B28" s="26" t="s">
        <v>28</v>
      </c>
      <c r="C28" s="248"/>
      <c r="D28" s="248"/>
    </row>
    <row r="29" spans="2:4" x14ac:dyDescent="0.25">
      <c r="B29" s="25" t="s">
        <v>365</v>
      </c>
      <c r="C29" s="64" t="s">
        <v>486</v>
      </c>
      <c r="D29" s="64" t="s">
        <v>486</v>
      </c>
    </row>
    <row r="30" spans="2:4" x14ac:dyDescent="0.25">
      <c r="B30" s="25" t="s">
        <v>366</v>
      </c>
      <c r="C30" s="64" t="s">
        <v>486</v>
      </c>
      <c r="D30" s="64" t="s">
        <v>486</v>
      </c>
    </row>
    <row r="31" spans="2:4" ht="14" x14ac:dyDescent="0.3">
      <c r="B31" s="24" t="s">
        <v>29</v>
      </c>
      <c r="C31" s="248"/>
      <c r="D31" s="248"/>
    </row>
    <row r="32" spans="2:4" x14ac:dyDescent="0.25">
      <c r="B32" s="25" t="s">
        <v>367</v>
      </c>
      <c r="C32" s="64" t="s">
        <v>501</v>
      </c>
      <c r="D32" s="64" t="s">
        <v>486</v>
      </c>
    </row>
    <row r="33" spans="2:4" x14ac:dyDescent="0.25">
      <c r="B33" s="25" t="s">
        <v>368</v>
      </c>
      <c r="C33" s="64" t="s">
        <v>501</v>
      </c>
      <c r="D33" s="64" t="s">
        <v>486</v>
      </c>
    </row>
    <row r="34" spans="2:4" ht="14" x14ac:dyDescent="0.3">
      <c r="B34" s="24" t="s">
        <v>30</v>
      </c>
      <c r="C34" s="248"/>
      <c r="D34" s="248"/>
    </row>
    <row r="35" spans="2:4" x14ac:dyDescent="0.25">
      <c r="B35" s="309" t="s">
        <v>502</v>
      </c>
      <c r="C35" s="310" t="s">
        <v>501</v>
      </c>
      <c r="D35" s="310" t="s">
        <v>486</v>
      </c>
    </row>
    <row r="36" spans="2:4" x14ac:dyDescent="0.25">
      <c r="B36" s="65" t="s">
        <v>173</v>
      </c>
      <c r="C36" s="63"/>
      <c r="D36" s="63"/>
    </row>
    <row r="37" spans="2:4" x14ac:dyDescent="0.25">
      <c r="B37" s="65" t="s">
        <v>173</v>
      </c>
      <c r="C37" s="63"/>
      <c r="D37" s="63"/>
    </row>
    <row r="38" spans="2:4" x14ac:dyDescent="0.25">
      <c r="B38" s="65" t="s">
        <v>173</v>
      </c>
      <c r="C38" s="63"/>
      <c r="D38" s="63"/>
    </row>
    <row r="39" spans="2:4" x14ac:dyDescent="0.25">
      <c r="B39" s="65" t="s">
        <v>173</v>
      </c>
      <c r="C39" s="63"/>
      <c r="D39" s="63"/>
    </row>
    <row r="40" spans="2:4" x14ac:dyDescent="0.25">
      <c r="B40" s="65" t="s">
        <v>173</v>
      </c>
      <c r="C40" s="63"/>
      <c r="D40" s="63"/>
    </row>
    <row r="41" spans="2:4" x14ac:dyDescent="0.25">
      <c r="B41" s="65" t="s">
        <v>173</v>
      </c>
      <c r="C41" s="63"/>
      <c r="D41" s="63"/>
    </row>
    <row r="42" spans="2:4" x14ac:dyDescent="0.25">
      <c r="B42" s="65" t="s">
        <v>173</v>
      </c>
      <c r="C42" s="63"/>
      <c r="D42" s="63"/>
    </row>
  </sheetData>
  <sheetProtection sheet="1" insertRows="0"/>
  <dataValidations count="2">
    <dataValidation type="list" allowBlank="1" showInputMessage="1" showErrorMessage="1" sqref="C12" xr:uid="{EA99F0B5-694E-4122-A868-58F93564E0B7}">
      <formula1>"Distribution,Transmission"</formula1>
    </dataValidation>
    <dataValidation type="list" allowBlank="1" showInputMessage="1" showErrorMessage="1" sqref="C22:D24 C26:D27 C29:D30 C32:D33" xr:uid="{9E369736-3A00-49FF-A9A9-6B69FE7193CD}">
      <formula1>"Yes,No"</formula1>
    </dataValidation>
  </dataValidations>
  <pageMargins left="0.75" right="0.75" top="1" bottom="1" header="0.5" footer="0.5"/>
  <pageSetup paperSize="9" scale="59" orientation="landscape" r:id="rId1"/>
  <headerFooter alignWithMargins="0">
    <oddFooter>&amp;C_x000D_&amp;1#&amp;"Calibri"&amp;10&amp;K008000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1477D-3B19-462A-B0F7-FED9C81786AE}">
  <sheetPr codeName="Sheet2">
    <tabColor rgb="FF17415D"/>
    <pageSetUpPr fitToPage="1"/>
  </sheetPr>
  <dimension ref="B1:G22"/>
  <sheetViews>
    <sheetView zoomScaleNormal="113" workbookViewId="0">
      <pane xSplit="1" ySplit="4" topLeftCell="B5" activePane="bottomRight" state="frozen"/>
      <selection activeCell="E59" sqref="E59"/>
      <selection pane="topRight" activeCell="E59" sqref="E59"/>
      <selection pane="bottomLeft" activeCell="E59" sqref="E59"/>
      <selection pane="bottomRight"/>
    </sheetView>
  </sheetViews>
  <sheetFormatPr defaultColWidth="9.453125" defaultRowHeight="12.5" x14ac:dyDescent="0.25"/>
  <cols>
    <col min="1" max="1" width="12" style="4" customWidth="1"/>
    <col min="2" max="2" width="19.453125" style="4" customWidth="1"/>
    <col min="3" max="3" width="55.54296875" style="4" customWidth="1"/>
    <col min="4" max="4" width="30.54296875" style="4" customWidth="1"/>
    <col min="5" max="5" width="55.54296875" style="4" customWidth="1"/>
    <col min="6" max="7" width="30.54296875" style="4" customWidth="1"/>
    <col min="8" max="16384" width="9.453125" style="4"/>
  </cols>
  <sheetData>
    <row r="1" spans="2:7" ht="20" x14ac:dyDescent="0.4">
      <c r="B1" s="135" t="s">
        <v>302</v>
      </c>
      <c r="C1" s="135"/>
      <c r="D1" s="204"/>
      <c r="E1" s="204"/>
      <c r="F1" s="204"/>
      <c r="G1" s="204"/>
    </row>
    <row r="2" spans="2:7" ht="18" customHeight="1" x14ac:dyDescent="0.7">
      <c r="B2" s="135" t="str">
        <f>IF(Tradingname=0," ",Tradingname)</f>
        <v>APA Pipelines Investments (BWP) Pty Limited</v>
      </c>
      <c r="C2" s="135"/>
      <c r="G2" s="243"/>
    </row>
    <row r="3" spans="2:7" ht="20" x14ac:dyDescent="0.4">
      <c r="B3" s="135" t="s">
        <v>109</v>
      </c>
      <c r="C3" s="99">
        <f>IF(Yearending=0, "01/01/2000", Yearending)</f>
        <v>45838</v>
      </c>
    </row>
    <row r="4" spans="2:7" ht="20" x14ac:dyDescent="0.25">
      <c r="B4" s="91" t="s">
        <v>197</v>
      </c>
      <c r="C4" s="91"/>
      <c r="E4" s="249"/>
    </row>
    <row r="7" spans="2:7" ht="15.5" x14ac:dyDescent="0.25">
      <c r="B7" s="250" t="s">
        <v>286</v>
      </c>
      <c r="C7" s="250"/>
      <c r="D7" s="191"/>
      <c r="E7" s="191"/>
      <c r="F7" s="191"/>
      <c r="G7" s="191"/>
    </row>
    <row r="8" spans="2:7" ht="13" x14ac:dyDescent="0.3">
      <c r="B8" s="251"/>
      <c r="C8" s="252"/>
      <c r="D8" s="253"/>
      <c r="E8" s="191"/>
      <c r="F8" s="191"/>
      <c r="G8" s="191"/>
    </row>
    <row r="9" spans="2:7" ht="26" x14ac:dyDescent="0.25">
      <c r="B9" s="44" t="s">
        <v>307</v>
      </c>
      <c r="C9" s="254" t="s">
        <v>13</v>
      </c>
      <c r="D9" s="220" t="s">
        <v>18</v>
      </c>
      <c r="E9" s="254" t="s">
        <v>13</v>
      </c>
      <c r="F9" s="220" t="s">
        <v>18</v>
      </c>
      <c r="G9" s="44" t="s">
        <v>466</v>
      </c>
    </row>
    <row r="10" spans="2:7" x14ac:dyDescent="0.25">
      <c r="B10" s="255"/>
      <c r="C10" s="256"/>
      <c r="D10" s="111" t="s">
        <v>110</v>
      </c>
      <c r="E10" s="256"/>
      <c r="F10" s="111" t="s">
        <v>110</v>
      </c>
      <c r="G10" s="111" t="s">
        <v>110</v>
      </c>
    </row>
    <row r="11" spans="2:7" ht="13" x14ac:dyDescent="0.3">
      <c r="B11" s="312" t="s">
        <v>517</v>
      </c>
      <c r="C11" s="258" t="s">
        <v>66</v>
      </c>
      <c r="D11" s="111"/>
      <c r="E11" s="258" t="s">
        <v>251</v>
      </c>
      <c r="F11" s="111"/>
      <c r="G11" s="111"/>
    </row>
    <row r="12" spans="2:7" ht="13" x14ac:dyDescent="0.3">
      <c r="B12" s="257"/>
      <c r="C12" s="112" t="s">
        <v>360</v>
      </c>
      <c r="D12" s="301">
        <f>IF('2.2 Allocation to services'!G13+'2.2 Allocation to services'!G25+'2.2 Allocation to services'!G37=0, ,'2.2 Allocation to services'!G13+'2.2 Allocation to services'!G25+'2.2 Allocation to services'!G37)</f>
        <v>16754428.230206098</v>
      </c>
      <c r="E12" s="112" t="s">
        <v>360</v>
      </c>
      <c r="F12" s="301">
        <f>IF('2.2 Allocation to services'!G56+'2.2 Allocation to services'!G68+'2.2 Allocation to services'!G80=0, ,'2.2 Allocation to services'!G56+'2.2 Allocation to services'!G68+'2.2 Allocation to services'!G80)</f>
        <v>7052884.8697163854</v>
      </c>
      <c r="G12" s="301">
        <f>D12-ABS(F12)</f>
        <v>9701543.360489713</v>
      </c>
    </row>
    <row r="13" spans="2:7" ht="13" x14ac:dyDescent="0.3">
      <c r="B13" s="257"/>
      <c r="C13" s="112" t="s">
        <v>450</v>
      </c>
      <c r="D13" s="301">
        <f>IF('2.2 Allocation to services'!G14+'2.2 Allocation to services'!G26+'2.2 Allocation to services'!G38=0, ,'2.2 Allocation to services'!G14+'2.2 Allocation to services'!G26+'2.2 Allocation to services'!G38)</f>
        <v>0</v>
      </c>
      <c r="E13" s="112" t="s">
        <v>450</v>
      </c>
      <c r="F13" s="301">
        <f>IF('2.2 Allocation to services'!G57+'2.2 Allocation to services'!G69+'2.2 Allocation to services'!G81=0, ,'2.2 Allocation to services'!G57+'2.2 Allocation to services'!G69+'2.2 Allocation to services'!G81)</f>
        <v>0</v>
      </c>
      <c r="G13" s="301">
        <f t="shared" ref="G13:G22" si="0">D13-ABS(F13)</f>
        <v>0</v>
      </c>
    </row>
    <row r="14" spans="2:7" ht="13" x14ac:dyDescent="0.3">
      <c r="B14" s="257"/>
      <c r="C14" s="112" t="s">
        <v>362</v>
      </c>
      <c r="D14" s="301">
        <f>IF('2.2 Allocation to services'!G15+'2.2 Allocation to services'!G27+'2.2 Allocation to services'!G39=0, ,'2.2 Allocation to services'!G15+'2.2 Allocation to services'!G27+'2.2 Allocation to services'!G39)</f>
        <v>3704500.6171024838</v>
      </c>
      <c r="E14" s="112" t="s">
        <v>362</v>
      </c>
      <c r="F14" s="301">
        <f>IF('2.2 Allocation to services'!G58+'2.2 Allocation to services'!G70+'2.2 Allocation to services'!G82=0, ,'2.2 Allocation to services'!G58+'2.2 Allocation to services'!G70+'2.2 Allocation to services'!G82)</f>
        <v>1559433.4818966079</v>
      </c>
      <c r="G14" s="301">
        <f t="shared" si="0"/>
        <v>2145067.1352058761</v>
      </c>
    </row>
    <row r="15" spans="2:7" ht="13" x14ac:dyDescent="0.3">
      <c r="B15" s="257"/>
      <c r="C15" s="112" t="s">
        <v>363</v>
      </c>
      <c r="D15" s="301">
        <f>IF('2.2 Allocation to services'!G16+'2.2 Allocation to services'!G28+'2.2 Allocation to services'!G40=0, ,'2.2 Allocation to services'!G16+'2.2 Allocation to services'!G28+'2.2 Allocation to services'!G40)</f>
        <v>0</v>
      </c>
      <c r="E15" s="112" t="s">
        <v>363</v>
      </c>
      <c r="F15" s="301">
        <f>IF('2.2 Allocation to services'!G59+'2.2 Allocation to services'!G71+'2.2 Allocation to services'!G83=0, ,'2.2 Allocation to services'!G59+'2.2 Allocation to services'!G71+'2.2 Allocation to services'!G83)</f>
        <v>0</v>
      </c>
      <c r="G15" s="301">
        <f t="shared" si="0"/>
        <v>0</v>
      </c>
    </row>
    <row r="16" spans="2:7" ht="13" x14ac:dyDescent="0.3">
      <c r="B16" s="257"/>
      <c r="C16" s="194" t="s">
        <v>364</v>
      </c>
      <c r="D16" s="301">
        <f>IF('2.2 Allocation to services'!G17+'2.2 Allocation to services'!G29+'2.2 Allocation to services'!G41=0, ,'2.2 Allocation to services'!G17+'2.2 Allocation to services'!G29+'2.2 Allocation to services'!G41)</f>
        <v>0</v>
      </c>
      <c r="E16" s="194" t="s">
        <v>364</v>
      </c>
      <c r="F16" s="301">
        <f>IF('2.2 Allocation to services'!G60+'2.2 Allocation to services'!G72+'2.2 Allocation to services'!G84=0, ,'2.2 Allocation to services'!G60+'2.2 Allocation to services'!G72+'2.2 Allocation to services'!G84)</f>
        <v>0</v>
      </c>
      <c r="G16" s="301">
        <f t="shared" si="0"/>
        <v>0</v>
      </c>
    </row>
    <row r="17" spans="2:7" ht="13" x14ac:dyDescent="0.3">
      <c r="B17" s="257"/>
      <c r="C17" s="112" t="s">
        <v>451</v>
      </c>
      <c r="D17" s="301">
        <f>IF('2.2 Allocation to services'!G18+'2.2 Allocation to services'!G30+'2.2 Allocation to services'!G42=0, ,'2.2 Allocation to services'!G18+'2.2 Allocation to services'!G30+'2.2 Allocation to services'!G42)</f>
        <v>0</v>
      </c>
      <c r="E17" s="112" t="s">
        <v>451</v>
      </c>
      <c r="F17" s="301">
        <f>IF('2.2 Allocation to services'!G61+'2.2 Allocation to services'!G73+'2.2 Allocation to services'!G85=0, ,'2.2 Allocation to services'!G61+'2.2 Allocation to services'!G73+'2.2 Allocation to services'!G85)</f>
        <v>0</v>
      </c>
      <c r="G17" s="301">
        <f t="shared" si="0"/>
        <v>0</v>
      </c>
    </row>
    <row r="18" spans="2:7" ht="13" x14ac:dyDescent="0.3">
      <c r="B18" s="257"/>
      <c r="C18" s="112" t="s">
        <v>366</v>
      </c>
      <c r="D18" s="301">
        <f>IF('2.2 Allocation to services'!G19+'2.2 Allocation to services'!G31+'2.2 Allocation to services'!G43=0, ,'2.2 Allocation to services'!G19+'2.2 Allocation to services'!G31+'2.2 Allocation to services'!G43)</f>
        <v>0</v>
      </c>
      <c r="E18" s="112" t="s">
        <v>366</v>
      </c>
      <c r="F18" s="301">
        <f>IF('2.2 Allocation to services'!G62+'2.2 Allocation to services'!G74+'2.2 Allocation to services'!G86=0, ,'2.2 Allocation to services'!G62+'2.2 Allocation to services'!G74+'2.2 Allocation to services'!G86)</f>
        <v>0</v>
      </c>
      <c r="G18" s="301">
        <f t="shared" si="0"/>
        <v>0</v>
      </c>
    </row>
    <row r="19" spans="2:7" ht="13" x14ac:dyDescent="0.3">
      <c r="B19" s="257"/>
      <c r="C19" s="112" t="s">
        <v>367</v>
      </c>
      <c r="D19" s="301">
        <f>IF('2.2 Allocation to services'!G20+'2.2 Allocation to services'!G32+'2.2 Allocation to services'!G44=0, ,'2.2 Allocation to services'!G20+'2.2 Allocation to services'!G32+'2.2 Allocation to services'!G44)</f>
        <v>6008.6447706146946</v>
      </c>
      <c r="E19" s="112" t="s">
        <v>367</v>
      </c>
      <c r="F19" s="301">
        <f>IF('2.2 Allocation to services'!G63+'2.2 Allocation to services'!G75+'2.2 Allocation to services'!G87=0, ,'2.2 Allocation to services'!G63+'2.2 Allocation to services'!G75+'2.2 Allocation to services'!G87)</f>
        <v>2529.3778580737376</v>
      </c>
      <c r="G19" s="301">
        <f t="shared" si="0"/>
        <v>3479.266912540957</v>
      </c>
    </row>
    <row r="20" spans="2:7" ht="13" x14ac:dyDescent="0.3">
      <c r="B20" s="257"/>
      <c r="C20" s="112" t="s">
        <v>368</v>
      </c>
      <c r="D20" s="301">
        <f>IF('2.2 Allocation to services'!G21+'2.2 Allocation to services'!G33+'2.2 Allocation to services'!G45=0, ,'2.2 Allocation to services'!G21+'2.2 Allocation to services'!G33+'2.2 Allocation to services'!G45)</f>
        <v>0</v>
      </c>
      <c r="E20" s="112" t="s">
        <v>368</v>
      </c>
      <c r="F20" s="301">
        <f>IF('2.2 Allocation to services'!G64+'2.2 Allocation to services'!G76+'2.2 Allocation to services'!G88=0, ,'2.2 Allocation to services'!G64+'2.2 Allocation to services'!G76+'2.2 Allocation to services'!G88)</f>
        <v>0</v>
      </c>
      <c r="G20" s="301">
        <f t="shared" si="0"/>
        <v>0</v>
      </c>
    </row>
    <row r="21" spans="2:7" ht="13" x14ac:dyDescent="0.3">
      <c r="B21" s="257"/>
      <c r="C21" s="112" t="s">
        <v>311</v>
      </c>
      <c r="D21" s="301">
        <f>IF('2.2 Allocation to services'!G22+'2.2 Allocation to services'!G34+'2.2 Allocation to services'!G46=0, ,'2.2 Allocation to services'!G22+'2.2 Allocation to services'!G34+'2.2 Allocation to services'!G46)</f>
        <v>581714.33611332579</v>
      </c>
      <c r="E21" s="112" t="s">
        <v>311</v>
      </c>
      <c r="F21" s="301">
        <f>IF('2.2 Allocation to services'!G65+'2.2 Allocation to services'!G77+'2.2 Allocation to services'!G89=0, ,'2.2 Allocation to services'!G65+'2.2 Allocation to services'!G77+'2.2 Allocation to services'!G89)</f>
        <v>244876.41018235564</v>
      </c>
      <c r="G21" s="301">
        <f t="shared" si="0"/>
        <v>336837.92593097012</v>
      </c>
    </row>
    <row r="22" spans="2:7" ht="13" x14ac:dyDescent="0.3">
      <c r="B22" s="257"/>
      <c r="C22" s="259" t="s">
        <v>246</v>
      </c>
      <c r="D22" s="301">
        <f t="array" ref="D22">SUM(IF(ISNA(D12:D21),0,D12:D21))</f>
        <v>21046651.828192525</v>
      </c>
      <c r="E22" s="259" t="s">
        <v>252</v>
      </c>
      <c r="F22" s="301">
        <f t="array" ref="F22">SUM(IF(ISNA(F12:F21),0,F12:F21))</f>
        <v>8859724.1396534219</v>
      </c>
      <c r="G22" s="301">
        <f t="shared" si="0"/>
        <v>12186927.688539103</v>
      </c>
    </row>
  </sheetData>
  <sheetProtection sheet="1"/>
  <phoneticPr fontId="30"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D8031-D419-402B-86E7-937325721F5C}">
  <sheetPr codeName="Sheet22">
    <tabColor rgb="FF17415D"/>
    <pageSetUpPr fitToPage="1"/>
  </sheetPr>
  <dimension ref="B1:I115"/>
  <sheetViews>
    <sheetView zoomScaleNormal="100" workbookViewId="0">
      <pane xSplit="1" ySplit="4" topLeftCell="B5" activePane="bottomRight" state="frozen"/>
      <selection activeCell="E46" sqref="E46"/>
      <selection pane="topRight" activeCell="E46" sqref="E46"/>
      <selection pane="bottomLeft" activeCell="E46" sqref="E46"/>
      <selection pane="bottomRight"/>
    </sheetView>
  </sheetViews>
  <sheetFormatPr defaultColWidth="9.453125" defaultRowHeight="12.5" x14ac:dyDescent="0.25"/>
  <cols>
    <col min="1" max="1" width="12" style="4" customWidth="1"/>
    <col min="2" max="2" width="18.453125" style="4" customWidth="1"/>
    <col min="3" max="3" width="43" style="4" bestFit="1" customWidth="1"/>
    <col min="4" max="9" width="20.54296875" style="4" customWidth="1"/>
    <col min="10" max="16384" width="9.453125" style="4"/>
  </cols>
  <sheetData>
    <row r="1" spans="2:9" ht="20" x14ac:dyDescent="0.25">
      <c r="B1" s="135" t="s">
        <v>302</v>
      </c>
      <c r="C1" s="135"/>
    </row>
    <row r="2" spans="2:9" ht="20.25" customHeight="1" x14ac:dyDescent="0.25">
      <c r="B2" s="135" t="str">
        <f>IF(Tradingname=0," ",Tradingname)</f>
        <v>APA Pipelines Investments (BWP) Pty Limited</v>
      </c>
      <c r="C2" s="135"/>
    </row>
    <row r="3" spans="2:9" ht="20" x14ac:dyDescent="0.4">
      <c r="B3" s="135" t="s">
        <v>109</v>
      </c>
      <c r="C3" s="99">
        <f>IF(Yearending=0, "01/01/2000", Yearending)</f>
        <v>45838</v>
      </c>
    </row>
    <row r="4" spans="2:9" ht="20" x14ac:dyDescent="0.25">
      <c r="B4" s="91" t="s">
        <v>369</v>
      </c>
      <c r="C4" s="91"/>
    </row>
    <row r="7" spans="2:9" ht="21" customHeight="1" x14ac:dyDescent="0.25">
      <c r="B7" s="250" t="s">
        <v>316</v>
      </c>
    </row>
    <row r="8" spans="2:9" ht="13" x14ac:dyDescent="0.3">
      <c r="B8" s="215"/>
      <c r="C8" s="260"/>
    </row>
    <row r="9" spans="2:9" ht="21" customHeight="1" x14ac:dyDescent="0.25">
      <c r="B9" s="392" t="s">
        <v>213</v>
      </c>
      <c r="C9" s="393"/>
      <c r="D9" s="393"/>
      <c r="E9" s="393"/>
      <c r="F9" s="393"/>
      <c r="G9" s="394" t="s">
        <v>130</v>
      </c>
      <c r="H9" s="395"/>
      <c r="I9" s="395"/>
    </row>
    <row r="10" spans="2:9" ht="51" customHeight="1" x14ac:dyDescent="0.25">
      <c r="B10" s="29" t="s">
        <v>307</v>
      </c>
      <c r="C10" s="23" t="s">
        <v>13</v>
      </c>
      <c r="D10" s="220" t="s">
        <v>41</v>
      </c>
      <c r="E10" s="220" t="s">
        <v>42</v>
      </c>
      <c r="F10" s="30" t="s">
        <v>18</v>
      </c>
      <c r="G10" s="220" t="s">
        <v>41</v>
      </c>
      <c r="H10" s="220" t="s">
        <v>42</v>
      </c>
      <c r="I10" s="30" t="s">
        <v>18</v>
      </c>
    </row>
    <row r="11" spans="2:9" ht="13" x14ac:dyDescent="0.25">
      <c r="B11" s="29"/>
      <c r="C11" s="23"/>
      <c r="D11" s="31" t="s">
        <v>110</v>
      </c>
      <c r="E11" s="31" t="s">
        <v>110</v>
      </c>
      <c r="F11" s="31" t="s">
        <v>110</v>
      </c>
      <c r="G11" s="31" t="s">
        <v>110</v>
      </c>
      <c r="H11" s="31" t="s">
        <v>110</v>
      </c>
      <c r="I11" s="31" t="s">
        <v>110</v>
      </c>
    </row>
    <row r="12" spans="2:9" ht="13" x14ac:dyDescent="0.25">
      <c r="B12" s="313" t="s">
        <v>506</v>
      </c>
      <c r="C12" s="107" t="s">
        <v>289</v>
      </c>
      <c r="D12" s="31"/>
      <c r="E12" s="31"/>
      <c r="F12" s="31"/>
      <c r="G12" s="31"/>
      <c r="H12" s="31"/>
      <c r="I12" s="31"/>
    </row>
    <row r="13" spans="2:9" x14ac:dyDescent="0.25">
      <c r="B13" s="313" t="s">
        <v>506</v>
      </c>
      <c r="C13" s="116" t="s">
        <v>77</v>
      </c>
      <c r="D13" s="66">
        <v>21042221.680000003</v>
      </c>
      <c r="E13" s="66">
        <v>0</v>
      </c>
      <c r="F13" s="90">
        <f>SUM(D13:E13)</f>
        <v>21042221.680000003</v>
      </c>
      <c r="G13" s="66">
        <v>20674023.009999998</v>
      </c>
      <c r="H13" s="66">
        <v>0</v>
      </c>
      <c r="I13" s="90">
        <f>SUM(G13:H13)</f>
        <v>20674023.009999998</v>
      </c>
    </row>
    <row r="14" spans="2:9" x14ac:dyDescent="0.25">
      <c r="B14" s="313" t="s">
        <v>506</v>
      </c>
      <c r="C14" s="116" t="s">
        <v>33</v>
      </c>
      <c r="D14" s="90">
        <f>'2.3 Revenue contributions '!C17</f>
        <v>0</v>
      </c>
      <c r="E14" s="90">
        <f>'2.3 Revenue contributions '!D17</f>
        <v>0</v>
      </c>
      <c r="F14" s="90">
        <f>SUM(D14:E14)</f>
        <v>0</v>
      </c>
      <c r="G14" s="66">
        <v>0</v>
      </c>
      <c r="H14" s="66">
        <v>0</v>
      </c>
      <c r="I14" s="90">
        <f>SUM(G14:H14)</f>
        <v>0</v>
      </c>
    </row>
    <row r="15" spans="2:9" x14ac:dyDescent="0.25">
      <c r="B15" s="313" t="s">
        <v>506</v>
      </c>
      <c r="C15" s="116" t="s">
        <v>154</v>
      </c>
      <c r="D15" s="90">
        <f>'2.3 Revenue contributions '!D29</f>
        <v>0</v>
      </c>
      <c r="E15" s="90"/>
      <c r="F15" s="90">
        <f>SUM(D15:E15)</f>
        <v>0</v>
      </c>
      <c r="G15" s="66">
        <v>0</v>
      </c>
      <c r="H15" s="90"/>
      <c r="I15" s="90">
        <f>SUM(G15:H15)</f>
        <v>0</v>
      </c>
    </row>
    <row r="16" spans="2:9" x14ac:dyDescent="0.25">
      <c r="B16" s="313" t="s">
        <v>506</v>
      </c>
      <c r="C16" s="116" t="s">
        <v>14</v>
      </c>
      <c r="D16" s="66">
        <v>4430.1481925171884</v>
      </c>
      <c r="E16" s="66">
        <v>0</v>
      </c>
      <c r="F16" s="90">
        <f>SUM(D16:E16)</f>
        <v>4430.1481925171884</v>
      </c>
      <c r="G16" s="66">
        <v>389.69630440073007</v>
      </c>
      <c r="H16" s="66">
        <v>0</v>
      </c>
      <c r="I16" s="90">
        <f>SUM(G16:H16)</f>
        <v>389.69630440073007</v>
      </c>
    </row>
    <row r="17" spans="2:9" x14ac:dyDescent="0.25">
      <c r="B17" s="313" t="s">
        <v>506</v>
      </c>
      <c r="C17" s="116" t="s">
        <v>34</v>
      </c>
      <c r="D17" s="66">
        <v>0</v>
      </c>
      <c r="E17" s="66">
        <v>0</v>
      </c>
      <c r="F17" s="90">
        <f>SUM(D17:E17)</f>
        <v>0</v>
      </c>
      <c r="G17" s="66">
        <v>0</v>
      </c>
      <c r="H17" s="66">
        <v>0</v>
      </c>
      <c r="I17" s="90">
        <f>SUM(G17:H17)</f>
        <v>0</v>
      </c>
    </row>
    <row r="18" spans="2:9" x14ac:dyDescent="0.25">
      <c r="B18" s="313"/>
      <c r="C18" s="117" t="s">
        <v>290</v>
      </c>
      <c r="D18" s="90">
        <f t="shared" ref="D18:I18" si="0">SUM(D13:D17)</f>
        <v>21046651.828192521</v>
      </c>
      <c r="E18" s="90">
        <f t="shared" si="0"/>
        <v>0</v>
      </c>
      <c r="F18" s="90">
        <f t="shared" si="0"/>
        <v>21046651.828192521</v>
      </c>
      <c r="G18" s="90">
        <f t="shared" si="0"/>
        <v>20674412.706304397</v>
      </c>
      <c r="H18" s="90">
        <f t="shared" si="0"/>
        <v>0</v>
      </c>
      <c r="I18" s="90">
        <f t="shared" si="0"/>
        <v>20674412.706304397</v>
      </c>
    </row>
    <row r="19" spans="2:9" ht="13" x14ac:dyDescent="0.3">
      <c r="B19" s="313"/>
      <c r="C19" s="33" t="s">
        <v>294</v>
      </c>
      <c r="D19" s="31"/>
      <c r="E19" s="31"/>
      <c r="F19" s="31"/>
      <c r="G19" s="31"/>
      <c r="H19" s="31"/>
      <c r="I19" s="31"/>
    </row>
    <row r="20" spans="2:9" x14ac:dyDescent="0.25">
      <c r="B20" s="313"/>
      <c r="C20" s="116" t="s">
        <v>265</v>
      </c>
      <c r="D20" s="90">
        <f>'2.4 Indirect revenue'!G42</f>
        <v>0</v>
      </c>
      <c r="E20" s="90">
        <f>'2.4 Indirect revenue'!H42</f>
        <v>0</v>
      </c>
      <c r="F20" s="90">
        <f>SUM(D20:E20)</f>
        <v>0</v>
      </c>
      <c r="G20" s="66">
        <v>0</v>
      </c>
      <c r="H20" s="66">
        <v>0</v>
      </c>
      <c r="I20" s="90">
        <f>SUM(G20:H20)</f>
        <v>0</v>
      </c>
    </row>
    <row r="21" spans="2:9" x14ac:dyDescent="0.25">
      <c r="B21" s="313"/>
      <c r="C21" s="117" t="s">
        <v>291</v>
      </c>
      <c r="D21" s="90">
        <f t="shared" ref="D21:I21" si="1">SUM(D20)</f>
        <v>0</v>
      </c>
      <c r="E21" s="90">
        <f t="shared" si="1"/>
        <v>0</v>
      </c>
      <c r="F21" s="90">
        <f t="shared" si="1"/>
        <v>0</v>
      </c>
      <c r="G21" s="90">
        <f t="shared" si="1"/>
        <v>0</v>
      </c>
      <c r="H21" s="90">
        <f t="shared" si="1"/>
        <v>0</v>
      </c>
      <c r="I21" s="90">
        <f t="shared" si="1"/>
        <v>0</v>
      </c>
    </row>
    <row r="22" spans="2:9" x14ac:dyDescent="0.25">
      <c r="B22" s="313"/>
      <c r="C22" s="117" t="s">
        <v>292</v>
      </c>
      <c r="D22" s="90">
        <f>D18+D21</f>
        <v>21046651.828192521</v>
      </c>
      <c r="E22" s="90">
        <f>E21+E18</f>
        <v>0</v>
      </c>
      <c r="F22" s="90">
        <f>F18+F21</f>
        <v>21046651.828192521</v>
      </c>
      <c r="G22" s="90">
        <f>G18+G21</f>
        <v>20674412.706304397</v>
      </c>
      <c r="H22" s="90">
        <f>H18+H21</f>
        <v>0</v>
      </c>
      <c r="I22" s="90">
        <f>I18+I21</f>
        <v>20674412.706304397</v>
      </c>
    </row>
    <row r="23" spans="2:9" ht="13" x14ac:dyDescent="0.3">
      <c r="B23" s="313"/>
      <c r="C23" s="33" t="s">
        <v>295</v>
      </c>
      <c r="D23" s="31"/>
      <c r="E23" s="31"/>
      <c r="F23" s="31"/>
      <c r="G23" s="31"/>
      <c r="H23" s="31"/>
      <c r="I23" s="31"/>
    </row>
    <row r="24" spans="2:9" x14ac:dyDescent="0.25">
      <c r="B24" s="313" t="s">
        <v>506</v>
      </c>
      <c r="C24" s="19" t="s">
        <v>79</v>
      </c>
      <c r="D24" s="66">
        <v>0</v>
      </c>
      <c r="E24" s="66">
        <v>0</v>
      </c>
      <c r="F24" s="90">
        <f t="shared" ref="F24:F31" si="2">SUM(D24:E24)</f>
        <v>0</v>
      </c>
      <c r="G24" s="66">
        <v>0</v>
      </c>
      <c r="H24" s="66">
        <v>0</v>
      </c>
      <c r="I24" s="90">
        <f t="shared" ref="I24:I31" si="3">SUM(G24:H24)</f>
        <v>0</v>
      </c>
    </row>
    <row r="25" spans="2:9" x14ac:dyDescent="0.25">
      <c r="B25" s="313" t="s">
        <v>506</v>
      </c>
      <c r="C25" s="19" t="s">
        <v>80</v>
      </c>
      <c r="D25" s="66">
        <v>1247874.5</v>
      </c>
      <c r="E25" s="66">
        <v>0</v>
      </c>
      <c r="F25" s="90">
        <f t="shared" si="2"/>
        <v>1247874.5</v>
      </c>
      <c r="G25" s="66">
        <v>1116854.8007997926</v>
      </c>
      <c r="H25" s="66">
        <v>0</v>
      </c>
      <c r="I25" s="90">
        <f t="shared" si="3"/>
        <v>1116854.8007997926</v>
      </c>
    </row>
    <row r="26" spans="2:9" x14ac:dyDescent="0.25">
      <c r="B26" s="313" t="s">
        <v>506</v>
      </c>
      <c r="C26" s="19" t="s">
        <v>16</v>
      </c>
      <c r="D26" s="66">
        <v>4246003.2299999995</v>
      </c>
      <c r="E26" s="66">
        <v>0</v>
      </c>
      <c r="F26" s="90">
        <f t="shared" si="2"/>
        <v>4246003.2299999995</v>
      </c>
      <c r="G26" s="66">
        <v>3718517.07</v>
      </c>
      <c r="H26" s="66">
        <v>0</v>
      </c>
      <c r="I26" s="90">
        <f t="shared" si="3"/>
        <v>3718517.07</v>
      </c>
    </row>
    <row r="27" spans="2:9" x14ac:dyDescent="0.25">
      <c r="B27" s="313" t="s">
        <v>506</v>
      </c>
      <c r="C27" s="19" t="s">
        <v>35</v>
      </c>
      <c r="D27" s="66">
        <v>57840.91</v>
      </c>
      <c r="E27" s="66">
        <v>0</v>
      </c>
      <c r="F27" s="90">
        <f t="shared" si="2"/>
        <v>57840.91</v>
      </c>
      <c r="G27" s="66">
        <v>56830.7</v>
      </c>
      <c r="H27" s="66">
        <v>0</v>
      </c>
      <c r="I27" s="90">
        <f t="shared" si="3"/>
        <v>56830.7</v>
      </c>
    </row>
    <row r="28" spans="2:9" x14ac:dyDescent="0.25">
      <c r="B28" s="314" t="s">
        <v>506</v>
      </c>
      <c r="C28" s="19" t="s">
        <v>36</v>
      </c>
      <c r="D28" s="66">
        <v>22116.210000000003</v>
      </c>
      <c r="E28" s="66">
        <v>0</v>
      </c>
      <c r="F28" s="90">
        <f t="shared" si="2"/>
        <v>22116.210000000003</v>
      </c>
      <c r="G28" s="66">
        <v>46227.49</v>
      </c>
      <c r="H28" s="66">
        <v>0</v>
      </c>
      <c r="I28" s="90">
        <f t="shared" si="3"/>
        <v>46227.49</v>
      </c>
    </row>
    <row r="29" spans="2:9" x14ac:dyDescent="0.25">
      <c r="B29" s="314" t="s">
        <v>506</v>
      </c>
      <c r="C29" s="19" t="s">
        <v>37</v>
      </c>
      <c r="D29" s="66">
        <v>0</v>
      </c>
      <c r="E29" s="66">
        <v>0</v>
      </c>
      <c r="F29" s="90">
        <f t="shared" si="2"/>
        <v>0</v>
      </c>
      <c r="G29" s="66">
        <v>0</v>
      </c>
      <c r="H29" s="66">
        <v>0</v>
      </c>
      <c r="I29" s="90">
        <f t="shared" si="3"/>
        <v>0</v>
      </c>
    </row>
    <row r="30" spans="2:9" x14ac:dyDescent="0.25">
      <c r="B30" s="314" t="s">
        <v>506</v>
      </c>
      <c r="C30" s="19" t="s">
        <v>45</v>
      </c>
      <c r="D30" s="66">
        <v>56589.279999999999</v>
      </c>
      <c r="E30" s="66">
        <v>0</v>
      </c>
      <c r="F30" s="90">
        <f t="shared" si="2"/>
        <v>56589.279999999999</v>
      </c>
      <c r="G30" s="66">
        <v>62147.59</v>
      </c>
      <c r="H30" s="66">
        <v>0</v>
      </c>
      <c r="I30" s="90">
        <f t="shared" si="3"/>
        <v>62147.59</v>
      </c>
    </row>
    <row r="31" spans="2:9" x14ac:dyDescent="0.25">
      <c r="B31" s="314" t="s">
        <v>506</v>
      </c>
      <c r="C31" s="34" t="s">
        <v>254</v>
      </c>
      <c r="D31" s="66">
        <v>349796.15</v>
      </c>
      <c r="E31" s="66">
        <v>0</v>
      </c>
      <c r="F31" s="90">
        <f t="shared" si="2"/>
        <v>349796.15</v>
      </c>
      <c r="G31" s="66">
        <v>272852.52</v>
      </c>
      <c r="H31" s="66">
        <v>0</v>
      </c>
      <c r="I31" s="90">
        <f t="shared" si="3"/>
        <v>272852.52</v>
      </c>
    </row>
    <row r="32" spans="2:9" x14ac:dyDescent="0.25">
      <c r="B32" s="315"/>
      <c r="C32" s="87" t="s">
        <v>293</v>
      </c>
      <c r="D32" s="90">
        <f t="shared" ref="D32:I32" si="4">SUM(D24:D31)</f>
        <v>5980220.2800000003</v>
      </c>
      <c r="E32" s="90">
        <f t="shared" si="4"/>
        <v>0</v>
      </c>
      <c r="F32" s="90">
        <f>SUM(F24:F31)</f>
        <v>5980220.2800000003</v>
      </c>
      <c r="G32" s="90">
        <f t="shared" si="4"/>
        <v>5273430.1707997937</v>
      </c>
      <c r="H32" s="90">
        <f t="shared" si="4"/>
        <v>0</v>
      </c>
      <c r="I32" s="90">
        <f t="shared" si="4"/>
        <v>5273430.1707997937</v>
      </c>
    </row>
    <row r="33" spans="2:9" ht="13" x14ac:dyDescent="0.3">
      <c r="B33" s="315"/>
      <c r="C33" s="33" t="s">
        <v>296</v>
      </c>
      <c r="D33" s="31"/>
      <c r="E33" s="31"/>
      <c r="F33" s="108"/>
      <c r="G33" s="31"/>
      <c r="H33" s="31"/>
      <c r="I33" s="108"/>
    </row>
    <row r="34" spans="2:9" x14ac:dyDescent="0.25">
      <c r="B34" s="315"/>
      <c r="C34" s="19" t="s">
        <v>256</v>
      </c>
      <c r="D34" s="90">
        <f>SUMIF('2.5 Shared expenses'!$C$15:$C$35,$C34,'2.5 Shared expenses'!H$15:H$35)</f>
        <v>0</v>
      </c>
      <c r="E34" s="90">
        <f>SUMIF('2.5 Shared expenses'!$C$15:$C$35,$C34,'2.5 Shared expenses'!I$15:I$35)</f>
        <v>0</v>
      </c>
      <c r="F34" s="90">
        <f t="shared" ref="F34:F42" si="5">SUM(D34:E34)</f>
        <v>0</v>
      </c>
      <c r="G34" s="66">
        <v>0</v>
      </c>
      <c r="H34" s="66">
        <v>0</v>
      </c>
      <c r="I34" s="90">
        <f t="shared" ref="I34:I42" si="6">SUM(G34:H34)</f>
        <v>0</v>
      </c>
    </row>
    <row r="35" spans="2:9" x14ac:dyDescent="0.25">
      <c r="B35" s="315"/>
      <c r="C35" s="19" t="s">
        <v>43</v>
      </c>
      <c r="D35" s="90">
        <f>SUMIF('2.5 Shared expenses'!$C$15:$C$35,$C35,'2.5 Shared expenses'!H$15:H$35)</f>
        <v>0</v>
      </c>
      <c r="E35" s="90">
        <f>SUMIF('2.5 Shared expenses'!$C$15:$C$35,$C35,'2.5 Shared expenses'!I$15:I$35)</f>
        <v>0</v>
      </c>
      <c r="F35" s="90">
        <f t="shared" si="5"/>
        <v>0</v>
      </c>
      <c r="G35" s="66">
        <v>0</v>
      </c>
      <c r="H35" s="66">
        <v>0</v>
      </c>
      <c r="I35" s="90">
        <f t="shared" si="6"/>
        <v>0</v>
      </c>
    </row>
    <row r="36" spans="2:9" x14ac:dyDescent="0.25">
      <c r="B36" s="315"/>
      <c r="C36" s="32" t="s">
        <v>150</v>
      </c>
      <c r="D36" s="90">
        <f>SUMIF('2.5 Shared expenses'!$C$15:$C$35,$C36,'2.5 Shared expenses'!H$15:H$35)</f>
        <v>0</v>
      </c>
      <c r="E36" s="90">
        <f>SUMIF('2.5 Shared expenses'!$C$15:$C$35,$C36,'2.5 Shared expenses'!I$15:I$35)</f>
        <v>0</v>
      </c>
      <c r="F36" s="90">
        <f t="shared" si="5"/>
        <v>0</v>
      </c>
      <c r="G36" s="66">
        <v>0</v>
      </c>
      <c r="H36" s="66">
        <v>0</v>
      </c>
      <c r="I36" s="90">
        <f t="shared" si="6"/>
        <v>0</v>
      </c>
    </row>
    <row r="37" spans="2:9" x14ac:dyDescent="0.25">
      <c r="B37" s="315"/>
      <c r="C37" s="34" t="s">
        <v>39</v>
      </c>
      <c r="D37" s="90">
        <f>SUMIF('2.5 Shared expenses'!$C$15:$C$35,$C37,'2.5 Shared expenses'!H$15:H$35)</f>
        <v>611418.39536343201</v>
      </c>
      <c r="E37" s="90">
        <f>SUMIF('2.5 Shared expenses'!$C$15:$C$35,$C37,'2.5 Shared expenses'!I$15:I$35)</f>
        <v>0</v>
      </c>
      <c r="F37" s="90">
        <f t="shared" si="5"/>
        <v>611418.39536343201</v>
      </c>
      <c r="G37" s="66">
        <v>461223.23543645401</v>
      </c>
      <c r="H37" s="66">
        <v>0</v>
      </c>
      <c r="I37" s="90">
        <f t="shared" si="6"/>
        <v>461223.23543645401</v>
      </c>
    </row>
    <row r="38" spans="2:9" x14ac:dyDescent="0.25">
      <c r="B38" s="315"/>
      <c r="C38" s="34" t="s">
        <v>44</v>
      </c>
      <c r="D38" s="90">
        <f>SUMIF('2.5 Shared expenses'!$C$15:$C$35,$C38,'2.5 Shared expenses'!H$15:H$35)</f>
        <v>0</v>
      </c>
      <c r="E38" s="90">
        <f>SUMIF('2.5 Shared expenses'!$C$15:$C$35,$C38,'2.5 Shared expenses'!I$15:I$35)</f>
        <v>0</v>
      </c>
      <c r="F38" s="90">
        <f t="shared" si="5"/>
        <v>0</v>
      </c>
      <c r="G38" s="66">
        <v>0</v>
      </c>
      <c r="H38" s="66">
        <v>0</v>
      </c>
      <c r="I38" s="90">
        <f t="shared" si="6"/>
        <v>0</v>
      </c>
    </row>
    <row r="39" spans="2:9" x14ac:dyDescent="0.25">
      <c r="B39" s="315"/>
      <c r="C39" s="32" t="s">
        <v>81</v>
      </c>
      <c r="D39" s="90">
        <f>SUMIF('2.5 Shared expenses'!$C$15:$C$35,$C39,'2.5 Shared expenses'!H$15:H$35)</f>
        <v>0</v>
      </c>
      <c r="E39" s="90">
        <f>SUMIF('2.5 Shared expenses'!$C$15:$C$35,$C39,'2.5 Shared expenses'!I$15:I$35)</f>
        <v>0</v>
      </c>
      <c r="F39" s="90">
        <f t="shared" si="5"/>
        <v>0</v>
      </c>
      <c r="G39" s="66">
        <v>0</v>
      </c>
      <c r="H39" s="66">
        <v>0</v>
      </c>
      <c r="I39" s="90">
        <f t="shared" si="6"/>
        <v>0</v>
      </c>
    </row>
    <row r="40" spans="2:9" x14ac:dyDescent="0.25">
      <c r="B40" s="315"/>
      <c r="C40" s="32" t="s">
        <v>40</v>
      </c>
      <c r="D40" s="90">
        <f>SUMIF('2.5 Shared expenses'!$C$15:$C$35,$C40,'2.5 Shared expenses'!H$15:H$35)</f>
        <v>0</v>
      </c>
      <c r="E40" s="90">
        <f>SUMIF('2.5 Shared expenses'!$C$15:$C$35,$C40,'2.5 Shared expenses'!I$15:I$35)</f>
        <v>0</v>
      </c>
      <c r="F40" s="90">
        <f t="shared" si="5"/>
        <v>0</v>
      </c>
      <c r="G40" s="66">
        <v>0</v>
      </c>
      <c r="H40" s="66">
        <v>0</v>
      </c>
      <c r="I40" s="90">
        <f t="shared" si="6"/>
        <v>0</v>
      </c>
    </row>
    <row r="41" spans="2:9" x14ac:dyDescent="0.25">
      <c r="B41" s="315"/>
      <c r="C41" s="32" t="s">
        <v>151</v>
      </c>
      <c r="D41" s="90">
        <f>SUMIF('2.5 Shared expenses'!$C$15:$C$35,$C41,'2.5 Shared expenses'!H$15:H$35)</f>
        <v>0</v>
      </c>
      <c r="E41" s="90">
        <f>SUMIF('2.5 Shared expenses'!$C$15:$C$35,$C41,'2.5 Shared expenses'!I$15:I$35)</f>
        <v>0</v>
      </c>
      <c r="F41" s="90">
        <f t="shared" si="5"/>
        <v>0</v>
      </c>
      <c r="G41" s="66">
        <v>0</v>
      </c>
      <c r="H41" s="66">
        <v>0</v>
      </c>
      <c r="I41" s="90">
        <f t="shared" si="6"/>
        <v>0</v>
      </c>
    </row>
    <row r="42" spans="2:9" x14ac:dyDescent="0.25">
      <c r="B42" s="314" t="s">
        <v>506</v>
      </c>
      <c r="C42" s="34" t="s">
        <v>258</v>
      </c>
      <c r="D42" s="90">
        <f>SUMIF('2.5 Shared expenses'!$C$15:$C$35,$C42,'2.5 Shared expenses'!H$15:H$35)</f>
        <v>2268085.4642899893</v>
      </c>
      <c r="E42" s="90">
        <f>SUMIF('2.5 Shared expenses'!$C$15:$C$35,$C42,'2.5 Shared expenses'!I$15:I$35)</f>
        <v>0</v>
      </c>
      <c r="F42" s="90">
        <f t="shared" si="5"/>
        <v>2268085.4642899893</v>
      </c>
      <c r="G42" s="66">
        <v>2560494.3655789657</v>
      </c>
      <c r="H42" s="66">
        <v>0</v>
      </c>
      <c r="I42" s="90">
        <f t="shared" si="6"/>
        <v>2560494.3655789657</v>
      </c>
    </row>
    <row r="43" spans="2:9" x14ac:dyDescent="0.25">
      <c r="B43" s="286"/>
      <c r="C43" s="87" t="s">
        <v>297</v>
      </c>
      <c r="D43" s="90">
        <f t="shared" ref="D43:I43" si="7">SUM(D34:D42)</f>
        <v>2879503.8596534212</v>
      </c>
      <c r="E43" s="90">
        <f t="shared" si="7"/>
        <v>0</v>
      </c>
      <c r="F43" s="90">
        <f>SUM(F34:F42)</f>
        <v>2879503.8596534212</v>
      </c>
      <c r="G43" s="90">
        <f t="shared" si="7"/>
        <v>3021717.6010154197</v>
      </c>
      <c r="H43" s="90">
        <f t="shared" si="7"/>
        <v>0</v>
      </c>
      <c r="I43" s="90">
        <f t="shared" si="7"/>
        <v>3021717.6010154197</v>
      </c>
    </row>
    <row r="44" spans="2:9" ht="13" x14ac:dyDescent="0.3">
      <c r="B44" s="286"/>
      <c r="C44" s="87" t="s">
        <v>298</v>
      </c>
      <c r="D44" s="11">
        <f t="shared" ref="D44:I44" si="8">D43+D32</f>
        <v>8859724.1396534219</v>
      </c>
      <c r="E44" s="11">
        <f t="shared" si="8"/>
        <v>0</v>
      </c>
      <c r="F44" s="11">
        <f t="shared" si="8"/>
        <v>8859724.1396534219</v>
      </c>
      <c r="G44" s="11">
        <f t="shared" si="8"/>
        <v>8295147.7718152134</v>
      </c>
      <c r="H44" s="11">
        <f t="shared" si="8"/>
        <v>0</v>
      </c>
      <c r="I44" s="11">
        <f t="shared" si="8"/>
        <v>8295147.7718152134</v>
      </c>
    </row>
    <row r="45" spans="2:9" ht="13" x14ac:dyDescent="0.3">
      <c r="B45" s="286"/>
      <c r="C45" s="137" t="s">
        <v>465</v>
      </c>
      <c r="D45" s="11">
        <f t="shared" ref="D45:I45" si="9">D22-ABS(D44)</f>
        <v>12186927.688539099</v>
      </c>
      <c r="E45" s="11">
        <f t="shared" si="9"/>
        <v>0</v>
      </c>
      <c r="F45" s="11">
        <f t="shared" si="9"/>
        <v>12186927.688539099</v>
      </c>
      <c r="G45" s="11">
        <f t="shared" si="9"/>
        <v>12379264.934489183</v>
      </c>
      <c r="H45" s="11">
        <f t="shared" si="9"/>
        <v>0</v>
      </c>
      <c r="I45" s="11">
        <f t="shared" si="9"/>
        <v>12379264.934489183</v>
      </c>
    </row>
    <row r="73" spans="2:2" ht="23.15" customHeight="1" x14ac:dyDescent="0.25"/>
    <row r="77" spans="2:2" x14ac:dyDescent="0.25">
      <c r="B77" s="100"/>
    </row>
    <row r="85" spans="2:2" x14ac:dyDescent="0.25">
      <c r="B85" s="100"/>
    </row>
    <row r="92" spans="2:2" x14ac:dyDescent="0.25">
      <c r="B92" s="100"/>
    </row>
    <row r="115" ht="16.5" customHeight="1" x14ac:dyDescent="0.25"/>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F5BE3-3D86-475C-A8F7-376195E7752B}">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2" width="18.453125" style="4" customWidth="1"/>
    <col min="3" max="3" width="52.54296875" style="4" customWidth="1"/>
    <col min="4" max="11" width="20.54296875" style="4" customWidth="1"/>
    <col min="12" max="16384" width="9.453125" style="4"/>
  </cols>
  <sheetData>
    <row r="1" spans="2:13" ht="20.25" customHeight="1" x14ac:dyDescent="0.4">
      <c r="B1" s="135" t="s">
        <v>302</v>
      </c>
      <c r="C1" s="135"/>
      <c r="D1" s="204"/>
      <c r="E1" s="204"/>
      <c r="F1" s="204"/>
      <c r="G1" s="204"/>
      <c r="H1" s="204"/>
      <c r="I1" s="204"/>
    </row>
    <row r="2" spans="2:13" ht="20.25" customHeight="1" x14ac:dyDescent="0.7">
      <c r="B2" s="135" t="str">
        <f>IF(Tradingname=0," ",Tradingname)</f>
        <v>APA Pipelines Investments (BWP) Pty Limited</v>
      </c>
      <c r="C2" s="135"/>
      <c r="I2" s="243"/>
    </row>
    <row r="3" spans="2:13" ht="20.25" customHeight="1" x14ac:dyDescent="0.4">
      <c r="B3" s="135" t="s">
        <v>109</v>
      </c>
      <c r="C3" s="99">
        <f>IF(Yearending=0, "01/01/2000", Yearending)</f>
        <v>45838</v>
      </c>
    </row>
    <row r="4" spans="2:13" ht="20" x14ac:dyDescent="0.25">
      <c r="B4" s="91" t="s">
        <v>452</v>
      </c>
      <c r="C4" s="91"/>
      <c r="D4" s="249"/>
      <c r="G4" s="249"/>
    </row>
    <row r="5" spans="2:13" x14ac:dyDescent="0.25">
      <c r="B5" s="191"/>
      <c r="C5" s="191"/>
      <c r="D5" s="191"/>
      <c r="E5" s="191"/>
      <c r="F5" s="191"/>
      <c r="G5" s="191"/>
      <c r="H5" s="191"/>
      <c r="I5" s="191"/>
      <c r="J5" s="191"/>
      <c r="K5" s="191"/>
      <c r="L5" s="191"/>
      <c r="M5" s="191"/>
    </row>
    <row r="6" spans="2:13" x14ac:dyDescent="0.25">
      <c r="B6" s="191"/>
      <c r="C6" s="191"/>
      <c r="D6" s="191"/>
      <c r="E6" s="191"/>
      <c r="F6" s="191"/>
      <c r="G6" s="191"/>
      <c r="H6" s="191"/>
      <c r="I6" s="191"/>
      <c r="J6" s="191"/>
      <c r="K6" s="191"/>
      <c r="L6" s="191"/>
      <c r="M6" s="191"/>
    </row>
    <row r="7" spans="2:13" ht="15.5" x14ac:dyDescent="0.25">
      <c r="B7" s="250" t="s">
        <v>266</v>
      </c>
      <c r="C7" s="191"/>
      <c r="D7" s="191"/>
      <c r="E7" s="191"/>
      <c r="F7" s="191"/>
      <c r="G7" s="191"/>
      <c r="H7" s="191"/>
      <c r="I7" s="191"/>
      <c r="J7" s="191"/>
      <c r="K7" s="191"/>
      <c r="L7" s="191"/>
      <c r="M7" s="191"/>
    </row>
    <row r="8" spans="2:13" ht="13" x14ac:dyDescent="0.3">
      <c r="B8" s="251"/>
      <c r="C8" s="252"/>
      <c r="D8" s="253"/>
      <c r="E8" s="253"/>
      <c r="F8" s="253"/>
      <c r="G8" s="253"/>
      <c r="H8" s="253"/>
      <c r="I8" s="253"/>
      <c r="J8" s="253"/>
      <c r="K8" s="253"/>
      <c r="L8" s="191"/>
      <c r="M8" s="191"/>
    </row>
    <row r="9" spans="2:13" ht="21" customHeight="1" x14ac:dyDescent="0.25">
      <c r="B9" s="254"/>
      <c r="C9" s="254"/>
      <c r="D9" s="396" t="s">
        <v>129</v>
      </c>
      <c r="E9" s="397"/>
      <c r="F9" s="397"/>
      <c r="G9" s="398"/>
      <c r="H9" s="396" t="s">
        <v>130</v>
      </c>
      <c r="I9" s="397"/>
      <c r="J9" s="397"/>
      <c r="K9" s="398"/>
      <c r="L9" s="191"/>
      <c r="M9" s="191"/>
    </row>
    <row r="10" spans="2:13" ht="51" customHeight="1" x14ac:dyDescent="0.25">
      <c r="B10" s="44" t="s">
        <v>307</v>
      </c>
      <c r="C10" s="254" t="s">
        <v>13</v>
      </c>
      <c r="D10" s="220" t="s">
        <v>240</v>
      </c>
      <c r="E10" s="220" t="s">
        <v>41</v>
      </c>
      <c r="F10" s="220" t="s">
        <v>42</v>
      </c>
      <c r="G10" s="220" t="s">
        <v>18</v>
      </c>
      <c r="H10" s="220" t="s">
        <v>240</v>
      </c>
      <c r="I10" s="220" t="s">
        <v>41</v>
      </c>
      <c r="J10" s="220" t="s">
        <v>42</v>
      </c>
      <c r="K10" s="220" t="s">
        <v>18</v>
      </c>
      <c r="L10" s="191"/>
      <c r="M10" s="191"/>
    </row>
    <row r="11" spans="2:13" ht="15.75" customHeight="1" x14ac:dyDescent="0.25">
      <c r="B11" s="44"/>
      <c r="C11" s="254"/>
      <c r="D11" s="111" t="s">
        <v>241</v>
      </c>
      <c r="E11" s="111" t="s">
        <v>110</v>
      </c>
      <c r="F11" s="111" t="s">
        <v>110</v>
      </c>
      <c r="G11" s="111" t="s">
        <v>110</v>
      </c>
      <c r="H11" s="111" t="s">
        <v>241</v>
      </c>
      <c r="I11" s="111" t="s">
        <v>110</v>
      </c>
      <c r="J11" s="111" t="s">
        <v>110</v>
      </c>
      <c r="K11" s="111" t="s">
        <v>110</v>
      </c>
      <c r="L11" s="191"/>
      <c r="M11" s="191"/>
    </row>
    <row r="12" spans="2:13" ht="13" x14ac:dyDescent="0.3">
      <c r="B12" s="188"/>
      <c r="C12" s="261" t="s">
        <v>249</v>
      </c>
      <c r="D12" s="111"/>
      <c r="E12" s="111"/>
      <c r="F12" s="111"/>
      <c r="G12" s="111"/>
      <c r="H12" s="111"/>
      <c r="I12" s="111"/>
      <c r="J12" s="111"/>
      <c r="K12" s="111"/>
      <c r="L12" s="191"/>
      <c r="M12" s="191"/>
    </row>
    <row r="13" spans="2:13" x14ac:dyDescent="0.25">
      <c r="B13" s="316" t="s">
        <v>507</v>
      </c>
      <c r="C13" s="112" t="s">
        <v>360</v>
      </c>
      <c r="D13" s="72">
        <v>0.79606145276576101</v>
      </c>
      <c r="E13" s="262">
        <f t="shared" ref="E13:E22" si="0">D13*$E$23</f>
        <v>16754428.230206098</v>
      </c>
      <c r="F13" s="262">
        <f t="shared" ref="F13:F22" si="1">D13*$F$23</f>
        <v>0</v>
      </c>
      <c r="G13" s="113">
        <f t="shared" ref="G13:G22" si="2">SUM(E13:F13)</f>
        <v>16754428.230206098</v>
      </c>
      <c r="H13" s="72">
        <v>0.8505729828923122</v>
      </c>
      <c r="I13" s="262">
        <f t="shared" ref="I13:I22" si="3">H13*$I$23</f>
        <v>17585096.885148052</v>
      </c>
      <c r="J13" s="262">
        <f t="shared" ref="J13:J22" si="4">H13*$J$23</f>
        <v>0</v>
      </c>
      <c r="K13" s="113">
        <f t="shared" ref="K13:K22" si="5">SUM(I13:J13)</f>
        <v>17585096.885148052</v>
      </c>
      <c r="L13" s="191"/>
      <c r="M13" s="263"/>
    </row>
    <row r="14" spans="2:13" x14ac:dyDescent="0.25">
      <c r="B14" s="317" t="s">
        <v>507</v>
      </c>
      <c r="C14" s="112" t="s">
        <v>450</v>
      </c>
      <c r="D14" s="72">
        <v>0</v>
      </c>
      <c r="E14" s="262">
        <f t="shared" si="0"/>
        <v>0</v>
      </c>
      <c r="F14" s="262">
        <f t="shared" si="1"/>
        <v>0</v>
      </c>
      <c r="G14" s="113">
        <f t="shared" si="2"/>
        <v>0</v>
      </c>
      <c r="H14" s="72">
        <v>0</v>
      </c>
      <c r="I14" s="262">
        <f t="shared" si="3"/>
        <v>0</v>
      </c>
      <c r="J14" s="262">
        <f t="shared" si="4"/>
        <v>0</v>
      </c>
      <c r="K14" s="113">
        <f t="shared" si="5"/>
        <v>0</v>
      </c>
      <c r="L14" s="191"/>
      <c r="M14" s="263"/>
    </row>
    <row r="15" spans="2:13" x14ac:dyDescent="0.25">
      <c r="B15" s="317" t="s">
        <v>507</v>
      </c>
      <c r="C15" s="112" t="s">
        <v>362</v>
      </c>
      <c r="D15" s="72">
        <v>0.17601377394100337</v>
      </c>
      <c r="E15" s="262">
        <f t="shared" si="0"/>
        <v>3704500.6171024838</v>
      </c>
      <c r="F15" s="262">
        <f t="shared" si="1"/>
        <v>0</v>
      </c>
      <c r="G15" s="113">
        <f t="shared" si="2"/>
        <v>3704500.6171024838</v>
      </c>
      <c r="H15" s="72">
        <v>0.14717876673196179</v>
      </c>
      <c r="I15" s="262">
        <f t="shared" si="3"/>
        <v>3042834.5650214818</v>
      </c>
      <c r="J15" s="262">
        <f t="shared" si="4"/>
        <v>0</v>
      </c>
      <c r="K15" s="113">
        <f t="shared" si="5"/>
        <v>3042834.5650214818</v>
      </c>
      <c r="L15" s="191"/>
      <c r="M15" s="263"/>
    </row>
    <row r="16" spans="2:13" x14ac:dyDescent="0.25">
      <c r="B16" s="317" t="s">
        <v>507</v>
      </c>
      <c r="C16" s="112" t="s">
        <v>363</v>
      </c>
      <c r="D16" s="72">
        <v>0</v>
      </c>
      <c r="E16" s="262">
        <f t="shared" si="0"/>
        <v>0</v>
      </c>
      <c r="F16" s="262">
        <f t="shared" si="1"/>
        <v>0</v>
      </c>
      <c r="G16" s="113">
        <f t="shared" si="2"/>
        <v>0</v>
      </c>
      <c r="H16" s="72">
        <v>0</v>
      </c>
      <c r="I16" s="262">
        <f t="shared" si="3"/>
        <v>0</v>
      </c>
      <c r="J16" s="262">
        <f t="shared" si="4"/>
        <v>0</v>
      </c>
      <c r="K16" s="113">
        <f t="shared" si="5"/>
        <v>0</v>
      </c>
      <c r="L16" s="191"/>
      <c r="M16" s="263"/>
    </row>
    <row r="17" spans="2:13" x14ac:dyDescent="0.25">
      <c r="B17" s="317" t="s">
        <v>507</v>
      </c>
      <c r="C17" s="194" t="s">
        <v>364</v>
      </c>
      <c r="D17" s="72">
        <v>0</v>
      </c>
      <c r="E17" s="262">
        <f t="shared" si="0"/>
        <v>0</v>
      </c>
      <c r="F17" s="262">
        <f t="shared" si="1"/>
        <v>0</v>
      </c>
      <c r="G17" s="113">
        <f t="shared" si="2"/>
        <v>0</v>
      </c>
      <c r="H17" s="72">
        <v>0</v>
      </c>
      <c r="I17" s="262">
        <f t="shared" si="3"/>
        <v>0</v>
      </c>
      <c r="J17" s="262">
        <f t="shared" si="4"/>
        <v>0</v>
      </c>
      <c r="K17" s="113">
        <f t="shared" si="5"/>
        <v>0</v>
      </c>
      <c r="L17" s="191"/>
      <c r="M17" s="263"/>
    </row>
    <row r="18" spans="2:13" x14ac:dyDescent="0.25">
      <c r="B18" s="317" t="s">
        <v>507</v>
      </c>
      <c r="C18" s="112" t="s">
        <v>451</v>
      </c>
      <c r="D18" s="72">
        <v>0</v>
      </c>
      <c r="E18" s="262">
        <f t="shared" si="0"/>
        <v>0</v>
      </c>
      <c r="F18" s="262">
        <f t="shared" si="1"/>
        <v>0</v>
      </c>
      <c r="G18" s="113">
        <f t="shared" si="2"/>
        <v>0</v>
      </c>
      <c r="H18" s="72">
        <v>0</v>
      </c>
      <c r="I18" s="262">
        <f t="shared" si="3"/>
        <v>0</v>
      </c>
      <c r="J18" s="262">
        <f t="shared" si="4"/>
        <v>0</v>
      </c>
      <c r="K18" s="113">
        <f t="shared" si="5"/>
        <v>0</v>
      </c>
      <c r="L18" s="191"/>
      <c r="M18" s="263"/>
    </row>
    <row r="19" spans="2:13" x14ac:dyDescent="0.25">
      <c r="B19" s="317" t="s">
        <v>507</v>
      </c>
      <c r="C19" s="112" t="s">
        <v>366</v>
      </c>
      <c r="D19" s="72">
        <v>0</v>
      </c>
      <c r="E19" s="262">
        <f t="shared" si="0"/>
        <v>0</v>
      </c>
      <c r="F19" s="262">
        <f t="shared" si="1"/>
        <v>0</v>
      </c>
      <c r="G19" s="113">
        <f t="shared" si="2"/>
        <v>0</v>
      </c>
      <c r="H19" s="72">
        <v>0</v>
      </c>
      <c r="I19" s="262">
        <f t="shared" si="3"/>
        <v>0</v>
      </c>
      <c r="J19" s="262">
        <f t="shared" si="4"/>
        <v>0</v>
      </c>
      <c r="K19" s="113">
        <f t="shared" si="5"/>
        <v>0</v>
      </c>
      <c r="L19" s="191"/>
      <c r="M19" s="263"/>
    </row>
    <row r="20" spans="2:13" x14ac:dyDescent="0.25">
      <c r="B20" s="317" t="s">
        <v>507</v>
      </c>
      <c r="C20" s="112" t="s">
        <v>367</v>
      </c>
      <c r="D20" s="72">
        <v>2.8549171714647569E-4</v>
      </c>
      <c r="E20" s="262">
        <f t="shared" si="0"/>
        <v>6008.6447706146946</v>
      </c>
      <c r="F20" s="262">
        <f t="shared" si="1"/>
        <v>0</v>
      </c>
      <c r="G20" s="113">
        <f t="shared" si="2"/>
        <v>6008.6447706146946</v>
      </c>
      <c r="H20" s="72">
        <v>0</v>
      </c>
      <c r="I20" s="262">
        <f t="shared" si="3"/>
        <v>0</v>
      </c>
      <c r="J20" s="262">
        <f t="shared" si="4"/>
        <v>0</v>
      </c>
      <c r="K20" s="113">
        <f t="shared" si="5"/>
        <v>0</v>
      </c>
      <c r="L20" s="191"/>
      <c r="M20" s="263"/>
    </row>
    <row r="21" spans="2:13" x14ac:dyDescent="0.25">
      <c r="B21" s="317" t="s">
        <v>507</v>
      </c>
      <c r="C21" s="112" t="s">
        <v>368</v>
      </c>
      <c r="D21" s="72">
        <v>0</v>
      </c>
      <c r="E21" s="262">
        <f t="shared" si="0"/>
        <v>0</v>
      </c>
      <c r="F21" s="262">
        <f t="shared" si="1"/>
        <v>0</v>
      </c>
      <c r="G21" s="113">
        <f t="shared" si="2"/>
        <v>0</v>
      </c>
      <c r="H21" s="72">
        <v>5.6340316513945872E-4</v>
      </c>
      <c r="I21" s="262">
        <f t="shared" si="3"/>
        <v>11648.02955613134</v>
      </c>
      <c r="J21" s="262">
        <f t="shared" si="4"/>
        <v>0</v>
      </c>
      <c r="K21" s="113">
        <f t="shared" si="5"/>
        <v>11648.02955613134</v>
      </c>
      <c r="L21" s="191"/>
      <c r="M21" s="263"/>
    </row>
    <row r="22" spans="2:13" x14ac:dyDescent="0.25">
      <c r="B22" s="317" t="s">
        <v>507</v>
      </c>
      <c r="C22" s="112" t="s">
        <v>311</v>
      </c>
      <c r="D22" s="72">
        <v>2.7639281576089206E-2</v>
      </c>
      <c r="E22" s="262">
        <f t="shared" si="0"/>
        <v>581714.33611332579</v>
      </c>
      <c r="F22" s="262">
        <f t="shared" si="1"/>
        <v>0</v>
      </c>
      <c r="G22" s="113">
        <f t="shared" si="2"/>
        <v>581714.33611332579</v>
      </c>
      <c r="H22" s="72">
        <v>1.684847210586562E-3</v>
      </c>
      <c r="I22" s="262">
        <f t="shared" si="3"/>
        <v>34833.226578732341</v>
      </c>
      <c r="J22" s="262">
        <f t="shared" si="4"/>
        <v>0</v>
      </c>
      <c r="K22" s="113">
        <f t="shared" si="5"/>
        <v>34833.226578732341</v>
      </c>
      <c r="L22" s="191"/>
      <c r="M22" s="263"/>
    </row>
    <row r="23" spans="2:13" ht="13" x14ac:dyDescent="0.3">
      <c r="B23" s="287"/>
      <c r="C23" s="186" t="s">
        <v>250</v>
      </c>
      <c r="D23" s="118">
        <f>SUM(D13:D22)</f>
        <v>1</v>
      </c>
      <c r="E23" s="114">
        <f>'2.1 Profit &amp; Loss by component'!D18-'2.1 Profit &amp; Loss by component'!D15-'2.1 Profit &amp; Loss by component'!D14</f>
        <v>21046651.828192521</v>
      </c>
      <c r="F23" s="114">
        <f>'2.1 Profit &amp; Loss by component'!E18-'2.1 Profit &amp; Loss by component'!E14</f>
        <v>0</v>
      </c>
      <c r="G23" s="114">
        <f>SUM(G13:G22)</f>
        <v>21046651.828192525</v>
      </c>
      <c r="H23" s="118">
        <f>SUM(H13:H22)</f>
        <v>1</v>
      </c>
      <c r="I23" s="114">
        <f>'2.1 Profit &amp; Loss by component'!G18-'2.1 Profit &amp; Loss by component'!G14-'2.1 Profit &amp; Loss by component'!G15</f>
        <v>20674412.706304397</v>
      </c>
      <c r="J23" s="114">
        <f>'2.1 Profit &amp; Loss by component'!H18-'2.1 Profit &amp; Loss by component'!H14-'2.1 Profit &amp; Loss by component'!H15</f>
        <v>0</v>
      </c>
      <c r="K23" s="114">
        <f>SUM(K13:K22)</f>
        <v>20674412.706304397</v>
      </c>
      <c r="L23" s="191"/>
      <c r="M23" s="191"/>
    </row>
    <row r="24" spans="2:13" ht="13" x14ac:dyDescent="0.3">
      <c r="B24" s="188"/>
      <c r="C24" s="261" t="s">
        <v>242</v>
      </c>
      <c r="D24" s="111"/>
      <c r="E24" s="111"/>
      <c r="F24" s="111"/>
      <c r="G24" s="111"/>
      <c r="H24" s="111"/>
      <c r="I24" s="111"/>
      <c r="J24" s="111"/>
      <c r="K24" s="111"/>
      <c r="L24" s="191"/>
      <c r="M24" s="191"/>
    </row>
    <row r="25" spans="2:13" x14ac:dyDescent="0.25">
      <c r="B25" s="317" t="s">
        <v>507</v>
      </c>
      <c r="C25" s="112" t="s">
        <v>360</v>
      </c>
      <c r="D25" s="72">
        <v>0</v>
      </c>
      <c r="E25" s="262">
        <f t="shared" ref="E25:F34" si="6">$D25*E$35</f>
        <v>0</v>
      </c>
      <c r="F25" s="262">
        <f t="shared" si="6"/>
        <v>0</v>
      </c>
      <c r="G25" s="113">
        <f t="shared" ref="G25:G34" si="7">SUM(E25:F25)</f>
        <v>0</v>
      </c>
      <c r="H25" s="72">
        <v>0</v>
      </c>
      <c r="I25" s="262">
        <f t="shared" ref="I25:I34" si="8">H25*$I$35</f>
        <v>0</v>
      </c>
      <c r="J25" s="262">
        <f t="shared" ref="J25:J34" si="9">H25*$J$35</f>
        <v>0</v>
      </c>
      <c r="K25" s="113">
        <f t="shared" ref="K25:K34" si="10">SUM(I25:J25)</f>
        <v>0</v>
      </c>
      <c r="L25" s="191"/>
      <c r="M25" s="191"/>
    </row>
    <row r="26" spans="2:13" x14ac:dyDescent="0.25">
      <c r="B26" s="317" t="s">
        <v>507</v>
      </c>
      <c r="C26" s="112" t="s">
        <v>450</v>
      </c>
      <c r="D26" s="72">
        <v>0</v>
      </c>
      <c r="E26" s="262">
        <f t="shared" si="6"/>
        <v>0</v>
      </c>
      <c r="F26" s="262">
        <f t="shared" si="6"/>
        <v>0</v>
      </c>
      <c r="G26" s="113">
        <f t="shared" si="7"/>
        <v>0</v>
      </c>
      <c r="H26" s="72">
        <v>0</v>
      </c>
      <c r="I26" s="262">
        <f t="shared" si="8"/>
        <v>0</v>
      </c>
      <c r="J26" s="262">
        <f t="shared" si="9"/>
        <v>0</v>
      </c>
      <c r="K26" s="113">
        <f t="shared" si="10"/>
        <v>0</v>
      </c>
      <c r="L26" s="191"/>
      <c r="M26" s="191"/>
    </row>
    <row r="27" spans="2:13" x14ac:dyDescent="0.25">
      <c r="B27" s="317" t="s">
        <v>507</v>
      </c>
      <c r="C27" s="112" t="s">
        <v>362</v>
      </c>
      <c r="D27" s="72">
        <v>0</v>
      </c>
      <c r="E27" s="262">
        <f t="shared" si="6"/>
        <v>0</v>
      </c>
      <c r="F27" s="262">
        <f t="shared" si="6"/>
        <v>0</v>
      </c>
      <c r="G27" s="113">
        <f t="shared" si="7"/>
        <v>0</v>
      </c>
      <c r="H27" s="72">
        <v>0</v>
      </c>
      <c r="I27" s="262">
        <f t="shared" si="8"/>
        <v>0</v>
      </c>
      <c r="J27" s="262">
        <f t="shared" si="9"/>
        <v>0</v>
      </c>
      <c r="K27" s="113">
        <f t="shared" si="10"/>
        <v>0</v>
      </c>
      <c r="L27" s="191"/>
      <c r="M27" s="191"/>
    </row>
    <row r="28" spans="2:13" ht="12.75" customHeight="1" x14ac:dyDescent="0.25">
      <c r="B28" s="317" t="s">
        <v>507</v>
      </c>
      <c r="C28" s="112" t="s">
        <v>363</v>
      </c>
      <c r="D28" s="72">
        <v>0</v>
      </c>
      <c r="E28" s="262">
        <f t="shared" si="6"/>
        <v>0</v>
      </c>
      <c r="F28" s="262">
        <f t="shared" si="6"/>
        <v>0</v>
      </c>
      <c r="G28" s="113">
        <f t="shared" si="7"/>
        <v>0</v>
      </c>
      <c r="H28" s="72">
        <v>0</v>
      </c>
      <c r="I28" s="262">
        <f t="shared" si="8"/>
        <v>0</v>
      </c>
      <c r="J28" s="262">
        <f t="shared" si="9"/>
        <v>0</v>
      </c>
      <c r="K28" s="113">
        <f t="shared" si="10"/>
        <v>0</v>
      </c>
      <c r="L28" s="191"/>
      <c r="M28" s="191"/>
    </row>
    <row r="29" spans="2:13" ht="12.75" customHeight="1" x14ac:dyDescent="0.25">
      <c r="B29" s="317" t="s">
        <v>507</v>
      </c>
      <c r="C29" s="194" t="s">
        <v>364</v>
      </c>
      <c r="D29" s="72">
        <v>0</v>
      </c>
      <c r="E29" s="262">
        <f t="shared" si="6"/>
        <v>0</v>
      </c>
      <c r="F29" s="262">
        <f t="shared" si="6"/>
        <v>0</v>
      </c>
      <c r="G29" s="113">
        <f t="shared" si="7"/>
        <v>0</v>
      </c>
      <c r="H29" s="72">
        <v>0</v>
      </c>
      <c r="I29" s="262">
        <f t="shared" si="8"/>
        <v>0</v>
      </c>
      <c r="J29" s="262">
        <f t="shared" si="9"/>
        <v>0</v>
      </c>
      <c r="K29" s="113">
        <f t="shared" si="10"/>
        <v>0</v>
      </c>
      <c r="L29" s="191"/>
      <c r="M29" s="191"/>
    </row>
    <row r="30" spans="2:13" x14ac:dyDescent="0.25">
      <c r="B30" s="317" t="s">
        <v>507</v>
      </c>
      <c r="C30" s="112" t="s">
        <v>451</v>
      </c>
      <c r="D30" s="72">
        <v>0</v>
      </c>
      <c r="E30" s="262">
        <f t="shared" si="6"/>
        <v>0</v>
      </c>
      <c r="F30" s="262">
        <f t="shared" si="6"/>
        <v>0</v>
      </c>
      <c r="G30" s="113">
        <f t="shared" si="7"/>
        <v>0</v>
      </c>
      <c r="H30" s="72">
        <v>0</v>
      </c>
      <c r="I30" s="262">
        <f t="shared" si="8"/>
        <v>0</v>
      </c>
      <c r="J30" s="262">
        <f t="shared" si="9"/>
        <v>0</v>
      </c>
      <c r="K30" s="113">
        <f t="shared" si="10"/>
        <v>0</v>
      </c>
      <c r="L30" s="191"/>
      <c r="M30" s="191"/>
    </row>
    <row r="31" spans="2:13" x14ac:dyDescent="0.25">
      <c r="B31" s="317" t="s">
        <v>507</v>
      </c>
      <c r="C31" s="112" t="s">
        <v>366</v>
      </c>
      <c r="D31" s="72">
        <v>0</v>
      </c>
      <c r="E31" s="262">
        <f t="shared" si="6"/>
        <v>0</v>
      </c>
      <c r="F31" s="262">
        <f t="shared" si="6"/>
        <v>0</v>
      </c>
      <c r="G31" s="113">
        <f t="shared" si="7"/>
        <v>0</v>
      </c>
      <c r="H31" s="72">
        <v>0</v>
      </c>
      <c r="I31" s="262">
        <f t="shared" si="8"/>
        <v>0</v>
      </c>
      <c r="J31" s="262">
        <f t="shared" si="9"/>
        <v>0</v>
      </c>
      <c r="K31" s="113">
        <f t="shared" si="10"/>
        <v>0</v>
      </c>
      <c r="L31" s="191"/>
      <c r="M31" s="191"/>
    </row>
    <row r="32" spans="2:13" x14ac:dyDescent="0.25">
      <c r="B32" s="317" t="s">
        <v>507</v>
      </c>
      <c r="C32" s="112" t="s">
        <v>367</v>
      </c>
      <c r="D32" s="72">
        <v>0</v>
      </c>
      <c r="E32" s="262">
        <f t="shared" si="6"/>
        <v>0</v>
      </c>
      <c r="F32" s="262">
        <f t="shared" si="6"/>
        <v>0</v>
      </c>
      <c r="G32" s="113">
        <f t="shared" si="7"/>
        <v>0</v>
      </c>
      <c r="H32" s="72">
        <v>0</v>
      </c>
      <c r="I32" s="262">
        <f t="shared" si="8"/>
        <v>0</v>
      </c>
      <c r="J32" s="262">
        <f t="shared" si="9"/>
        <v>0</v>
      </c>
      <c r="K32" s="113">
        <f t="shared" si="10"/>
        <v>0</v>
      </c>
      <c r="L32" s="191"/>
      <c r="M32" s="191"/>
    </row>
    <row r="33" spans="2:13" x14ac:dyDescent="0.25">
      <c r="B33" s="317" t="s">
        <v>507</v>
      </c>
      <c r="C33" s="112" t="s">
        <v>368</v>
      </c>
      <c r="D33" s="72">
        <v>0</v>
      </c>
      <c r="E33" s="262">
        <f t="shared" si="6"/>
        <v>0</v>
      </c>
      <c r="F33" s="262">
        <f t="shared" si="6"/>
        <v>0</v>
      </c>
      <c r="G33" s="113">
        <f t="shared" si="7"/>
        <v>0</v>
      </c>
      <c r="H33" s="72">
        <v>0</v>
      </c>
      <c r="I33" s="262">
        <f t="shared" si="8"/>
        <v>0</v>
      </c>
      <c r="J33" s="262">
        <f t="shared" si="9"/>
        <v>0</v>
      </c>
      <c r="K33" s="113">
        <f t="shared" si="10"/>
        <v>0</v>
      </c>
      <c r="L33" s="191"/>
      <c r="M33" s="191"/>
    </row>
    <row r="34" spans="2:13" x14ac:dyDescent="0.25">
      <c r="B34" s="317" t="s">
        <v>507</v>
      </c>
      <c r="C34" s="112" t="s">
        <v>311</v>
      </c>
      <c r="D34" s="72">
        <v>0</v>
      </c>
      <c r="E34" s="262">
        <f t="shared" si="6"/>
        <v>0</v>
      </c>
      <c r="F34" s="262">
        <f t="shared" si="6"/>
        <v>0</v>
      </c>
      <c r="G34" s="113">
        <f t="shared" si="7"/>
        <v>0</v>
      </c>
      <c r="H34" s="72">
        <v>0</v>
      </c>
      <c r="I34" s="262">
        <f t="shared" si="8"/>
        <v>0</v>
      </c>
      <c r="J34" s="262">
        <f t="shared" si="9"/>
        <v>0</v>
      </c>
      <c r="K34" s="113">
        <f t="shared" si="10"/>
        <v>0</v>
      </c>
      <c r="L34" s="191"/>
      <c r="M34" s="191"/>
    </row>
    <row r="35" spans="2:13" ht="13" x14ac:dyDescent="0.3">
      <c r="B35" s="287"/>
      <c r="C35" s="186" t="s">
        <v>243</v>
      </c>
      <c r="D35" s="118">
        <f>SUM(D25:D34)</f>
        <v>0</v>
      </c>
      <c r="E35" s="114">
        <f>'2.1 Profit &amp; Loss by component'!D14+'2.1 Profit &amp; Loss by component'!D15</f>
        <v>0</v>
      </c>
      <c r="F35" s="114">
        <f>'2.1 Profit &amp; Loss by component'!E14+'2.1 Profit &amp; Loss by component'!E15</f>
        <v>0</v>
      </c>
      <c r="G35" s="114">
        <f>SUM(G25:G34)</f>
        <v>0</v>
      </c>
      <c r="H35" s="118">
        <f>SUM(H25:H34)</f>
        <v>0</v>
      </c>
      <c r="I35" s="114">
        <f>'2.1 Profit &amp; Loss by component'!G14+'2.1 Profit &amp; Loss by component'!G15</f>
        <v>0</v>
      </c>
      <c r="J35" s="114">
        <f>'2.1 Profit &amp; Loss by component'!H14</f>
        <v>0</v>
      </c>
      <c r="K35" s="114">
        <f>SUM(K25:K34)</f>
        <v>0</v>
      </c>
      <c r="L35" s="191"/>
      <c r="M35" s="191"/>
    </row>
    <row r="36" spans="2:13" ht="13" x14ac:dyDescent="0.3">
      <c r="B36" s="188"/>
      <c r="C36" s="261" t="s">
        <v>38</v>
      </c>
      <c r="D36" s="111"/>
      <c r="E36" s="111"/>
      <c r="F36" s="111"/>
      <c r="G36" s="111"/>
      <c r="H36" s="111"/>
      <c r="I36" s="111"/>
      <c r="J36" s="111"/>
      <c r="K36" s="111"/>
      <c r="L36" s="191"/>
      <c r="M36" s="191"/>
    </row>
    <row r="37" spans="2:13" x14ac:dyDescent="0.25">
      <c r="B37" s="317" t="s">
        <v>507</v>
      </c>
      <c r="C37" s="112" t="s">
        <v>360</v>
      </c>
      <c r="D37" s="72">
        <v>0</v>
      </c>
      <c r="E37" s="262">
        <f>$D37*'2.4 Indirect revenue'!$G$42</f>
        <v>0</v>
      </c>
      <c r="F37" s="262">
        <f>$D37*'2.4 Indirect revenue'!$H$42</f>
        <v>0</v>
      </c>
      <c r="G37" s="113">
        <f t="shared" ref="G37:G46" si="11">SUM(E37:F37)</f>
        <v>0</v>
      </c>
      <c r="H37" s="72">
        <v>0</v>
      </c>
      <c r="I37" s="262">
        <f t="shared" ref="I37:I46" si="12">H37*$I$47</f>
        <v>0</v>
      </c>
      <c r="J37" s="262">
        <f t="shared" ref="J37:J46" si="13">H37*$J$47</f>
        <v>0</v>
      </c>
      <c r="K37" s="113">
        <f t="shared" ref="K37:K46" si="14">SUM(I37:J37)</f>
        <v>0</v>
      </c>
      <c r="L37" s="191"/>
      <c r="M37" s="191"/>
    </row>
    <row r="38" spans="2:13" x14ac:dyDescent="0.25">
      <c r="B38" s="317" t="s">
        <v>507</v>
      </c>
      <c r="C38" s="112" t="s">
        <v>450</v>
      </c>
      <c r="D38" s="72">
        <v>0</v>
      </c>
      <c r="E38" s="262">
        <f>$D38*'2.4 Indirect revenue'!$G$42</f>
        <v>0</v>
      </c>
      <c r="F38" s="262">
        <f>$D38*'2.4 Indirect revenue'!$H$42</f>
        <v>0</v>
      </c>
      <c r="G38" s="113">
        <f t="shared" si="11"/>
        <v>0</v>
      </c>
      <c r="H38" s="72">
        <v>0</v>
      </c>
      <c r="I38" s="262">
        <f t="shared" si="12"/>
        <v>0</v>
      </c>
      <c r="J38" s="262">
        <f t="shared" si="13"/>
        <v>0</v>
      </c>
      <c r="K38" s="113">
        <f t="shared" si="14"/>
        <v>0</v>
      </c>
      <c r="L38" s="191"/>
      <c r="M38" s="191"/>
    </row>
    <row r="39" spans="2:13" x14ac:dyDescent="0.25">
      <c r="B39" s="317" t="s">
        <v>507</v>
      </c>
      <c r="C39" s="112" t="s">
        <v>362</v>
      </c>
      <c r="D39" s="72">
        <v>0</v>
      </c>
      <c r="E39" s="262">
        <f>$D39*'2.4 Indirect revenue'!$G$42</f>
        <v>0</v>
      </c>
      <c r="F39" s="262">
        <f>$D39*'2.4 Indirect revenue'!$H$42</f>
        <v>0</v>
      </c>
      <c r="G39" s="113">
        <f t="shared" si="11"/>
        <v>0</v>
      </c>
      <c r="H39" s="72">
        <v>0</v>
      </c>
      <c r="I39" s="262">
        <f t="shared" si="12"/>
        <v>0</v>
      </c>
      <c r="J39" s="262">
        <f t="shared" si="13"/>
        <v>0</v>
      </c>
      <c r="K39" s="113">
        <f t="shared" si="14"/>
        <v>0</v>
      </c>
      <c r="L39" s="191"/>
      <c r="M39" s="191"/>
    </row>
    <row r="40" spans="2:13" x14ac:dyDescent="0.25">
      <c r="B40" s="317" t="s">
        <v>507</v>
      </c>
      <c r="C40" s="112" t="s">
        <v>363</v>
      </c>
      <c r="D40" s="72">
        <v>0</v>
      </c>
      <c r="E40" s="262">
        <f>$D40*'2.4 Indirect revenue'!$G$42</f>
        <v>0</v>
      </c>
      <c r="F40" s="262">
        <f>$D40*'2.4 Indirect revenue'!$H$42</f>
        <v>0</v>
      </c>
      <c r="G40" s="113">
        <f t="shared" si="11"/>
        <v>0</v>
      </c>
      <c r="H40" s="72">
        <v>0</v>
      </c>
      <c r="I40" s="262">
        <f t="shared" si="12"/>
        <v>0</v>
      </c>
      <c r="J40" s="262">
        <f t="shared" si="13"/>
        <v>0</v>
      </c>
      <c r="K40" s="113">
        <f t="shared" si="14"/>
        <v>0</v>
      </c>
      <c r="L40" s="191"/>
      <c r="M40" s="191"/>
    </row>
    <row r="41" spans="2:13" x14ac:dyDescent="0.25">
      <c r="B41" s="317" t="s">
        <v>507</v>
      </c>
      <c r="C41" s="194" t="s">
        <v>364</v>
      </c>
      <c r="D41" s="72">
        <v>0</v>
      </c>
      <c r="E41" s="262">
        <f>$D41*'2.4 Indirect revenue'!$G$42</f>
        <v>0</v>
      </c>
      <c r="F41" s="262">
        <f>$D41*'2.4 Indirect revenue'!$H$42</f>
        <v>0</v>
      </c>
      <c r="G41" s="113">
        <f t="shared" si="11"/>
        <v>0</v>
      </c>
      <c r="H41" s="72">
        <v>0</v>
      </c>
      <c r="I41" s="262">
        <f t="shared" si="12"/>
        <v>0</v>
      </c>
      <c r="J41" s="262">
        <f t="shared" si="13"/>
        <v>0</v>
      </c>
      <c r="K41" s="113">
        <f t="shared" si="14"/>
        <v>0</v>
      </c>
      <c r="L41" s="191"/>
      <c r="M41" s="191"/>
    </row>
    <row r="42" spans="2:13" x14ac:dyDescent="0.25">
      <c r="B42" s="317" t="s">
        <v>507</v>
      </c>
      <c r="C42" s="112" t="s">
        <v>451</v>
      </c>
      <c r="D42" s="72">
        <v>0</v>
      </c>
      <c r="E42" s="262">
        <f>$D42*'2.4 Indirect revenue'!$G$42</f>
        <v>0</v>
      </c>
      <c r="F42" s="262">
        <f>$D42*'2.4 Indirect revenue'!$H$42</f>
        <v>0</v>
      </c>
      <c r="G42" s="113">
        <f t="shared" si="11"/>
        <v>0</v>
      </c>
      <c r="H42" s="72">
        <v>0</v>
      </c>
      <c r="I42" s="262">
        <f t="shared" si="12"/>
        <v>0</v>
      </c>
      <c r="J42" s="262">
        <f t="shared" si="13"/>
        <v>0</v>
      </c>
      <c r="K42" s="113">
        <f t="shared" si="14"/>
        <v>0</v>
      </c>
      <c r="L42" s="191"/>
      <c r="M42" s="191"/>
    </row>
    <row r="43" spans="2:13" x14ac:dyDescent="0.25">
      <c r="B43" s="317" t="s">
        <v>507</v>
      </c>
      <c r="C43" s="112" t="s">
        <v>366</v>
      </c>
      <c r="D43" s="72">
        <v>0</v>
      </c>
      <c r="E43" s="262">
        <f>$D43*'2.4 Indirect revenue'!$G$42</f>
        <v>0</v>
      </c>
      <c r="F43" s="262">
        <f>$D43*'2.4 Indirect revenue'!$H$42</f>
        <v>0</v>
      </c>
      <c r="G43" s="113">
        <f t="shared" si="11"/>
        <v>0</v>
      </c>
      <c r="H43" s="72">
        <v>0</v>
      </c>
      <c r="I43" s="262">
        <f t="shared" si="12"/>
        <v>0</v>
      </c>
      <c r="J43" s="262">
        <f t="shared" si="13"/>
        <v>0</v>
      </c>
      <c r="K43" s="113">
        <f t="shared" si="14"/>
        <v>0</v>
      </c>
      <c r="L43" s="191"/>
      <c r="M43" s="191"/>
    </row>
    <row r="44" spans="2:13" x14ac:dyDescent="0.25">
      <c r="B44" s="317" t="s">
        <v>507</v>
      </c>
      <c r="C44" s="112" t="s">
        <v>367</v>
      </c>
      <c r="D44" s="72">
        <v>0</v>
      </c>
      <c r="E44" s="262">
        <f>$D44*'2.4 Indirect revenue'!$G$42</f>
        <v>0</v>
      </c>
      <c r="F44" s="262">
        <f>$D44*'2.4 Indirect revenue'!$H$42</f>
        <v>0</v>
      </c>
      <c r="G44" s="113">
        <f t="shared" si="11"/>
        <v>0</v>
      </c>
      <c r="H44" s="72">
        <v>0</v>
      </c>
      <c r="I44" s="262">
        <f t="shared" si="12"/>
        <v>0</v>
      </c>
      <c r="J44" s="262">
        <f t="shared" si="13"/>
        <v>0</v>
      </c>
      <c r="K44" s="113">
        <f t="shared" si="14"/>
        <v>0</v>
      </c>
      <c r="L44" s="191"/>
      <c r="M44" s="191"/>
    </row>
    <row r="45" spans="2:13" x14ac:dyDescent="0.25">
      <c r="B45" s="317" t="s">
        <v>507</v>
      </c>
      <c r="C45" s="112" t="s">
        <v>368</v>
      </c>
      <c r="D45" s="72">
        <v>0</v>
      </c>
      <c r="E45" s="262">
        <f>$D45*'2.4 Indirect revenue'!$G$42</f>
        <v>0</v>
      </c>
      <c r="F45" s="262">
        <f>$D45*'2.4 Indirect revenue'!$H$42</f>
        <v>0</v>
      </c>
      <c r="G45" s="113">
        <f t="shared" si="11"/>
        <v>0</v>
      </c>
      <c r="H45" s="72">
        <v>0</v>
      </c>
      <c r="I45" s="262">
        <f t="shared" si="12"/>
        <v>0</v>
      </c>
      <c r="J45" s="262">
        <f t="shared" si="13"/>
        <v>0</v>
      </c>
      <c r="K45" s="113">
        <f t="shared" si="14"/>
        <v>0</v>
      </c>
      <c r="L45" s="191"/>
      <c r="M45" s="191"/>
    </row>
    <row r="46" spans="2:13" x14ac:dyDescent="0.25">
      <c r="B46" s="317" t="s">
        <v>507</v>
      </c>
      <c r="C46" s="112" t="s">
        <v>311</v>
      </c>
      <c r="D46" s="72">
        <v>0</v>
      </c>
      <c r="E46" s="262">
        <f>$D46*'2.4 Indirect revenue'!$G$42</f>
        <v>0</v>
      </c>
      <c r="F46" s="262">
        <f>$D46*'2.4 Indirect revenue'!$H$42</f>
        <v>0</v>
      </c>
      <c r="G46" s="113">
        <f t="shared" si="11"/>
        <v>0</v>
      </c>
      <c r="H46" s="72">
        <v>0</v>
      </c>
      <c r="I46" s="262">
        <f t="shared" si="12"/>
        <v>0</v>
      </c>
      <c r="J46" s="262">
        <f t="shared" si="13"/>
        <v>0</v>
      </c>
      <c r="K46" s="113">
        <f t="shared" si="14"/>
        <v>0</v>
      </c>
      <c r="L46" s="191"/>
      <c r="M46" s="191"/>
    </row>
    <row r="47" spans="2:13" ht="13" x14ac:dyDescent="0.3">
      <c r="B47" s="287"/>
      <c r="C47" s="186" t="s">
        <v>244</v>
      </c>
      <c r="D47" s="118">
        <f>SUM(D37:D46)</f>
        <v>0</v>
      </c>
      <c r="E47" s="114">
        <f>'2.1 Profit &amp; Loss by component'!D21</f>
        <v>0</v>
      </c>
      <c r="F47" s="114">
        <f>'2.1 Profit &amp; Loss by component'!E21</f>
        <v>0</v>
      </c>
      <c r="G47" s="114">
        <f>SUM(G37:G46)</f>
        <v>0</v>
      </c>
      <c r="H47" s="118">
        <f>SUM(H37:H46)</f>
        <v>0</v>
      </c>
      <c r="I47" s="114">
        <f>'2.1 Profit &amp; Loss by component'!G21</f>
        <v>0</v>
      </c>
      <c r="J47" s="114">
        <f>'2.1 Profit &amp; Loss by component'!H21</f>
        <v>0</v>
      </c>
      <c r="K47" s="114">
        <f>SUM(K37:K46)</f>
        <v>0</v>
      </c>
      <c r="L47" s="191"/>
      <c r="M47" s="191"/>
    </row>
    <row r="48" spans="2:13" ht="14" x14ac:dyDescent="0.3">
      <c r="B48" s="287"/>
      <c r="C48" s="186" t="s">
        <v>15</v>
      </c>
      <c r="D48" s="264"/>
      <c r="E48" s="114">
        <f>E47+E35+E23</f>
        <v>21046651.828192521</v>
      </c>
      <c r="F48" s="114">
        <f>F47+F35+F23</f>
        <v>0</v>
      </c>
      <c r="G48" s="114">
        <f>G47+G35+G23</f>
        <v>21046651.828192525</v>
      </c>
      <c r="H48" s="264"/>
      <c r="I48" s="114">
        <f>I47+I35+I23</f>
        <v>20674412.706304397</v>
      </c>
      <c r="J48" s="114">
        <f>J47+J35+J23</f>
        <v>0</v>
      </c>
      <c r="K48" s="114">
        <f>K47+K35+K23</f>
        <v>20674412.706304397</v>
      </c>
      <c r="L48" s="191"/>
      <c r="M48" s="191"/>
    </row>
    <row r="49" spans="2:13" x14ac:dyDescent="0.25">
      <c r="B49" s="191"/>
      <c r="C49" s="191"/>
      <c r="D49" s="191"/>
      <c r="E49" s="191"/>
      <c r="F49" s="191"/>
      <c r="G49" s="191"/>
      <c r="H49" s="191"/>
      <c r="I49" s="191"/>
      <c r="J49" s="191"/>
      <c r="K49" s="191"/>
      <c r="L49" s="191"/>
      <c r="M49" s="191"/>
    </row>
    <row r="50" spans="2:13" ht="15.5" x14ac:dyDescent="0.25">
      <c r="B50" s="250" t="s">
        <v>267</v>
      </c>
      <c r="C50" s="191"/>
      <c r="D50" s="191"/>
      <c r="E50" s="191"/>
      <c r="F50" s="191"/>
      <c r="G50" s="191"/>
      <c r="H50" s="191"/>
      <c r="I50" s="191"/>
      <c r="J50" s="191"/>
      <c r="K50" s="191"/>
      <c r="L50" s="191"/>
      <c r="M50" s="191"/>
    </row>
    <row r="51" spans="2:13" ht="13" x14ac:dyDescent="0.3">
      <c r="B51" s="251"/>
      <c r="C51" s="252"/>
      <c r="D51" s="253"/>
      <c r="E51" s="253"/>
      <c r="F51" s="253"/>
      <c r="G51" s="253"/>
      <c r="H51" s="253"/>
      <c r="I51" s="253"/>
      <c r="J51" s="253"/>
      <c r="K51" s="253"/>
      <c r="L51" s="191"/>
      <c r="M51" s="191"/>
    </row>
    <row r="52" spans="2:13" ht="13" x14ac:dyDescent="0.25">
      <c r="B52" s="254"/>
      <c r="C52" s="254"/>
      <c r="D52" s="396" t="s">
        <v>129</v>
      </c>
      <c r="E52" s="397"/>
      <c r="F52" s="397"/>
      <c r="G52" s="398"/>
      <c r="H52" s="396" t="s">
        <v>130</v>
      </c>
      <c r="I52" s="397"/>
      <c r="J52" s="397"/>
      <c r="K52" s="398"/>
      <c r="L52" s="191"/>
      <c r="M52" s="191"/>
    </row>
    <row r="53" spans="2:13" ht="39" x14ac:dyDescent="0.25">
      <c r="B53" s="44" t="s">
        <v>307</v>
      </c>
      <c r="C53" s="254" t="s">
        <v>13</v>
      </c>
      <c r="D53" s="220" t="s">
        <v>240</v>
      </c>
      <c r="E53" s="220" t="s">
        <v>41</v>
      </c>
      <c r="F53" s="220" t="s">
        <v>42</v>
      </c>
      <c r="G53" s="220" t="s">
        <v>18</v>
      </c>
      <c r="H53" s="220" t="s">
        <v>240</v>
      </c>
      <c r="I53" s="220" t="s">
        <v>41</v>
      </c>
      <c r="J53" s="220" t="s">
        <v>42</v>
      </c>
      <c r="K53" s="220" t="s">
        <v>18</v>
      </c>
      <c r="L53" s="191"/>
      <c r="M53" s="191"/>
    </row>
    <row r="54" spans="2:13" ht="13" x14ac:dyDescent="0.25">
      <c r="B54" s="44"/>
      <c r="C54" s="254"/>
      <c r="D54" s="111" t="s">
        <v>241</v>
      </c>
      <c r="E54" s="111" t="s">
        <v>110</v>
      </c>
      <c r="F54" s="111" t="s">
        <v>110</v>
      </c>
      <c r="G54" s="111" t="s">
        <v>110</v>
      </c>
      <c r="H54" s="111" t="s">
        <v>241</v>
      </c>
      <c r="I54" s="111" t="s">
        <v>110</v>
      </c>
      <c r="J54" s="111" t="s">
        <v>110</v>
      </c>
      <c r="K54" s="111" t="s">
        <v>110</v>
      </c>
      <c r="L54" s="191"/>
      <c r="M54" s="191"/>
    </row>
    <row r="55" spans="2:13" ht="13" x14ac:dyDescent="0.3">
      <c r="B55" s="188"/>
      <c r="C55" s="261" t="s">
        <v>259</v>
      </c>
      <c r="D55" s="111"/>
      <c r="E55" s="111"/>
      <c r="F55" s="111"/>
      <c r="G55" s="111"/>
      <c r="H55" s="111"/>
      <c r="I55" s="111"/>
      <c r="J55" s="111"/>
      <c r="K55" s="111"/>
      <c r="L55" s="191"/>
      <c r="M55" s="191"/>
    </row>
    <row r="56" spans="2:13" x14ac:dyDescent="0.25">
      <c r="B56" s="317" t="s">
        <v>507</v>
      </c>
      <c r="C56" s="112" t="s">
        <v>360</v>
      </c>
      <c r="D56" s="72">
        <v>0.79606145276576101</v>
      </c>
      <c r="E56" s="262">
        <f t="shared" ref="E56:E65" si="15">D56*$E$66</f>
        <v>1380543.3442341529</v>
      </c>
      <c r="F56" s="262">
        <f t="shared" ref="F56:F65" si="16">D56*$F$66</f>
        <v>0</v>
      </c>
      <c r="G56" s="113">
        <f t="shared" ref="G56:G65" si="17">SUM(E56:F56)</f>
        <v>1380543.3442341529</v>
      </c>
      <c r="H56" s="72">
        <v>0.8505729828923122</v>
      </c>
      <c r="I56" s="262">
        <f t="shared" ref="I56:I65" si="18">H56*$I$66</f>
        <v>1322567.0742856152</v>
      </c>
      <c r="J56" s="262">
        <f t="shared" ref="J56:J65" si="19">H56*$J$66</f>
        <v>0</v>
      </c>
      <c r="K56" s="113">
        <f t="shared" ref="K56:K65" si="20">SUM(I56:J56)</f>
        <v>1322567.0742856152</v>
      </c>
      <c r="L56" s="191"/>
      <c r="M56" s="191"/>
    </row>
    <row r="57" spans="2:13" x14ac:dyDescent="0.25">
      <c r="B57" s="317" t="s">
        <v>507</v>
      </c>
      <c r="C57" s="112" t="s">
        <v>450</v>
      </c>
      <c r="D57" s="72">
        <v>0</v>
      </c>
      <c r="E57" s="262">
        <f t="shared" si="15"/>
        <v>0</v>
      </c>
      <c r="F57" s="262">
        <f t="shared" si="16"/>
        <v>0</v>
      </c>
      <c r="G57" s="113">
        <f t="shared" si="17"/>
        <v>0</v>
      </c>
      <c r="H57" s="72">
        <v>0</v>
      </c>
      <c r="I57" s="262">
        <f t="shared" si="18"/>
        <v>0</v>
      </c>
      <c r="J57" s="262">
        <f t="shared" si="19"/>
        <v>0</v>
      </c>
      <c r="K57" s="113">
        <f t="shared" si="20"/>
        <v>0</v>
      </c>
      <c r="L57" s="191"/>
      <c r="M57" s="191"/>
    </row>
    <row r="58" spans="2:13" x14ac:dyDescent="0.25">
      <c r="B58" s="317" t="s">
        <v>507</v>
      </c>
      <c r="C58" s="112" t="s">
        <v>362</v>
      </c>
      <c r="D58" s="72">
        <v>0.17601377394100337</v>
      </c>
      <c r="E58" s="262">
        <f t="shared" si="15"/>
        <v>305246.08780333388</v>
      </c>
      <c r="F58" s="262">
        <f t="shared" si="16"/>
        <v>0</v>
      </c>
      <c r="G58" s="113">
        <f t="shared" si="17"/>
        <v>305246.08780333388</v>
      </c>
      <c r="H58" s="72">
        <v>0.14717876673196179</v>
      </c>
      <c r="I58" s="262">
        <f t="shared" si="18"/>
        <v>228850.19255108424</v>
      </c>
      <c r="J58" s="262">
        <f t="shared" si="19"/>
        <v>0</v>
      </c>
      <c r="K58" s="113">
        <f t="shared" si="20"/>
        <v>228850.19255108424</v>
      </c>
      <c r="L58" s="191"/>
      <c r="M58" s="191"/>
    </row>
    <row r="59" spans="2:13" x14ac:dyDescent="0.25">
      <c r="B59" s="317" t="s">
        <v>507</v>
      </c>
      <c r="C59" s="112" t="s">
        <v>363</v>
      </c>
      <c r="D59" s="72">
        <v>0</v>
      </c>
      <c r="E59" s="262">
        <f t="shared" si="15"/>
        <v>0</v>
      </c>
      <c r="F59" s="262">
        <f t="shared" si="16"/>
        <v>0</v>
      </c>
      <c r="G59" s="113">
        <f t="shared" si="17"/>
        <v>0</v>
      </c>
      <c r="H59" s="72">
        <v>0</v>
      </c>
      <c r="I59" s="262">
        <f t="shared" si="18"/>
        <v>0</v>
      </c>
      <c r="J59" s="262">
        <f t="shared" si="19"/>
        <v>0</v>
      </c>
      <c r="K59" s="113">
        <f t="shared" si="20"/>
        <v>0</v>
      </c>
      <c r="L59" s="191"/>
      <c r="M59" s="191"/>
    </row>
    <row r="60" spans="2:13" x14ac:dyDescent="0.25">
      <c r="B60" s="317" t="s">
        <v>507</v>
      </c>
      <c r="C60" s="194" t="s">
        <v>364</v>
      </c>
      <c r="D60" s="72">
        <v>0</v>
      </c>
      <c r="E60" s="262">
        <f t="shared" si="15"/>
        <v>0</v>
      </c>
      <c r="F60" s="262">
        <f t="shared" si="16"/>
        <v>0</v>
      </c>
      <c r="G60" s="113">
        <f t="shared" si="17"/>
        <v>0</v>
      </c>
      <c r="H60" s="72">
        <v>0</v>
      </c>
      <c r="I60" s="262">
        <f t="shared" si="18"/>
        <v>0</v>
      </c>
      <c r="J60" s="262">
        <f t="shared" si="19"/>
        <v>0</v>
      </c>
      <c r="K60" s="113">
        <f t="shared" si="20"/>
        <v>0</v>
      </c>
      <c r="L60" s="191"/>
      <c r="M60" s="191"/>
    </row>
    <row r="61" spans="2:13" x14ac:dyDescent="0.25">
      <c r="B61" s="317" t="s">
        <v>507</v>
      </c>
      <c r="C61" s="112" t="s">
        <v>451</v>
      </c>
      <c r="D61" s="72">
        <v>0</v>
      </c>
      <c r="E61" s="262">
        <f t="shared" si="15"/>
        <v>0</v>
      </c>
      <c r="F61" s="262">
        <f t="shared" si="16"/>
        <v>0</v>
      </c>
      <c r="G61" s="113">
        <f t="shared" si="17"/>
        <v>0</v>
      </c>
      <c r="H61" s="72">
        <v>0</v>
      </c>
      <c r="I61" s="262">
        <f t="shared" si="18"/>
        <v>0</v>
      </c>
      <c r="J61" s="262">
        <f t="shared" si="19"/>
        <v>0</v>
      </c>
      <c r="K61" s="113">
        <f t="shared" si="20"/>
        <v>0</v>
      </c>
      <c r="L61" s="191"/>
      <c r="M61" s="191"/>
    </row>
    <row r="62" spans="2:13" x14ac:dyDescent="0.25">
      <c r="B62" s="317" t="s">
        <v>507</v>
      </c>
      <c r="C62" s="112" t="s">
        <v>366</v>
      </c>
      <c r="D62" s="72">
        <v>0</v>
      </c>
      <c r="E62" s="262">
        <f t="shared" si="15"/>
        <v>0</v>
      </c>
      <c r="F62" s="262">
        <f t="shared" si="16"/>
        <v>0</v>
      </c>
      <c r="G62" s="113">
        <f t="shared" si="17"/>
        <v>0</v>
      </c>
      <c r="H62" s="72">
        <v>0</v>
      </c>
      <c r="I62" s="262">
        <f t="shared" si="18"/>
        <v>0</v>
      </c>
      <c r="J62" s="262">
        <f t="shared" si="19"/>
        <v>0</v>
      </c>
      <c r="K62" s="113">
        <f t="shared" si="20"/>
        <v>0</v>
      </c>
      <c r="L62" s="191"/>
      <c r="M62" s="191"/>
    </row>
    <row r="63" spans="2:13" x14ac:dyDescent="0.25">
      <c r="B63" s="317" t="s">
        <v>507</v>
      </c>
      <c r="C63" s="112" t="s">
        <v>367</v>
      </c>
      <c r="D63" s="72">
        <v>2.8549171714647569E-4</v>
      </c>
      <c r="E63" s="262">
        <f t="shared" si="15"/>
        <v>495.10460350919573</v>
      </c>
      <c r="F63" s="262">
        <f t="shared" si="16"/>
        <v>0</v>
      </c>
      <c r="G63" s="113">
        <f t="shared" si="17"/>
        <v>495.10460350919573</v>
      </c>
      <c r="H63" s="72">
        <v>0</v>
      </c>
      <c r="I63" s="262">
        <f t="shared" si="18"/>
        <v>0</v>
      </c>
      <c r="J63" s="262">
        <f t="shared" si="19"/>
        <v>0</v>
      </c>
      <c r="K63" s="113">
        <f t="shared" si="20"/>
        <v>0</v>
      </c>
      <c r="L63" s="191"/>
      <c r="M63" s="191"/>
    </row>
    <row r="64" spans="2:13" x14ac:dyDescent="0.25">
      <c r="B64" s="317" t="s">
        <v>507</v>
      </c>
      <c r="C64" s="112" t="s">
        <v>368</v>
      </c>
      <c r="D64" s="72">
        <v>0</v>
      </c>
      <c r="E64" s="262">
        <f t="shared" si="15"/>
        <v>0</v>
      </c>
      <c r="F64" s="262">
        <f t="shared" si="16"/>
        <v>0</v>
      </c>
      <c r="G64" s="113">
        <f t="shared" si="17"/>
        <v>0</v>
      </c>
      <c r="H64" s="72">
        <v>5.6340316513945872E-4</v>
      </c>
      <c r="I64" s="262">
        <f t="shared" si="18"/>
        <v>876.04296250741402</v>
      </c>
      <c r="J64" s="262">
        <f t="shared" si="19"/>
        <v>0</v>
      </c>
      <c r="K64" s="113">
        <f t="shared" si="20"/>
        <v>876.04296250741402</v>
      </c>
      <c r="L64" s="191"/>
      <c r="M64" s="191"/>
    </row>
    <row r="65" spans="2:13" x14ac:dyDescent="0.25">
      <c r="B65" s="317" t="s">
        <v>507</v>
      </c>
      <c r="C65" s="112" t="s">
        <v>311</v>
      </c>
      <c r="D65" s="72">
        <v>2.7639281576089206E-2</v>
      </c>
      <c r="E65" s="262">
        <f t="shared" si="15"/>
        <v>47932.513359004792</v>
      </c>
      <c r="F65" s="262">
        <f t="shared" si="16"/>
        <v>0</v>
      </c>
      <c r="G65" s="113">
        <f t="shared" si="17"/>
        <v>47932.513359004792</v>
      </c>
      <c r="H65" s="72">
        <v>1.684847210586562E-3</v>
      </c>
      <c r="I65" s="262">
        <f t="shared" si="18"/>
        <v>2619.7910005870344</v>
      </c>
      <c r="J65" s="262">
        <f t="shared" si="19"/>
        <v>0</v>
      </c>
      <c r="K65" s="113">
        <f t="shared" si="20"/>
        <v>2619.7910005870344</v>
      </c>
      <c r="L65" s="191"/>
      <c r="M65" s="191"/>
    </row>
    <row r="66" spans="2:13" ht="13" x14ac:dyDescent="0.3">
      <c r="B66" s="287"/>
      <c r="C66" s="186" t="s">
        <v>260</v>
      </c>
      <c r="D66" s="118">
        <f>SUM(D56:D65)</f>
        <v>1</v>
      </c>
      <c r="E66" s="114">
        <f>'2.1 Profit &amp; Loss by component'!D32-'2.1 Profit &amp; Loss by component'!D26</f>
        <v>1734217.0500000007</v>
      </c>
      <c r="F66" s="114">
        <f>'2.1 Profit &amp; Loss by component'!E32-'2.1 Profit &amp; Loss by component'!E26</f>
        <v>0</v>
      </c>
      <c r="G66" s="114">
        <f>SUM(G56:G65)</f>
        <v>1734217.0500000007</v>
      </c>
      <c r="H66" s="118">
        <f>SUM(H56:H65)</f>
        <v>1</v>
      </c>
      <c r="I66" s="114">
        <f>'2.1 Profit &amp; Loss by component'!G32-'2.1 Profit &amp; Loss by component'!G26</f>
        <v>1554913.1007997938</v>
      </c>
      <c r="J66" s="114">
        <f>'2.1 Profit &amp; Loss by component'!H32-'2.1 Profit &amp; Loss by component'!H26</f>
        <v>0</v>
      </c>
      <c r="K66" s="114">
        <f>SUM(K56:K65)</f>
        <v>1554913.1007997938</v>
      </c>
      <c r="L66" s="191"/>
      <c r="M66" s="191"/>
    </row>
    <row r="67" spans="2:13" ht="13" x14ac:dyDescent="0.3">
      <c r="B67" s="188"/>
      <c r="C67" s="261" t="s">
        <v>157</v>
      </c>
      <c r="D67" s="111"/>
      <c r="E67" s="111"/>
      <c r="F67" s="111"/>
      <c r="G67" s="111"/>
      <c r="H67" s="111"/>
      <c r="I67" s="111"/>
      <c r="J67" s="111"/>
      <c r="K67" s="111"/>
      <c r="L67" s="191"/>
      <c r="M67" s="191"/>
    </row>
    <row r="68" spans="2:13" x14ac:dyDescent="0.25">
      <c r="B68" s="317" t="s">
        <v>507</v>
      </c>
      <c r="C68" s="112" t="s">
        <v>360</v>
      </c>
      <c r="D68" s="72">
        <v>0.79606145276576101</v>
      </c>
      <c r="E68" s="262">
        <f t="shared" ref="E68:E77" si="21">D68*$E$78</f>
        <v>3866806.1157826376</v>
      </c>
      <c r="F68" s="262">
        <f t="shared" ref="F68:F77" si="22">D68*$F$78</f>
        <v>0</v>
      </c>
      <c r="G68" s="113">
        <f t="shared" ref="G68:G77" si="23">SUM(E68:F68)</f>
        <v>3866806.1157826376</v>
      </c>
      <c r="H68" s="72">
        <v>0.8505729828923122</v>
      </c>
      <c r="I68" s="262">
        <f t="shared" ref="I68:I77" si="24">H68*$I$78</f>
        <v>3555174.1793103088</v>
      </c>
      <c r="J68" s="262">
        <f t="shared" ref="J68:J77" si="25">H68*$J$78</f>
        <v>0</v>
      </c>
      <c r="K68" s="113">
        <f t="shared" ref="K68:K77" si="26">SUM(I68:J68)</f>
        <v>3555174.1793103088</v>
      </c>
      <c r="L68" s="191"/>
      <c r="M68" s="191"/>
    </row>
    <row r="69" spans="2:13" x14ac:dyDescent="0.25">
      <c r="B69" s="317" t="s">
        <v>507</v>
      </c>
      <c r="C69" s="112" t="s">
        <v>450</v>
      </c>
      <c r="D69" s="72">
        <v>0</v>
      </c>
      <c r="E69" s="262">
        <f t="shared" si="21"/>
        <v>0</v>
      </c>
      <c r="F69" s="262">
        <f t="shared" si="22"/>
        <v>0</v>
      </c>
      <c r="G69" s="113">
        <f t="shared" si="23"/>
        <v>0</v>
      </c>
      <c r="H69" s="72">
        <v>0</v>
      </c>
      <c r="I69" s="262">
        <f t="shared" si="24"/>
        <v>0</v>
      </c>
      <c r="J69" s="262">
        <f t="shared" si="25"/>
        <v>0</v>
      </c>
      <c r="K69" s="113">
        <f t="shared" si="26"/>
        <v>0</v>
      </c>
      <c r="L69" s="191"/>
      <c r="M69" s="191"/>
    </row>
    <row r="70" spans="2:13" x14ac:dyDescent="0.25">
      <c r="B70" s="317" t="s">
        <v>507</v>
      </c>
      <c r="C70" s="112" t="s">
        <v>362</v>
      </c>
      <c r="D70" s="72">
        <v>0.17601377394100337</v>
      </c>
      <c r="E70" s="262">
        <f t="shared" si="21"/>
        <v>854973.11190286023</v>
      </c>
      <c r="F70" s="262">
        <f t="shared" si="22"/>
        <v>0</v>
      </c>
      <c r="G70" s="113">
        <f t="shared" si="23"/>
        <v>854973.11190286023</v>
      </c>
      <c r="H70" s="72">
        <v>0.14717876673196179</v>
      </c>
      <c r="I70" s="262">
        <f t="shared" si="24"/>
        <v>615169.02341401053</v>
      </c>
      <c r="J70" s="262">
        <f t="shared" si="25"/>
        <v>0</v>
      </c>
      <c r="K70" s="113">
        <f t="shared" si="26"/>
        <v>615169.02341401053</v>
      </c>
      <c r="L70" s="191"/>
      <c r="M70" s="191"/>
    </row>
    <row r="71" spans="2:13" x14ac:dyDescent="0.25">
      <c r="B71" s="317" t="s">
        <v>507</v>
      </c>
      <c r="C71" s="112" t="s">
        <v>363</v>
      </c>
      <c r="D71" s="72">
        <v>0</v>
      </c>
      <c r="E71" s="262">
        <f t="shared" si="21"/>
        <v>0</v>
      </c>
      <c r="F71" s="262">
        <f t="shared" si="22"/>
        <v>0</v>
      </c>
      <c r="G71" s="113">
        <f t="shared" si="23"/>
        <v>0</v>
      </c>
      <c r="H71" s="72">
        <v>0</v>
      </c>
      <c r="I71" s="262">
        <f t="shared" si="24"/>
        <v>0</v>
      </c>
      <c r="J71" s="262">
        <f t="shared" si="25"/>
        <v>0</v>
      </c>
      <c r="K71" s="113">
        <f t="shared" si="26"/>
        <v>0</v>
      </c>
      <c r="L71" s="191"/>
      <c r="M71" s="191"/>
    </row>
    <row r="72" spans="2:13" x14ac:dyDescent="0.25">
      <c r="B72" s="317" t="s">
        <v>507</v>
      </c>
      <c r="C72" s="194" t="s">
        <v>364</v>
      </c>
      <c r="D72" s="72">
        <v>0</v>
      </c>
      <c r="E72" s="262">
        <f t="shared" si="21"/>
        <v>0</v>
      </c>
      <c r="F72" s="262">
        <f t="shared" si="22"/>
        <v>0</v>
      </c>
      <c r="G72" s="113">
        <f t="shared" si="23"/>
        <v>0</v>
      </c>
      <c r="H72" s="72">
        <v>0</v>
      </c>
      <c r="I72" s="262">
        <f t="shared" si="24"/>
        <v>0</v>
      </c>
      <c r="J72" s="262">
        <f t="shared" si="25"/>
        <v>0</v>
      </c>
      <c r="K72" s="113">
        <f t="shared" si="26"/>
        <v>0</v>
      </c>
      <c r="L72" s="191"/>
      <c r="M72" s="191"/>
    </row>
    <row r="73" spans="2:13" x14ac:dyDescent="0.25">
      <c r="B73" s="317" t="s">
        <v>507</v>
      </c>
      <c r="C73" s="112" t="s">
        <v>451</v>
      </c>
      <c r="D73" s="72">
        <v>0</v>
      </c>
      <c r="E73" s="262">
        <f t="shared" si="21"/>
        <v>0</v>
      </c>
      <c r="F73" s="262">
        <f t="shared" si="22"/>
        <v>0</v>
      </c>
      <c r="G73" s="113">
        <f t="shared" si="23"/>
        <v>0</v>
      </c>
      <c r="H73" s="72">
        <v>0</v>
      </c>
      <c r="I73" s="262">
        <f t="shared" si="24"/>
        <v>0</v>
      </c>
      <c r="J73" s="262">
        <f t="shared" si="25"/>
        <v>0</v>
      </c>
      <c r="K73" s="113">
        <f t="shared" si="26"/>
        <v>0</v>
      </c>
      <c r="L73" s="191"/>
      <c r="M73" s="191"/>
    </row>
    <row r="74" spans="2:13" x14ac:dyDescent="0.25">
      <c r="B74" s="317" t="s">
        <v>507</v>
      </c>
      <c r="C74" s="112" t="s">
        <v>366</v>
      </c>
      <c r="D74" s="72">
        <v>0</v>
      </c>
      <c r="E74" s="262">
        <f t="shared" si="21"/>
        <v>0</v>
      </c>
      <c r="F74" s="262">
        <f t="shared" si="22"/>
        <v>0</v>
      </c>
      <c r="G74" s="113">
        <f t="shared" si="23"/>
        <v>0</v>
      </c>
      <c r="H74" s="72">
        <v>0</v>
      </c>
      <c r="I74" s="262">
        <f t="shared" si="24"/>
        <v>0</v>
      </c>
      <c r="J74" s="262">
        <f t="shared" si="25"/>
        <v>0</v>
      </c>
      <c r="K74" s="113">
        <f t="shared" si="26"/>
        <v>0</v>
      </c>
      <c r="L74" s="191"/>
      <c r="M74" s="191"/>
    </row>
    <row r="75" spans="2:13" x14ac:dyDescent="0.25">
      <c r="B75" s="317" t="s">
        <v>507</v>
      </c>
      <c r="C75" s="112" t="s">
        <v>367</v>
      </c>
      <c r="D75" s="72">
        <v>2.8549171714647569E-4</v>
      </c>
      <c r="E75" s="262">
        <f t="shared" si="21"/>
        <v>1386.753640729431</v>
      </c>
      <c r="F75" s="262">
        <f t="shared" si="22"/>
        <v>0</v>
      </c>
      <c r="G75" s="113">
        <f t="shared" si="23"/>
        <v>1386.753640729431</v>
      </c>
      <c r="H75" s="72">
        <v>0</v>
      </c>
      <c r="I75" s="262">
        <f t="shared" si="24"/>
        <v>0</v>
      </c>
      <c r="J75" s="262">
        <f t="shared" si="25"/>
        <v>0</v>
      </c>
      <c r="K75" s="113">
        <f t="shared" si="26"/>
        <v>0</v>
      </c>
      <c r="L75" s="191"/>
      <c r="M75" s="191"/>
    </row>
    <row r="76" spans="2:13" x14ac:dyDescent="0.25">
      <c r="B76" s="317" t="s">
        <v>507</v>
      </c>
      <c r="C76" s="112" t="s">
        <v>368</v>
      </c>
      <c r="D76" s="72">
        <v>0</v>
      </c>
      <c r="E76" s="262">
        <f t="shared" si="21"/>
        <v>0</v>
      </c>
      <c r="F76" s="262">
        <f t="shared" si="22"/>
        <v>0</v>
      </c>
      <c r="G76" s="113">
        <f t="shared" si="23"/>
        <v>0</v>
      </c>
      <c r="H76" s="72">
        <v>5.6340316513945872E-4</v>
      </c>
      <c r="I76" s="262">
        <f t="shared" si="24"/>
        <v>2354.878917543866</v>
      </c>
      <c r="J76" s="262">
        <f t="shared" si="25"/>
        <v>0</v>
      </c>
      <c r="K76" s="113">
        <f t="shared" si="26"/>
        <v>2354.878917543866</v>
      </c>
      <c r="L76" s="191"/>
      <c r="M76" s="191"/>
    </row>
    <row r="77" spans="2:13" x14ac:dyDescent="0.25">
      <c r="B77" s="317" t="s">
        <v>507</v>
      </c>
      <c r="C77" s="112" t="s">
        <v>311</v>
      </c>
      <c r="D77" s="72">
        <v>2.7639281576089206E-2</v>
      </c>
      <c r="E77" s="262">
        <f t="shared" si="21"/>
        <v>134255.64403720479</v>
      </c>
      <c r="F77" s="262">
        <f t="shared" si="22"/>
        <v>0</v>
      </c>
      <c r="G77" s="113">
        <f t="shared" si="23"/>
        <v>134255.64403720479</v>
      </c>
      <c r="H77" s="72">
        <v>1.684847210586562E-3</v>
      </c>
      <c r="I77" s="262">
        <f t="shared" si="24"/>
        <v>7042.2237945908337</v>
      </c>
      <c r="J77" s="262">
        <f t="shared" si="25"/>
        <v>0</v>
      </c>
      <c r="K77" s="113">
        <f t="shared" si="26"/>
        <v>7042.2237945908337</v>
      </c>
      <c r="L77" s="191"/>
      <c r="M77" s="191"/>
    </row>
    <row r="78" spans="2:13" ht="13" x14ac:dyDescent="0.3">
      <c r="B78" s="287"/>
      <c r="C78" s="186" t="s">
        <v>245</v>
      </c>
      <c r="D78" s="118">
        <f>SUM(D68:D77)</f>
        <v>1</v>
      </c>
      <c r="E78" s="114">
        <f>'2.1 Profit &amp; Loss by component'!D26+'2.1 Profit &amp; Loss by component'!D37</f>
        <v>4857421.6253634319</v>
      </c>
      <c r="F78" s="115">
        <f>'2.1 Profit &amp; Loss by component'!E26+'2.1 Profit &amp; Loss by component'!E37</f>
        <v>0</v>
      </c>
      <c r="G78" s="114">
        <f>SUM(G68:G77)</f>
        <v>4857421.6253634319</v>
      </c>
      <c r="H78" s="118">
        <f>SUM(H68:H77)</f>
        <v>1</v>
      </c>
      <c r="I78" s="114">
        <f>'2.1 Profit &amp; Loss by component'!G26+'2.1 Profit &amp; Loss by component'!G37</f>
        <v>4179740.3054364538</v>
      </c>
      <c r="J78" s="114">
        <f>'2.1 Profit &amp; Loss by component'!H26+'2.1 Profit &amp; Loss by component'!H37</f>
        <v>0</v>
      </c>
      <c r="K78" s="114">
        <f>SUM(K68:K77)</f>
        <v>4179740.3054364538</v>
      </c>
      <c r="L78" s="191"/>
      <c r="M78" s="191"/>
    </row>
    <row r="79" spans="2:13" ht="13" x14ac:dyDescent="0.3">
      <c r="B79" s="188"/>
      <c r="C79" s="261" t="s">
        <v>261</v>
      </c>
      <c r="D79" s="111"/>
      <c r="E79" s="111"/>
      <c r="F79" s="111"/>
      <c r="G79" s="111"/>
      <c r="H79" s="111"/>
      <c r="I79" s="111"/>
      <c r="J79" s="111"/>
      <c r="K79" s="111"/>
      <c r="L79" s="191"/>
      <c r="M79" s="191"/>
    </row>
    <row r="80" spans="2:13" x14ac:dyDescent="0.25">
      <c r="B80" s="317" t="s">
        <v>507</v>
      </c>
      <c r="C80" s="112" t="s">
        <v>360</v>
      </c>
      <c r="D80" s="72">
        <v>0.79606145276576101</v>
      </c>
      <c r="E80" s="262">
        <f t="shared" ref="E80:E89" si="27">D80*$E$90</f>
        <v>1805535.4096995944</v>
      </c>
      <c r="F80" s="262">
        <f t="shared" ref="F80:F89" si="28">D80*$F$90</f>
        <v>0</v>
      </c>
      <c r="G80" s="113">
        <f t="shared" ref="G80:G89" si="29">SUM(E80:F80)</f>
        <v>1805535.4096995944</v>
      </c>
      <c r="H80" s="72">
        <v>0.8505729828923122</v>
      </c>
      <c r="I80" s="262">
        <f t="shared" ref="I80:I89" si="30">H80*$I$90</f>
        <v>2177887.3302094596</v>
      </c>
      <c r="J80" s="262">
        <f t="shared" ref="J80:J89" si="31">H80*$J$90</f>
        <v>0</v>
      </c>
      <c r="K80" s="113">
        <f t="shared" ref="K80:K89" si="32">SUM(I80:J80)</f>
        <v>2177887.3302094596</v>
      </c>
      <c r="L80" s="191"/>
      <c r="M80" s="191"/>
    </row>
    <row r="81" spans="2:13" x14ac:dyDescent="0.25">
      <c r="B81" s="317" t="s">
        <v>507</v>
      </c>
      <c r="C81" s="112" t="s">
        <v>450</v>
      </c>
      <c r="D81" s="72">
        <v>0</v>
      </c>
      <c r="E81" s="262">
        <f t="shared" si="27"/>
        <v>0</v>
      </c>
      <c r="F81" s="262">
        <f t="shared" si="28"/>
        <v>0</v>
      </c>
      <c r="G81" s="113">
        <f t="shared" si="29"/>
        <v>0</v>
      </c>
      <c r="H81" s="72">
        <v>0</v>
      </c>
      <c r="I81" s="262">
        <f t="shared" si="30"/>
        <v>0</v>
      </c>
      <c r="J81" s="262">
        <f t="shared" si="31"/>
        <v>0</v>
      </c>
      <c r="K81" s="113">
        <f t="shared" si="32"/>
        <v>0</v>
      </c>
      <c r="L81" s="191"/>
      <c r="M81" s="191"/>
    </row>
    <row r="82" spans="2:13" x14ac:dyDescent="0.25">
      <c r="B82" s="317" t="s">
        <v>507</v>
      </c>
      <c r="C82" s="112" t="s">
        <v>362</v>
      </c>
      <c r="D82" s="72">
        <v>0.17601377394100337</v>
      </c>
      <c r="E82" s="262">
        <f t="shared" si="27"/>
        <v>399214.28219041385</v>
      </c>
      <c r="F82" s="262">
        <f t="shared" si="28"/>
        <v>0</v>
      </c>
      <c r="G82" s="113">
        <f t="shared" si="29"/>
        <v>399214.28219041385</v>
      </c>
      <c r="H82" s="72">
        <v>0.14717876673196179</v>
      </c>
      <c r="I82" s="262">
        <f t="shared" si="30"/>
        <v>376850.40295004909</v>
      </c>
      <c r="J82" s="262">
        <f t="shared" si="31"/>
        <v>0</v>
      </c>
      <c r="K82" s="113">
        <f t="shared" si="32"/>
        <v>376850.40295004909</v>
      </c>
      <c r="L82" s="191"/>
      <c r="M82" s="191"/>
    </row>
    <row r="83" spans="2:13" x14ac:dyDescent="0.25">
      <c r="B83" s="317" t="s">
        <v>507</v>
      </c>
      <c r="C83" s="112" t="s">
        <v>363</v>
      </c>
      <c r="D83" s="72">
        <v>0</v>
      </c>
      <c r="E83" s="262">
        <f t="shared" si="27"/>
        <v>0</v>
      </c>
      <c r="F83" s="262">
        <f t="shared" si="28"/>
        <v>0</v>
      </c>
      <c r="G83" s="113">
        <f t="shared" si="29"/>
        <v>0</v>
      </c>
      <c r="H83" s="72">
        <v>0</v>
      </c>
      <c r="I83" s="262">
        <f t="shared" si="30"/>
        <v>0</v>
      </c>
      <c r="J83" s="262">
        <f t="shared" si="31"/>
        <v>0</v>
      </c>
      <c r="K83" s="113">
        <f t="shared" si="32"/>
        <v>0</v>
      </c>
      <c r="L83" s="191"/>
      <c r="M83" s="191"/>
    </row>
    <row r="84" spans="2:13" x14ac:dyDescent="0.25">
      <c r="B84" s="317" t="s">
        <v>507</v>
      </c>
      <c r="C84" s="194" t="s">
        <v>364</v>
      </c>
      <c r="D84" s="72">
        <v>0</v>
      </c>
      <c r="E84" s="262">
        <f t="shared" si="27"/>
        <v>0</v>
      </c>
      <c r="F84" s="262">
        <f t="shared" si="28"/>
        <v>0</v>
      </c>
      <c r="G84" s="113">
        <f t="shared" si="29"/>
        <v>0</v>
      </c>
      <c r="H84" s="72">
        <v>0</v>
      </c>
      <c r="I84" s="262">
        <f t="shared" si="30"/>
        <v>0</v>
      </c>
      <c r="J84" s="262">
        <f t="shared" si="31"/>
        <v>0</v>
      </c>
      <c r="K84" s="113">
        <f t="shared" si="32"/>
        <v>0</v>
      </c>
      <c r="L84" s="191"/>
      <c r="M84" s="191"/>
    </row>
    <row r="85" spans="2:13" x14ac:dyDescent="0.25">
      <c r="B85" s="317" t="s">
        <v>507</v>
      </c>
      <c r="C85" s="112" t="s">
        <v>451</v>
      </c>
      <c r="D85" s="72">
        <v>0</v>
      </c>
      <c r="E85" s="262">
        <f t="shared" si="27"/>
        <v>0</v>
      </c>
      <c r="F85" s="262">
        <f t="shared" si="28"/>
        <v>0</v>
      </c>
      <c r="G85" s="113">
        <f t="shared" si="29"/>
        <v>0</v>
      </c>
      <c r="H85" s="72">
        <v>0</v>
      </c>
      <c r="I85" s="262">
        <f t="shared" si="30"/>
        <v>0</v>
      </c>
      <c r="J85" s="262">
        <f t="shared" si="31"/>
        <v>0</v>
      </c>
      <c r="K85" s="113">
        <f t="shared" si="32"/>
        <v>0</v>
      </c>
      <c r="L85" s="191"/>
      <c r="M85" s="191"/>
    </row>
    <row r="86" spans="2:13" x14ac:dyDescent="0.25">
      <c r="B86" s="317" t="s">
        <v>507</v>
      </c>
      <c r="C86" s="112" t="s">
        <v>366</v>
      </c>
      <c r="D86" s="72">
        <v>0</v>
      </c>
      <c r="E86" s="262">
        <f t="shared" si="27"/>
        <v>0</v>
      </c>
      <c r="F86" s="262">
        <f t="shared" si="28"/>
        <v>0</v>
      </c>
      <c r="G86" s="113">
        <f t="shared" si="29"/>
        <v>0</v>
      </c>
      <c r="H86" s="72">
        <v>0</v>
      </c>
      <c r="I86" s="262">
        <f t="shared" si="30"/>
        <v>0</v>
      </c>
      <c r="J86" s="262">
        <f t="shared" si="31"/>
        <v>0</v>
      </c>
      <c r="K86" s="113">
        <f t="shared" si="32"/>
        <v>0</v>
      </c>
      <c r="L86" s="191"/>
      <c r="M86" s="191"/>
    </row>
    <row r="87" spans="2:13" x14ac:dyDescent="0.25">
      <c r="B87" s="317" t="s">
        <v>507</v>
      </c>
      <c r="C87" s="112" t="s">
        <v>367</v>
      </c>
      <c r="D87" s="72">
        <v>2.8549171714647569E-4</v>
      </c>
      <c r="E87" s="262">
        <f t="shared" si="27"/>
        <v>647.51961383511059</v>
      </c>
      <c r="F87" s="262">
        <f t="shared" si="28"/>
        <v>0</v>
      </c>
      <c r="G87" s="113">
        <f t="shared" si="29"/>
        <v>647.51961383511059</v>
      </c>
      <c r="H87" s="72">
        <v>0</v>
      </c>
      <c r="I87" s="262">
        <f t="shared" si="30"/>
        <v>0</v>
      </c>
      <c r="J87" s="262">
        <f t="shared" si="31"/>
        <v>0</v>
      </c>
      <c r="K87" s="113">
        <f t="shared" si="32"/>
        <v>0</v>
      </c>
      <c r="L87" s="191"/>
      <c r="M87" s="191"/>
    </row>
    <row r="88" spans="2:13" x14ac:dyDescent="0.25">
      <c r="B88" s="317" t="s">
        <v>507</v>
      </c>
      <c r="C88" s="112" t="s">
        <v>368</v>
      </c>
      <c r="D88" s="72">
        <v>0</v>
      </c>
      <c r="E88" s="262">
        <f t="shared" si="27"/>
        <v>0</v>
      </c>
      <c r="F88" s="262">
        <f t="shared" si="28"/>
        <v>0</v>
      </c>
      <c r="G88" s="113">
        <f t="shared" si="29"/>
        <v>0</v>
      </c>
      <c r="H88" s="72">
        <v>5.6340316513945872E-4</v>
      </c>
      <c r="I88" s="262">
        <f t="shared" si="30"/>
        <v>1442.5906298889397</v>
      </c>
      <c r="J88" s="262">
        <f t="shared" si="31"/>
        <v>0</v>
      </c>
      <c r="K88" s="113">
        <f t="shared" si="32"/>
        <v>1442.5906298889397</v>
      </c>
      <c r="L88" s="191"/>
      <c r="M88" s="191"/>
    </row>
    <row r="89" spans="2:13" x14ac:dyDescent="0.25">
      <c r="B89" s="317" t="s">
        <v>507</v>
      </c>
      <c r="C89" s="112" t="s">
        <v>311</v>
      </c>
      <c r="D89" s="72">
        <v>2.7639281576089206E-2</v>
      </c>
      <c r="E89" s="262">
        <f t="shared" si="27"/>
        <v>62688.252786146033</v>
      </c>
      <c r="F89" s="262">
        <f t="shared" si="28"/>
        <v>0</v>
      </c>
      <c r="G89" s="113">
        <f t="shared" si="29"/>
        <v>62688.252786146033</v>
      </c>
      <c r="H89" s="72">
        <v>1.684847210586562E-3</v>
      </c>
      <c r="I89" s="262">
        <f t="shared" si="30"/>
        <v>4314.0417895683295</v>
      </c>
      <c r="J89" s="262">
        <f t="shared" si="31"/>
        <v>0</v>
      </c>
      <c r="K89" s="113">
        <f t="shared" si="32"/>
        <v>4314.0417895683295</v>
      </c>
      <c r="L89" s="191"/>
      <c r="M89" s="191"/>
    </row>
    <row r="90" spans="2:13" ht="13" x14ac:dyDescent="0.3">
      <c r="B90" s="287"/>
      <c r="C90" s="186" t="s">
        <v>262</v>
      </c>
      <c r="D90" s="118">
        <f>SUM(D80:D89)</f>
        <v>1</v>
      </c>
      <c r="E90" s="114">
        <f>'2.1 Profit &amp; Loss by component'!D43-'2.1 Profit &amp; Loss by component'!D37</f>
        <v>2268085.4642899893</v>
      </c>
      <c r="F90" s="114">
        <f>'2.1 Profit &amp; Loss by component'!E43-'2.1 Profit &amp; Loss by component'!E37</f>
        <v>0</v>
      </c>
      <c r="G90" s="114">
        <f>SUM(G80:G89)</f>
        <v>2268085.4642899893</v>
      </c>
      <c r="H90" s="118">
        <f>SUM(H80:H89)</f>
        <v>1</v>
      </c>
      <c r="I90" s="114">
        <f>'2.1 Profit &amp; Loss by component'!G43-'2.1 Profit &amp; Loss by component'!G37</f>
        <v>2560494.3655789657</v>
      </c>
      <c r="J90" s="114">
        <f>'2.1 Profit &amp; Loss by component'!H43-'2.1 Profit &amp; Loss by component'!H37</f>
        <v>0</v>
      </c>
      <c r="K90" s="114">
        <f>SUM(K80:K89)</f>
        <v>2560494.3655789662</v>
      </c>
      <c r="L90" s="191"/>
      <c r="M90" s="191"/>
    </row>
    <row r="91" spans="2:13" ht="14" x14ac:dyDescent="0.3">
      <c r="B91" s="287"/>
      <c r="C91" s="186" t="s">
        <v>257</v>
      </c>
      <c r="D91" s="264"/>
      <c r="E91" s="114">
        <f>E90+E78+E66</f>
        <v>8859724.1396534219</v>
      </c>
      <c r="F91" s="114">
        <f>F90+F78+F66</f>
        <v>0</v>
      </c>
      <c r="G91" s="114">
        <f>G90+G78+G66</f>
        <v>8859724.1396534219</v>
      </c>
      <c r="H91" s="264"/>
      <c r="I91" s="114">
        <f>I90+I78+I66</f>
        <v>8295147.7718152124</v>
      </c>
      <c r="J91" s="114">
        <f>J90+J78+J66</f>
        <v>0</v>
      </c>
      <c r="K91" s="114">
        <f>K90+K78+K66</f>
        <v>8295147.7718152143</v>
      </c>
      <c r="L91" s="191"/>
      <c r="M91" s="191"/>
    </row>
    <row r="92" spans="2:13" x14ac:dyDescent="0.25">
      <c r="B92" s="191"/>
      <c r="C92" s="191"/>
      <c r="D92" s="191"/>
      <c r="E92" s="191"/>
      <c r="F92" s="191"/>
      <c r="G92" s="191"/>
      <c r="H92" s="191"/>
      <c r="I92" s="191"/>
      <c r="J92" s="191"/>
      <c r="K92" s="191"/>
      <c r="L92" s="191"/>
      <c r="M92" s="191"/>
    </row>
    <row r="93" spans="2:13" x14ac:dyDescent="0.25">
      <c r="B93" s="191"/>
      <c r="C93" s="191"/>
      <c r="D93" s="191"/>
      <c r="E93" s="191"/>
      <c r="F93" s="191"/>
      <c r="G93" s="191"/>
      <c r="H93" s="191"/>
      <c r="I93" s="191"/>
      <c r="J93" s="191"/>
      <c r="K93" s="191"/>
      <c r="L93" s="191"/>
      <c r="M93" s="191"/>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&amp;C_x000D_&amp;1#&amp;"Calibri"&amp;10&amp;K008000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9CED8-2AE8-41E1-A81C-5C7534EF3D16}">
  <sheetPr codeName="Sheet8">
    <tabColor rgb="FF17415D"/>
  </sheetPr>
  <dimension ref="B1:J29"/>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2" width="37.54296875" style="4" customWidth="1"/>
    <col min="3" max="3" width="42.54296875" style="4" customWidth="1"/>
    <col min="4" max="5" width="27.453125" style="4" customWidth="1"/>
    <col min="6" max="6" width="18.453125" style="4" customWidth="1"/>
    <col min="7" max="7" width="6.54296875" style="4" customWidth="1"/>
    <col min="8" max="10" width="19.54296875" style="4" customWidth="1"/>
    <col min="11" max="11" width="18.453125" style="4" customWidth="1"/>
    <col min="12" max="16384" width="9.453125" style="4"/>
  </cols>
  <sheetData>
    <row r="1" spans="2:10" ht="20.25" customHeight="1" x14ac:dyDescent="0.4">
      <c r="B1" s="135" t="s">
        <v>302</v>
      </c>
      <c r="C1" s="135"/>
      <c r="D1" s="204"/>
      <c r="E1" s="204"/>
      <c r="F1" s="204"/>
      <c r="G1" s="204"/>
      <c r="H1" s="204"/>
      <c r="I1" s="204"/>
      <c r="J1" s="204"/>
    </row>
    <row r="2" spans="2:10" ht="20.25" customHeight="1" x14ac:dyDescent="0.25">
      <c r="B2" s="135" t="str">
        <f>IF(Tradingname=0," ",Tradingname)</f>
        <v>APA Pipelines Investments (BWP) Pty Limited</v>
      </c>
      <c r="C2" s="135"/>
    </row>
    <row r="3" spans="2:10" ht="20.25" customHeight="1" x14ac:dyDescent="0.7">
      <c r="B3" s="135" t="s">
        <v>109</v>
      </c>
      <c r="C3" s="99">
        <f>IF(Yearending=0, "01/01/2000", Yearending)</f>
        <v>45838</v>
      </c>
      <c r="F3" s="243"/>
    </row>
    <row r="4" spans="2:10" ht="20" x14ac:dyDescent="0.25">
      <c r="B4" s="91" t="s">
        <v>199</v>
      </c>
      <c r="C4" s="91"/>
    </row>
    <row r="6" spans="2:10" ht="20" x14ac:dyDescent="0.4">
      <c r="B6" s="244"/>
      <c r="G6" s="245"/>
      <c r="H6" s="246"/>
      <c r="I6" s="247"/>
      <c r="J6" s="247"/>
    </row>
    <row r="7" spans="2:10" ht="15.5" x14ac:dyDescent="0.35">
      <c r="B7" s="214" t="s">
        <v>268</v>
      </c>
    </row>
    <row r="8" spans="2:10" ht="14.15" customHeight="1" x14ac:dyDescent="0.3">
      <c r="B8" s="215"/>
      <c r="C8" s="216"/>
      <c r="D8" s="216"/>
      <c r="E8" s="216"/>
    </row>
    <row r="9" spans="2:10" ht="14.15" customHeight="1" x14ac:dyDescent="0.25">
      <c r="B9" s="35" t="s">
        <v>13</v>
      </c>
      <c r="C9" s="30" t="s">
        <v>41</v>
      </c>
      <c r="D9" s="30" t="s">
        <v>42</v>
      </c>
      <c r="E9" s="30" t="s">
        <v>18</v>
      </c>
      <c r="F9" s="216"/>
    </row>
    <row r="10" spans="2:10" ht="14.15" customHeight="1" x14ac:dyDescent="0.25">
      <c r="B10" s="29"/>
      <c r="C10" s="31" t="s">
        <v>110</v>
      </c>
      <c r="D10" s="31" t="s">
        <v>110</v>
      </c>
      <c r="E10" s="31" t="s">
        <v>110</v>
      </c>
    </row>
    <row r="11" spans="2:10" ht="14.15" customHeight="1" x14ac:dyDescent="0.3">
      <c r="B11" s="67"/>
      <c r="C11" s="68"/>
      <c r="D11" s="68"/>
      <c r="E11" s="11">
        <f t="shared" ref="E11:E17" si="0">SUM(C11:D11)</f>
        <v>0</v>
      </c>
    </row>
    <row r="12" spans="2:10" ht="14.15" customHeight="1" x14ac:dyDescent="0.3">
      <c r="B12" s="67"/>
      <c r="C12" s="68"/>
      <c r="D12" s="68"/>
      <c r="E12" s="11">
        <f t="shared" si="0"/>
        <v>0</v>
      </c>
    </row>
    <row r="13" spans="2:10" ht="14.15" customHeight="1" x14ac:dyDescent="0.3">
      <c r="B13" s="67"/>
      <c r="C13" s="68"/>
      <c r="D13" s="68"/>
      <c r="E13" s="11">
        <f t="shared" si="0"/>
        <v>0</v>
      </c>
    </row>
    <row r="14" spans="2:10" ht="14.15" customHeight="1" x14ac:dyDescent="0.3">
      <c r="B14" s="67"/>
      <c r="C14" s="68"/>
      <c r="D14" s="68"/>
      <c r="E14" s="11">
        <f t="shared" si="0"/>
        <v>0</v>
      </c>
    </row>
    <row r="15" spans="2:10" ht="13" x14ac:dyDescent="0.3">
      <c r="B15" s="67"/>
      <c r="C15" s="68"/>
      <c r="D15" s="68"/>
      <c r="E15" s="11">
        <f t="shared" si="0"/>
        <v>0</v>
      </c>
    </row>
    <row r="16" spans="2:10" ht="13" x14ac:dyDescent="0.3">
      <c r="B16" s="67"/>
      <c r="C16" s="68"/>
      <c r="D16" s="68"/>
      <c r="E16" s="11">
        <f t="shared" si="0"/>
        <v>0</v>
      </c>
    </row>
    <row r="17" spans="2:6" ht="13" x14ac:dyDescent="0.3">
      <c r="B17" s="136" t="s">
        <v>18</v>
      </c>
      <c r="C17" s="11">
        <f>SUM(C11:C16)</f>
        <v>0</v>
      </c>
      <c r="D17" s="11">
        <f>SUM(D11:D16)</f>
        <v>0</v>
      </c>
      <c r="E17" s="11">
        <f t="shared" si="0"/>
        <v>0</v>
      </c>
    </row>
    <row r="18" spans="2:6" ht="19.5" customHeight="1" x14ac:dyDescent="0.25"/>
    <row r="19" spans="2:6" ht="15.5" x14ac:dyDescent="0.35">
      <c r="B19" s="214" t="s">
        <v>269</v>
      </c>
    </row>
    <row r="20" spans="2:6" ht="13" x14ac:dyDescent="0.3">
      <c r="B20" s="215"/>
      <c r="C20" s="216"/>
      <c r="D20" s="216"/>
      <c r="E20" s="216"/>
    </row>
    <row r="21" spans="2:6" ht="13" x14ac:dyDescent="0.25">
      <c r="B21" s="29" t="s">
        <v>83</v>
      </c>
      <c r="C21" s="36" t="s">
        <v>13</v>
      </c>
      <c r="D21" s="30" t="s">
        <v>18</v>
      </c>
      <c r="F21" s="216"/>
    </row>
    <row r="22" spans="2:6" ht="13" x14ac:dyDescent="0.25">
      <c r="B22" s="29"/>
      <c r="C22" s="31"/>
      <c r="D22" s="31" t="s">
        <v>110</v>
      </c>
    </row>
    <row r="23" spans="2:6" x14ac:dyDescent="0.25">
      <c r="B23" s="67"/>
      <c r="C23" s="69"/>
      <c r="D23" s="68"/>
    </row>
    <row r="24" spans="2:6" x14ac:dyDescent="0.25">
      <c r="B24" s="67"/>
      <c r="C24" s="69"/>
      <c r="D24" s="68"/>
    </row>
    <row r="25" spans="2:6" x14ac:dyDescent="0.25">
      <c r="B25" s="67"/>
      <c r="C25" s="69"/>
      <c r="D25" s="68"/>
    </row>
    <row r="26" spans="2:6" x14ac:dyDescent="0.25">
      <c r="B26" s="67"/>
      <c r="C26" s="69"/>
      <c r="D26" s="68"/>
    </row>
    <row r="27" spans="2:6" x14ac:dyDescent="0.25">
      <c r="B27" s="67"/>
      <c r="C27" s="69"/>
      <c r="D27" s="68"/>
    </row>
    <row r="28" spans="2:6" x14ac:dyDescent="0.25">
      <c r="B28" s="67"/>
      <c r="C28" s="69"/>
      <c r="D28" s="68"/>
    </row>
    <row r="29" spans="2:6" ht="13" x14ac:dyDescent="0.3">
      <c r="B29" s="399" t="s">
        <v>82</v>
      </c>
      <c r="C29" s="400"/>
      <c r="D29" s="11">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&amp;C_x000D_&amp;1#&amp;"Calibri"&amp;10&amp;K008000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EA10B-1952-445D-9B8F-82002764407B}">
  <sheetPr codeName="Sheet10">
    <tabColor rgb="FF17415D"/>
  </sheetPr>
  <dimension ref="B1:I42"/>
  <sheetViews>
    <sheetView zoomScale="96" zoomScaleNormal="85" workbookViewId="0">
      <pane xSplit="1" ySplit="8" topLeftCell="B9" activePane="bottomRight" state="frozen"/>
      <selection pane="topRight" activeCell="B1" sqref="B1"/>
      <selection pane="bottomLeft" activeCell="A9" sqref="A9"/>
      <selection pane="bottomRight"/>
    </sheetView>
  </sheetViews>
  <sheetFormatPr defaultColWidth="9.453125" defaultRowHeight="12.5" x14ac:dyDescent="0.25"/>
  <cols>
    <col min="1" max="1" width="12.453125" style="205" customWidth="1"/>
    <col min="2" max="2" width="22.54296875" style="205" customWidth="1"/>
    <col min="3" max="3" width="42.453125" style="205" customWidth="1"/>
    <col min="4" max="4" width="26.54296875" style="205" customWidth="1"/>
    <col min="5" max="5" width="22.54296875" style="205" customWidth="1"/>
    <col min="6" max="6" width="20.54296875" style="205" customWidth="1"/>
    <col min="7" max="8" width="22.54296875" style="205" customWidth="1"/>
    <col min="9" max="9" width="35.453125" style="205" customWidth="1"/>
    <col min="10" max="10" width="25.453125" style="205" customWidth="1"/>
    <col min="11" max="16384" width="9.453125" style="205"/>
  </cols>
  <sheetData>
    <row r="1" spans="2:9" ht="20.25" customHeight="1" x14ac:dyDescent="0.4">
      <c r="B1" s="135" t="s">
        <v>302</v>
      </c>
      <c r="C1" s="135"/>
      <c r="D1" s="204"/>
      <c r="E1" s="204"/>
      <c r="F1" s="204"/>
      <c r="G1" s="204"/>
      <c r="H1" s="204"/>
    </row>
    <row r="2" spans="2:9" ht="20.25" customHeight="1" x14ac:dyDescent="0.4">
      <c r="B2" s="135" t="str">
        <f>IF(Tradingname=0," ",Tradingname)</f>
        <v>APA Pipelines Investments (BWP) Pty Limited</v>
      </c>
      <c r="C2" s="135"/>
      <c r="H2" s="206"/>
    </row>
    <row r="3" spans="2:9" ht="20.25" customHeight="1" x14ac:dyDescent="0.4">
      <c r="B3" s="135" t="s">
        <v>109</v>
      </c>
      <c r="C3" s="99">
        <f>IF(Yearending=0, "01/01/2000", Yearending)</f>
        <v>45838</v>
      </c>
    </row>
    <row r="4" spans="2:9" ht="20" x14ac:dyDescent="0.25">
      <c r="B4" s="91" t="s">
        <v>115</v>
      </c>
      <c r="C4" s="91"/>
    </row>
    <row r="6" spans="2:9" x14ac:dyDescent="0.25">
      <c r="B6" s="401" t="s">
        <v>299</v>
      </c>
      <c r="C6" s="401"/>
      <c r="D6" s="401"/>
    </row>
    <row r="7" spans="2:9" ht="15.75" customHeight="1" x14ac:dyDescent="0.25">
      <c r="B7" s="401"/>
      <c r="C7" s="401"/>
      <c r="D7" s="401"/>
    </row>
    <row r="8" spans="2:9" ht="15.75" customHeight="1" x14ac:dyDescent="0.25">
      <c r="B8" s="401"/>
      <c r="C8" s="401"/>
      <c r="D8" s="401"/>
    </row>
    <row r="11" spans="2:9" s="265" customFormat="1" ht="15.5" x14ac:dyDescent="0.35">
      <c r="B11" s="207" t="s">
        <v>270</v>
      </c>
      <c r="C11" s="208"/>
      <c r="D11" s="208"/>
      <c r="E11" s="208"/>
      <c r="F11" s="211"/>
      <c r="G11" s="208"/>
      <c r="H11" s="208"/>
      <c r="I11" s="205"/>
    </row>
    <row r="12" spans="2:9" s="265" customFormat="1" ht="15.5" x14ac:dyDescent="0.35">
      <c r="B12" s="207"/>
      <c r="C12" s="208"/>
      <c r="D12" s="208"/>
      <c r="E12" s="208"/>
      <c r="F12" s="211"/>
      <c r="G12" s="208"/>
      <c r="H12" s="208"/>
      <c r="I12" s="205"/>
    </row>
    <row r="13" spans="2:9" ht="39" x14ac:dyDescent="0.25">
      <c r="B13" s="37" t="s">
        <v>307</v>
      </c>
      <c r="C13" s="37" t="s">
        <v>113</v>
      </c>
      <c r="D13" s="49" t="s">
        <v>127</v>
      </c>
      <c r="E13" s="49" t="s">
        <v>182</v>
      </c>
      <c r="F13" s="49" t="s">
        <v>47</v>
      </c>
      <c r="G13" s="49" t="s">
        <v>62</v>
      </c>
      <c r="H13" s="49" t="s">
        <v>63</v>
      </c>
      <c r="I13" s="49" t="s">
        <v>193</v>
      </c>
    </row>
    <row r="14" spans="2:9" ht="13" x14ac:dyDescent="0.25">
      <c r="B14" s="89"/>
      <c r="C14" s="37" t="s">
        <v>114</v>
      </c>
      <c r="D14" s="53" t="s">
        <v>110</v>
      </c>
      <c r="E14" s="53" t="s">
        <v>110</v>
      </c>
      <c r="F14" s="53"/>
      <c r="G14" s="53" t="s">
        <v>110</v>
      </c>
      <c r="H14" s="53" t="s">
        <v>110</v>
      </c>
      <c r="I14" s="53" t="s">
        <v>110</v>
      </c>
    </row>
    <row r="15" spans="2:9" x14ac:dyDescent="0.25">
      <c r="B15" s="318" t="s">
        <v>508</v>
      </c>
      <c r="C15" s="70"/>
      <c r="D15" s="71"/>
      <c r="E15" s="71"/>
      <c r="F15" s="72"/>
      <c r="G15" s="10">
        <f>D15*F15</f>
        <v>0</v>
      </c>
      <c r="H15" s="10">
        <f t="shared" ref="H15:H41" si="0">E15*F15</f>
        <v>0</v>
      </c>
      <c r="I15" s="90">
        <f t="shared" ref="I15:I41" si="1">G15+H15</f>
        <v>0</v>
      </c>
    </row>
    <row r="16" spans="2:9" x14ac:dyDescent="0.25">
      <c r="B16" s="288"/>
      <c r="C16" s="70"/>
      <c r="D16" s="71"/>
      <c r="E16" s="71"/>
      <c r="F16" s="72"/>
      <c r="G16" s="10">
        <f>D16*F16</f>
        <v>0</v>
      </c>
      <c r="H16" s="10">
        <f t="shared" si="0"/>
        <v>0</v>
      </c>
      <c r="I16" s="90">
        <f t="shared" si="1"/>
        <v>0</v>
      </c>
    </row>
    <row r="17" spans="2:9" x14ac:dyDescent="0.25">
      <c r="B17" s="288"/>
      <c r="C17" s="70"/>
      <c r="D17" s="71"/>
      <c r="E17" s="71"/>
      <c r="F17" s="72"/>
      <c r="G17" s="10">
        <f>D17*F17</f>
        <v>0</v>
      </c>
      <c r="H17" s="10">
        <f t="shared" si="0"/>
        <v>0</v>
      </c>
      <c r="I17" s="90">
        <f t="shared" si="1"/>
        <v>0</v>
      </c>
    </row>
    <row r="18" spans="2:9" x14ac:dyDescent="0.25">
      <c r="B18" s="288"/>
      <c r="C18" s="70"/>
      <c r="D18" s="71"/>
      <c r="E18" s="71"/>
      <c r="F18" s="72"/>
      <c r="G18" s="10">
        <f>D18*F18</f>
        <v>0</v>
      </c>
      <c r="H18" s="90">
        <f t="shared" si="0"/>
        <v>0</v>
      </c>
      <c r="I18" s="90">
        <f t="shared" si="1"/>
        <v>0</v>
      </c>
    </row>
    <row r="19" spans="2:9" x14ac:dyDescent="0.25">
      <c r="B19" s="288"/>
      <c r="C19" s="70"/>
      <c r="D19" s="71"/>
      <c r="E19" s="71"/>
      <c r="F19" s="72"/>
      <c r="G19" s="10">
        <f t="shared" ref="G19:G41" si="2">D19*F19</f>
        <v>0</v>
      </c>
      <c r="H19" s="10">
        <f t="shared" si="0"/>
        <v>0</v>
      </c>
      <c r="I19" s="90">
        <f t="shared" si="1"/>
        <v>0</v>
      </c>
    </row>
    <row r="20" spans="2:9" x14ac:dyDescent="0.25">
      <c r="B20" s="288"/>
      <c r="C20" s="70"/>
      <c r="D20" s="71"/>
      <c r="E20" s="71"/>
      <c r="F20" s="72"/>
      <c r="G20" s="10">
        <f t="shared" si="2"/>
        <v>0</v>
      </c>
      <c r="H20" s="10">
        <f t="shared" si="0"/>
        <v>0</v>
      </c>
      <c r="I20" s="90">
        <f t="shared" si="1"/>
        <v>0</v>
      </c>
    </row>
    <row r="21" spans="2:9" x14ac:dyDescent="0.25">
      <c r="B21" s="288"/>
      <c r="C21" s="70"/>
      <c r="D21" s="71"/>
      <c r="E21" s="71"/>
      <c r="F21" s="72"/>
      <c r="G21" s="10">
        <f t="shared" si="2"/>
        <v>0</v>
      </c>
      <c r="H21" s="10">
        <f t="shared" si="0"/>
        <v>0</v>
      </c>
      <c r="I21" s="90">
        <f t="shared" si="1"/>
        <v>0</v>
      </c>
    </row>
    <row r="22" spans="2:9" x14ac:dyDescent="0.25">
      <c r="B22" s="288"/>
      <c r="C22" s="70"/>
      <c r="D22" s="71"/>
      <c r="E22" s="71"/>
      <c r="F22" s="72"/>
      <c r="G22" s="10">
        <f t="shared" si="2"/>
        <v>0</v>
      </c>
      <c r="H22" s="10">
        <f t="shared" si="0"/>
        <v>0</v>
      </c>
      <c r="I22" s="90">
        <f t="shared" si="1"/>
        <v>0</v>
      </c>
    </row>
    <row r="23" spans="2:9" x14ac:dyDescent="0.25">
      <c r="B23" s="288"/>
      <c r="C23" s="70"/>
      <c r="D23" s="71"/>
      <c r="E23" s="71"/>
      <c r="F23" s="72"/>
      <c r="G23" s="10">
        <f t="shared" si="2"/>
        <v>0</v>
      </c>
      <c r="H23" s="10">
        <f t="shared" si="0"/>
        <v>0</v>
      </c>
      <c r="I23" s="90">
        <f t="shared" si="1"/>
        <v>0</v>
      </c>
    </row>
    <row r="24" spans="2:9" x14ac:dyDescent="0.25">
      <c r="B24" s="288"/>
      <c r="C24" s="70"/>
      <c r="D24" s="71"/>
      <c r="E24" s="71"/>
      <c r="F24" s="72"/>
      <c r="G24" s="10">
        <f t="shared" si="2"/>
        <v>0</v>
      </c>
      <c r="H24" s="10">
        <f t="shared" si="0"/>
        <v>0</v>
      </c>
      <c r="I24" s="90">
        <f t="shared" si="1"/>
        <v>0</v>
      </c>
    </row>
    <row r="25" spans="2:9" x14ac:dyDescent="0.25">
      <c r="B25" s="288"/>
      <c r="C25" s="70"/>
      <c r="D25" s="71"/>
      <c r="E25" s="71"/>
      <c r="F25" s="72"/>
      <c r="G25" s="10">
        <f t="shared" si="2"/>
        <v>0</v>
      </c>
      <c r="H25" s="10">
        <f t="shared" si="0"/>
        <v>0</v>
      </c>
      <c r="I25" s="90">
        <f t="shared" si="1"/>
        <v>0</v>
      </c>
    </row>
    <row r="26" spans="2:9" x14ac:dyDescent="0.25">
      <c r="B26" s="288"/>
      <c r="C26" s="70"/>
      <c r="D26" s="71"/>
      <c r="E26" s="71"/>
      <c r="F26" s="72"/>
      <c r="G26" s="10">
        <f t="shared" si="2"/>
        <v>0</v>
      </c>
      <c r="H26" s="10">
        <f t="shared" si="0"/>
        <v>0</v>
      </c>
      <c r="I26" s="90">
        <f t="shared" si="1"/>
        <v>0</v>
      </c>
    </row>
    <row r="27" spans="2:9" x14ac:dyDescent="0.25">
      <c r="B27" s="288"/>
      <c r="C27" s="70"/>
      <c r="D27" s="71"/>
      <c r="E27" s="71"/>
      <c r="F27" s="72"/>
      <c r="G27" s="10">
        <f t="shared" si="2"/>
        <v>0</v>
      </c>
      <c r="H27" s="10">
        <f t="shared" si="0"/>
        <v>0</v>
      </c>
      <c r="I27" s="90">
        <f t="shared" si="1"/>
        <v>0</v>
      </c>
    </row>
    <row r="28" spans="2:9" x14ac:dyDescent="0.25">
      <c r="B28" s="288"/>
      <c r="C28" s="70"/>
      <c r="D28" s="71"/>
      <c r="E28" s="71"/>
      <c r="F28" s="72"/>
      <c r="G28" s="10">
        <f t="shared" si="2"/>
        <v>0</v>
      </c>
      <c r="H28" s="10">
        <f t="shared" si="0"/>
        <v>0</v>
      </c>
      <c r="I28" s="90">
        <f t="shared" si="1"/>
        <v>0</v>
      </c>
    </row>
    <row r="29" spans="2:9" x14ac:dyDescent="0.25">
      <c r="B29" s="288"/>
      <c r="C29" s="70"/>
      <c r="D29" s="71"/>
      <c r="E29" s="71"/>
      <c r="F29" s="72"/>
      <c r="G29" s="10">
        <f t="shared" si="2"/>
        <v>0</v>
      </c>
      <c r="H29" s="10">
        <f t="shared" si="0"/>
        <v>0</v>
      </c>
      <c r="I29" s="90">
        <f t="shared" si="1"/>
        <v>0</v>
      </c>
    </row>
    <row r="30" spans="2:9" x14ac:dyDescent="0.25">
      <c r="B30" s="288"/>
      <c r="C30" s="70"/>
      <c r="D30" s="71"/>
      <c r="E30" s="71"/>
      <c r="F30" s="72"/>
      <c r="G30" s="10">
        <f t="shared" si="2"/>
        <v>0</v>
      </c>
      <c r="H30" s="10">
        <f t="shared" si="0"/>
        <v>0</v>
      </c>
      <c r="I30" s="90">
        <f t="shared" si="1"/>
        <v>0</v>
      </c>
    </row>
    <row r="31" spans="2:9" x14ac:dyDescent="0.25">
      <c r="B31" s="288"/>
      <c r="C31" s="70"/>
      <c r="D31" s="71"/>
      <c r="E31" s="71"/>
      <c r="F31" s="72"/>
      <c r="G31" s="10">
        <f t="shared" si="2"/>
        <v>0</v>
      </c>
      <c r="H31" s="10">
        <f t="shared" si="0"/>
        <v>0</v>
      </c>
      <c r="I31" s="90">
        <f t="shared" si="1"/>
        <v>0</v>
      </c>
    </row>
    <row r="32" spans="2:9" x14ac:dyDescent="0.25">
      <c r="B32" s="288"/>
      <c r="C32" s="70"/>
      <c r="D32" s="71"/>
      <c r="E32" s="71"/>
      <c r="F32" s="72"/>
      <c r="G32" s="10">
        <f t="shared" si="2"/>
        <v>0</v>
      </c>
      <c r="H32" s="10">
        <f t="shared" si="0"/>
        <v>0</v>
      </c>
      <c r="I32" s="90">
        <f t="shared" si="1"/>
        <v>0</v>
      </c>
    </row>
    <row r="33" spans="2:9" x14ac:dyDescent="0.25">
      <c r="B33" s="288"/>
      <c r="C33" s="70"/>
      <c r="D33" s="71"/>
      <c r="E33" s="71"/>
      <c r="F33" s="72"/>
      <c r="G33" s="10">
        <f t="shared" si="2"/>
        <v>0</v>
      </c>
      <c r="H33" s="10">
        <f t="shared" si="0"/>
        <v>0</v>
      </c>
      <c r="I33" s="90">
        <f t="shared" si="1"/>
        <v>0</v>
      </c>
    </row>
    <row r="34" spans="2:9" x14ac:dyDescent="0.25">
      <c r="B34" s="288"/>
      <c r="C34" s="70"/>
      <c r="D34" s="71"/>
      <c r="E34" s="71"/>
      <c r="F34" s="72"/>
      <c r="G34" s="10">
        <f t="shared" si="2"/>
        <v>0</v>
      </c>
      <c r="H34" s="10">
        <f t="shared" si="0"/>
        <v>0</v>
      </c>
      <c r="I34" s="90">
        <f t="shared" si="1"/>
        <v>0</v>
      </c>
    </row>
    <row r="35" spans="2:9" x14ac:dyDescent="0.25">
      <c r="B35" s="288"/>
      <c r="C35" s="70"/>
      <c r="D35" s="71"/>
      <c r="E35" s="71"/>
      <c r="F35" s="72"/>
      <c r="G35" s="10">
        <f t="shared" si="2"/>
        <v>0</v>
      </c>
      <c r="H35" s="10">
        <f t="shared" si="0"/>
        <v>0</v>
      </c>
      <c r="I35" s="90">
        <f t="shared" si="1"/>
        <v>0</v>
      </c>
    </row>
    <row r="36" spans="2:9" x14ac:dyDescent="0.25">
      <c r="B36" s="288"/>
      <c r="C36" s="70"/>
      <c r="D36" s="71"/>
      <c r="E36" s="71"/>
      <c r="F36" s="72"/>
      <c r="G36" s="10">
        <f t="shared" si="2"/>
        <v>0</v>
      </c>
      <c r="H36" s="10">
        <f t="shared" si="0"/>
        <v>0</v>
      </c>
      <c r="I36" s="90">
        <f t="shared" si="1"/>
        <v>0</v>
      </c>
    </row>
    <row r="37" spans="2:9" x14ac:dyDescent="0.25">
      <c r="B37" s="288"/>
      <c r="C37" s="70"/>
      <c r="D37" s="71"/>
      <c r="E37" s="71"/>
      <c r="F37" s="72"/>
      <c r="G37" s="10">
        <f t="shared" si="2"/>
        <v>0</v>
      </c>
      <c r="H37" s="10">
        <f t="shared" si="0"/>
        <v>0</v>
      </c>
      <c r="I37" s="90">
        <f t="shared" si="1"/>
        <v>0</v>
      </c>
    </row>
    <row r="38" spans="2:9" x14ac:dyDescent="0.25">
      <c r="B38" s="288"/>
      <c r="C38" s="70"/>
      <c r="D38" s="71"/>
      <c r="E38" s="71"/>
      <c r="F38" s="72"/>
      <c r="G38" s="10">
        <f t="shared" si="2"/>
        <v>0</v>
      </c>
      <c r="H38" s="10">
        <f t="shared" si="0"/>
        <v>0</v>
      </c>
      <c r="I38" s="90">
        <f t="shared" si="1"/>
        <v>0</v>
      </c>
    </row>
    <row r="39" spans="2:9" x14ac:dyDescent="0.25">
      <c r="B39" s="288"/>
      <c r="C39" s="70"/>
      <c r="D39" s="71"/>
      <c r="E39" s="71"/>
      <c r="F39" s="72"/>
      <c r="G39" s="10">
        <f t="shared" si="2"/>
        <v>0</v>
      </c>
      <c r="H39" s="10">
        <f t="shared" si="0"/>
        <v>0</v>
      </c>
      <c r="I39" s="90">
        <f t="shared" si="1"/>
        <v>0</v>
      </c>
    </row>
    <row r="40" spans="2:9" x14ac:dyDescent="0.25">
      <c r="B40" s="288"/>
      <c r="C40" s="70"/>
      <c r="D40" s="71"/>
      <c r="E40" s="71"/>
      <c r="F40" s="72"/>
      <c r="G40" s="10">
        <f t="shared" si="2"/>
        <v>0</v>
      </c>
      <c r="H40" s="10">
        <f t="shared" si="0"/>
        <v>0</v>
      </c>
      <c r="I40" s="90">
        <f t="shared" si="1"/>
        <v>0</v>
      </c>
    </row>
    <row r="41" spans="2:9" x14ac:dyDescent="0.25">
      <c r="B41" s="288"/>
      <c r="C41" s="70"/>
      <c r="D41" s="71"/>
      <c r="E41" s="71"/>
      <c r="F41" s="72"/>
      <c r="G41" s="10">
        <f t="shared" si="2"/>
        <v>0</v>
      </c>
      <c r="H41" s="10">
        <f t="shared" si="0"/>
        <v>0</v>
      </c>
      <c r="I41" s="90">
        <f t="shared" si="1"/>
        <v>0</v>
      </c>
    </row>
    <row r="42" spans="2:9" ht="13" x14ac:dyDescent="0.3">
      <c r="B42" s="289"/>
      <c r="C42" s="124" t="s">
        <v>18</v>
      </c>
      <c r="D42" s="10">
        <f>SUM(D15:D41)</f>
        <v>0</v>
      </c>
      <c r="E42" s="10">
        <f>SUM(E15:E41)</f>
        <v>0</v>
      </c>
      <c r="F42" s="12"/>
      <c r="G42" s="10">
        <f>SUM(G15:G41)</f>
        <v>0</v>
      </c>
      <c r="H42" s="10">
        <f>SUM(H15:H41)</f>
        <v>0</v>
      </c>
      <c r="I42" s="90">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A9797-FA7F-4011-90FF-DE7FEC2AE7E0}">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453125" defaultRowHeight="12.5" x14ac:dyDescent="0.25"/>
  <cols>
    <col min="1" max="1" width="11.453125" style="205" customWidth="1"/>
    <col min="2" max="2" width="21" style="205" customWidth="1"/>
    <col min="3" max="3" width="36.453125" style="205" customWidth="1"/>
    <col min="4" max="4" width="26.54296875" style="205" customWidth="1"/>
    <col min="5" max="5" width="23.54296875" style="205" customWidth="1"/>
    <col min="6" max="6" width="22.54296875" style="205" customWidth="1"/>
    <col min="7" max="7" width="20.54296875" style="205" customWidth="1"/>
    <col min="8" max="9" width="22.54296875" style="205" customWidth="1"/>
    <col min="10" max="10" width="35.453125" style="205" customWidth="1"/>
    <col min="11" max="11" width="25.453125" style="205" customWidth="1"/>
    <col min="12" max="16384" width="9.453125" style="205"/>
  </cols>
  <sheetData>
    <row r="1" spans="2:10" ht="20.25" customHeight="1" x14ac:dyDescent="0.4">
      <c r="B1" s="135" t="s">
        <v>302</v>
      </c>
      <c r="C1" s="135"/>
      <c r="D1" s="204"/>
      <c r="E1" s="204"/>
      <c r="F1" s="204"/>
      <c r="G1" s="204"/>
      <c r="H1" s="204"/>
      <c r="I1" s="204"/>
    </row>
    <row r="2" spans="2:10" ht="20.25" customHeight="1" x14ac:dyDescent="0.4">
      <c r="B2" s="135" t="str">
        <f>IF(Tradingname=0," ",Tradingname)</f>
        <v>APA Pipelines Investments (BWP) Pty Limited</v>
      </c>
      <c r="C2" s="135"/>
      <c r="H2" s="206"/>
      <c r="I2" s="206"/>
    </row>
    <row r="3" spans="2:10" ht="20.25" customHeight="1" x14ac:dyDescent="0.4">
      <c r="B3" s="135" t="s">
        <v>109</v>
      </c>
      <c r="C3" s="99">
        <f>IF(Yearending=0, "01/01/2000", Yearending)</f>
        <v>45838</v>
      </c>
    </row>
    <row r="4" spans="2:10" ht="20" x14ac:dyDescent="0.25">
      <c r="B4" s="91" t="s">
        <v>255</v>
      </c>
      <c r="C4" s="91"/>
    </row>
    <row r="6" spans="2:10" x14ac:dyDescent="0.25">
      <c r="B6" s="401" t="s">
        <v>299</v>
      </c>
      <c r="C6" s="401"/>
      <c r="D6" s="401"/>
    </row>
    <row r="7" spans="2:10" ht="15.75" customHeight="1" x14ac:dyDescent="0.25">
      <c r="B7" s="401"/>
      <c r="C7" s="401"/>
      <c r="D7" s="401"/>
    </row>
    <row r="8" spans="2:10" ht="24" customHeight="1" x14ac:dyDescent="0.25">
      <c r="B8" s="401"/>
      <c r="C8" s="401"/>
      <c r="D8" s="401"/>
    </row>
    <row r="11" spans="2:10" ht="15.5" x14ac:dyDescent="0.35">
      <c r="B11" s="207" t="s">
        <v>271</v>
      </c>
      <c r="C11" s="208"/>
      <c r="D11" s="208"/>
      <c r="E11" s="208"/>
      <c r="F11" s="208"/>
      <c r="G11" s="211"/>
      <c r="H11" s="208"/>
      <c r="I11" s="208"/>
    </row>
    <row r="12" spans="2:10" ht="15.5" x14ac:dyDescent="0.35">
      <c r="B12" s="207"/>
      <c r="C12" s="208"/>
      <c r="D12" s="208"/>
      <c r="E12" s="208"/>
      <c r="F12" s="208"/>
      <c r="G12" s="211"/>
      <c r="H12" s="208"/>
      <c r="I12" s="208"/>
    </row>
    <row r="13" spans="2:10" ht="39" x14ac:dyDescent="0.25">
      <c r="B13" s="37" t="s">
        <v>307</v>
      </c>
      <c r="C13" s="37" t="s">
        <v>13</v>
      </c>
      <c r="D13" s="41" t="s">
        <v>48</v>
      </c>
      <c r="E13" s="38" t="s">
        <v>263</v>
      </c>
      <c r="F13" s="38" t="s">
        <v>264</v>
      </c>
      <c r="G13" s="38" t="s">
        <v>47</v>
      </c>
      <c r="H13" s="38" t="s">
        <v>62</v>
      </c>
      <c r="I13" s="38" t="s">
        <v>63</v>
      </c>
      <c r="J13" s="38" t="s">
        <v>193</v>
      </c>
    </row>
    <row r="14" spans="2:10" ht="13" x14ac:dyDescent="0.3">
      <c r="B14" s="39"/>
      <c r="C14" s="39" t="s">
        <v>116</v>
      </c>
      <c r="D14" s="42"/>
      <c r="E14" s="40" t="s">
        <v>110</v>
      </c>
      <c r="F14" s="40" t="s">
        <v>110</v>
      </c>
      <c r="G14" s="40"/>
      <c r="H14" s="40" t="s">
        <v>110</v>
      </c>
      <c r="I14" s="40" t="s">
        <v>110</v>
      </c>
      <c r="J14" s="40" t="s">
        <v>110</v>
      </c>
    </row>
    <row r="15" spans="2:10" x14ac:dyDescent="0.25">
      <c r="B15" s="288"/>
      <c r="C15" s="34" t="s">
        <v>256</v>
      </c>
      <c r="D15" s="125"/>
      <c r="E15" s="71"/>
      <c r="F15" s="71"/>
      <c r="G15" s="72"/>
      <c r="H15" s="10">
        <f t="shared" ref="H15:H22" si="0">E15*G15</f>
        <v>0</v>
      </c>
      <c r="I15" s="10">
        <f t="shared" ref="I15:I22" si="1">F15*G15</f>
        <v>0</v>
      </c>
      <c r="J15" s="90">
        <f t="shared" ref="J15:J35" si="2">H15+I15</f>
        <v>0</v>
      </c>
    </row>
    <row r="16" spans="2:10" ht="25" x14ac:dyDescent="0.25">
      <c r="B16" s="288"/>
      <c r="C16" s="34" t="s">
        <v>43</v>
      </c>
      <c r="D16" s="125"/>
      <c r="E16" s="71"/>
      <c r="F16" s="71"/>
      <c r="G16" s="72"/>
      <c r="H16" s="10">
        <f t="shared" si="0"/>
        <v>0</v>
      </c>
      <c r="I16" s="10">
        <f t="shared" si="1"/>
        <v>0</v>
      </c>
      <c r="J16" s="90">
        <f t="shared" si="2"/>
        <v>0</v>
      </c>
    </row>
    <row r="17" spans="2:10" x14ac:dyDescent="0.25">
      <c r="B17" s="288"/>
      <c r="C17" s="43" t="s">
        <v>150</v>
      </c>
      <c r="D17" s="125"/>
      <c r="E17" s="71"/>
      <c r="F17" s="71"/>
      <c r="G17" s="72"/>
      <c r="H17" s="10">
        <f t="shared" si="0"/>
        <v>0</v>
      </c>
      <c r="I17" s="10">
        <f t="shared" si="1"/>
        <v>0</v>
      </c>
      <c r="J17" s="90">
        <f t="shared" si="2"/>
        <v>0</v>
      </c>
    </row>
    <row r="18" spans="2:10" x14ac:dyDescent="0.25">
      <c r="B18" s="324" t="s">
        <v>518</v>
      </c>
      <c r="C18" s="34" t="s">
        <v>39</v>
      </c>
      <c r="D18" s="125"/>
      <c r="E18" s="71">
        <v>55278031</v>
      </c>
      <c r="F18" s="71"/>
      <c r="G18" s="72">
        <v>1.1060784624608499E-2</v>
      </c>
      <c r="H18" s="10">
        <f t="shared" si="0"/>
        <v>611418.39536343201</v>
      </c>
      <c r="I18" s="10">
        <f t="shared" si="1"/>
        <v>0</v>
      </c>
      <c r="J18" s="90">
        <f t="shared" si="2"/>
        <v>611418.39536343201</v>
      </c>
    </row>
    <row r="19" spans="2:10" x14ac:dyDescent="0.25">
      <c r="B19" s="288"/>
      <c r="C19" s="34" t="s">
        <v>44</v>
      </c>
      <c r="D19" s="125"/>
      <c r="E19" s="71"/>
      <c r="F19" s="71"/>
      <c r="G19" s="72"/>
      <c r="H19" s="10">
        <f t="shared" si="0"/>
        <v>0</v>
      </c>
      <c r="I19" s="10">
        <f t="shared" si="1"/>
        <v>0</v>
      </c>
      <c r="J19" s="90">
        <f t="shared" si="2"/>
        <v>0</v>
      </c>
    </row>
    <row r="20" spans="2:10" x14ac:dyDescent="0.25">
      <c r="B20" s="288"/>
      <c r="C20" s="43" t="s">
        <v>81</v>
      </c>
      <c r="D20" s="125"/>
      <c r="E20" s="71"/>
      <c r="F20" s="71"/>
      <c r="G20" s="72"/>
      <c r="H20" s="10">
        <f t="shared" si="0"/>
        <v>0</v>
      </c>
      <c r="I20" s="10">
        <f t="shared" si="1"/>
        <v>0</v>
      </c>
      <c r="J20" s="90">
        <f t="shared" si="2"/>
        <v>0</v>
      </c>
    </row>
    <row r="21" spans="2:10" x14ac:dyDescent="0.25">
      <c r="B21" s="288"/>
      <c r="C21" s="43" t="s">
        <v>40</v>
      </c>
      <c r="D21" s="125"/>
      <c r="E21" s="71"/>
      <c r="F21" s="71"/>
      <c r="G21" s="72"/>
      <c r="H21" s="10">
        <f t="shared" si="0"/>
        <v>0</v>
      </c>
      <c r="I21" s="10">
        <f t="shared" si="1"/>
        <v>0</v>
      </c>
      <c r="J21" s="90">
        <f t="shared" si="2"/>
        <v>0</v>
      </c>
    </row>
    <row r="22" spans="2:10" ht="25" x14ac:dyDescent="0.25">
      <c r="B22" s="288"/>
      <c r="C22" s="43" t="s">
        <v>151</v>
      </c>
      <c r="D22" s="125"/>
      <c r="E22" s="71"/>
      <c r="F22" s="71"/>
      <c r="G22" s="72"/>
      <c r="H22" s="10">
        <f t="shared" si="0"/>
        <v>0</v>
      </c>
      <c r="I22" s="10">
        <f t="shared" si="1"/>
        <v>0</v>
      </c>
      <c r="J22" s="90">
        <f t="shared" si="2"/>
        <v>0</v>
      </c>
    </row>
    <row r="23" spans="2:10" x14ac:dyDescent="0.25">
      <c r="B23" s="288"/>
      <c r="C23" s="34" t="s">
        <v>258</v>
      </c>
      <c r="D23" s="125"/>
      <c r="E23" s="126">
        <f>SUM(E24:E35)</f>
        <v>205056471.24199873</v>
      </c>
      <c r="F23" s="126">
        <f>SUM(F24:F35)</f>
        <v>0</v>
      </c>
      <c r="G23" s="127"/>
      <c r="H23" s="126">
        <f>SUM(H24:H35)</f>
        <v>2268085.4642899893</v>
      </c>
      <c r="I23" s="126">
        <f>SUM(I24:I35)</f>
        <v>0</v>
      </c>
      <c r="J23" s="90">
        <f t="shared" si="2"/>
        <v>2268085.4642899893</v>
      </c>
    </row>
    <row r="24" spans="2:10" x14ac:dyDescent="0.25">
      <c r="B24" s="318" t="s">
        <v>518</v>
      </c>
      <c r="C24" s="70" t="s">
        <v>496</v>
      </c>
      <c r="D24" s="125"/>
      <c r="E24" s="71">
        <v>190714348.27999875</v>
      </c>
      <c r="F24" s="71"/>
      <c r="G24" s="72">
        <v>1.106078462460857E-2</v>
      </c>
      <c r="H24" s="10">
        <f>E24*G24</f>
        <v>2109450.331147654</v>
      </c>
      <c r="I24" s="10">
        <f t="shared" ref="I24:I35" si="3">F24*G24</f>
        <v>0</v>
      </c>
      <c r="J24" s="90">
        <f t="shared" si="2"/>
        <v>2109450.331147654</v>
      </c>
    </row>
    <row r="25" spans="2:10" x14ac:dyDescent="0.25">
      <c r="B25" s="318" t="s">
        <v>518</v>
      </c>
      <c r="C25" s="70" t="s">
        <v>497</v>
      </c>
      <c r="D25" s="125"/>
      <c r="E25" s="71">
        <v>1942424.69</v>
      </c>
      <c r="F25" s="71"/>
      <c r="G25" s="72">
        <f>G24</f>
        <v>1.106078462460857E-2</v>
      </c>
      <c r="H25" s="10">
        <f>E25*G25</f>
        <v>21484.741145612068</v>
      </c>
      <c r="I25" s="10">
        <f t="shared" si="3"/>
        <v>0</v>
      </c>
      <c r="J25" s="90">
        <f t="shared" si="2"/>
        <v>21484.741145612068</v>
      </c>
    </row>
    <row r="26" spans="2:10" x14ac:dyDescent="0.25">
      <c r="B26" s="318" t="s">
        <v>518</v>
      </c>
      <c r="C26" s="70" t="s">
        <v>498</v>
      </c>
      <c r="D26" s="125"/>
      <c r="E26" s="71">
        <v>12399698.271999989</v>
      </c>
      <c r="F26" s="71"/>
      <c r="G26" s="72">
        <f>G25</f>
        <v>1.106078462460857E-2</v>
      </c>
      <c r="H26" s="10">
        <f t="shared" ref="H26:H35" si="4">E26*G26</f>
        <v>137150.39199672293</v>
      </c>
      <c r="I26" s="10">
        <f t="shared" si="3"/>
        <v>0</v>
      </c>
      <c r="J26" s="90">
        <f t="shared" si="2"/>
        <v>137150.39199672293</v>
      </c>
    </row>
    <row r="27" spans="2:10" x14ac:dyDescent="0.25">
      <c r="B27" s="288"/>
      <c r="C27" s="70"/>
      <c r="D27" s="125"/>
      <c r="E27" s="71"/>
      <c r="F27" s="71"/>
      <c r="G27" s="72"/>
      <c r="H27" s="10">
        <f t="shared" si="4"/>
        <v>0</v>
      </c>
      <c r="I27" s="10">
        <f t="shared" si="3"/>
        <v>0</v>
      </c>
      <c r="J27" s="90">
        <f t="shared" si="2"/>
        <v>0</v>
      </c>
    </row>
    <row r="28" spans="2:10" x14ac:dyDescent="0.25">
      <c r="B28" s="288"/>
      <c r="C28" s="70"/>
      <c r="D28" s="125"/>
      <c r="E28" s="71"/>
      <c r="F28" s="71"/>
      <c r="G28" s="72"/>
      <c r="H28" s="10">
        <f t="shared" si="4"/>
        <v>0</v>
      </c>
      <c r="I28" s="10">
        <f t="shared" si="3"/>
        <v>0</v>
      </c>
      <c r="J28" s="90">
        <f t="shared" si="2"/>
        <v>0</v>
      </c>
    </row>
    <row r="29" spans="2:10" x14ac:dyDescent="0.25">
      <c r="B29" s="288"/>
      <c r="C29" s="70"/>
      <c r="D29" s="125"/>
      <c r="E29" s="71"/>
      <c r="F29" s="71"/>
      <c r="G29" s="72"/>
      <c r="H29" s="10">
        <f t="shared" si="4"/>
        <v>0</v>
      </c>
      <c r="I29" s="10">
        <f t="shared" si="3"/>
        <v>0</v>
      </c>
      <c r="J29" s="90">
        <f t="shared" si="2"/>
        <v>0</v>
      </c>
    </row>
    <row r="30" spans="2:10" x14ac:dyDescent="0.25">
      <c r="B30" s="288"/>
      <c r="C30" s="70"/>
      <c r="D30" s="125"/>
      <c r="E30" s="71"/>
      <c r="F30" s="71"/>
      <c r="G30" s="72"/>
      <c r="H30" s="10">
        <f t="shared" si="4"/>
        <v>0</v>
      </c>
      <c r="I30" s="10">
        <f t="shared" si="3"/>
        <v>0</v>
      </c>
      <c r="J30" s="90">
        <f t="shared" si="2"/>
        <v>0</v>
      </c>
    </row>
    <row r="31" spans="2:10" x14ac:dyDescent="0.25">
      <c r="B31" s="288"/>
      <c r="C31" s="70"/>
      <c r="D31" s="125"/>
      <c r="E31" s="71"/>
      <c r="F31" s="71"/>
      <c r="G31" s="72"/>
      <c r="H31" s="10">
        <f t="shared" si="4"/>
        <v>0</v>
      </c>
      <c r="I31" s="10">
        <f t="shared" si="3"/>
        <v>0</v>
      </c>
      <c r="J31" s="90">
        <f t="shared" si="2"/>
        <v>0</v>
      </c>
    </row>
    <row r="32" spans="2:10" x14ac:dyDescent="0.25">
      <c r="B32" s="288"/>
      <c r="C32" s="70"/>
      <c r="D32" s="125"/>
      <c r="E32" s="71"/>
      <c r="F32" s="71"/>
      <c r="G32" s="72"/>
      <c r="H32" s="10">
        <f t="shared" si="4"/>
        <v>0</v>
      </c>
      <c r="I32" s="10">
        <f t="shared" si="3"/>
        <v>0</v>
      </c>
      <c r="J32" s="90">
        <f t="shared" si="2"/>
        <v>0</v>
      </c>
    </row>
    <row r="33" spans="2:10" x14ac:dyDescent="0.25">
      <c r="B33" s="288"/>
      <c r="C33" s="70"/>
      <c r="D33" s="125"/>
      <c r="E33" s="71"/>
      <c r="F33" s="71"/>
      <c r="G33" s="72"/>
      <c r="H33" s="10">
        <f t="shared" si="4"/>
        <v>0</v>
      </c>
      <c r="I33" s="10">
        <f t="shared" si="3"/>
        <v>0</v>
      </c>
      <c r="J33" s="90">
        <f t="shared" si="2"/>
        <v>0</v>
      </c>
    </row>
    <row r="34" spans="2:10" x14ac:dyDescent="0.25">
      <c r="B34" s="288"/>
      <c r="C34" s="70"/>
      <c r="D34" s="125"/>
      <c r="E34" s="71"/>
      <c r="F34" s="71"/>
      <c r="G34" s="72"/>
      <c r="H34" s="10">
        <f t="shared" si="4"/>
        <v>0</v>
      </c>
      <c r="I34" s="10">
        <f t="shared" si="3"/>
        <v>0</v>
      </c>
      <c r="J34" s="90">
        <f t="shared" si="2"/>
        <v>0</v>
      </c>
    </row>
    <row r="35" spans="2:10" x14ac:dyDescent="0.25">
      <c r="B35" s="288"/>
      <c r="C35" s="70"/>
      <c r="D35" s="125"/>
      <c r="E35" s="71"/>
      <c r="F35" s="71"/>
      <c r="G35" s="72"/>
      <c r="H35" s="10">
        <f t="shared" si="4"/>
        <v>0</v>
      </c>
      <c r="I35" s="10">
        <f t="shared" si="3"/>
        <v>0</v>
      </c>
      <c r="J35" s="90">
        <f t="shared" si="2"/>
        <v>0</v>
      </c>
    </row>
    <row r="36" spans="2:10" ht="13" x14ac:dyDescent="0.3">
      <c r="B36" s="289"/>
      <c r="C36" s="402" t="s">
        <v>82</v>
      </c>
      <c r="D36" s="403"/>
      <c r="E36" s="10">
        <f>SUM(E15:E23)</f>
        <v>260334502.24199873</v>
      </c>
      <c r="F36" s="10">
        <f>SUM(F15:F23)</f>
        <v>0</v>
      </c>
      <c r="G36" s="128"/>
      <c r="H36" s="10">
        <f>SUM(H15:H23)</f>
        <v>2879503.8596534212</v>
      </c>
      <c r="I36" s="10">
        <f>SUM(I15:I23)</f>
        <v>0</v>
      </c>
      <c r="J36" s="90">
        <f>SUM(J15:J23)</f>
        <v>2879503.8596534212</v>
      </c>
    </row>
  </sheetData>
  <sheetProtection sheet="1"/>
  <mergeCells count="2">
    <mergeCell ref="B6:D8"/>
    <mergeCell ref="C36:D36"/>
  </mergeCells>
  <phoneticPr fontId="30" type="noConversion"/>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CF6EA-E37A-4E69-9E35-112801BE625C}">
  <sheetPr codeName="Sheet3">
    <tabColor rgb="FF17415D"/>
    <pageSetUpPr fitToPage="1"/>
  </sheetPr>
  <dimension ref="B1:H132"/>
  <sheetViews>
    <sheetView zoomScale="96" zoomScaleNormal="130" workbookViewId="0">
      <pane xSplit="1" ySplit="10" topLeftCell="B11" activePane="bottomRight" state="frozen"/>
      <selection pane="topRight" activeCell="B1" sqref="B1"/>
      <selection pane="bottomLeft" activeCell="A11" sqref="A11"/>
      <selection pane="bottomRight"/>
    </sheetView>
  </sheetViews>
  <sheetFormatPr defaultColWidth="9.453125" defaultRowHeight="12.5" x14ac:dyDescent="0.25"/>
  <cols>
    <col min="1" max="1" width="12" style="4" customWidth="1"/>
    <col min="2" max="2" width="18.54296875" style="4" customWidth="1"/>
    <col min="3" max="3" width="67.453125" style="4" customWidth="1"/>
    <col min="4" max="5" width="20.54296875" style="4" customWidth="1"/>
    <col min="6" max="6" width="9.453125" style="4"/>
    <col min="7" max="7" width="13.453125" style="4" customWidth="1"/>
    <col min="8" max="8" width="15.453125" style="4" customWidth="1"/>
    <col min="9" max="16384" width="9.453125" style="4"/>
  </cols>
  <sheetData>
    <row r="1" spans="2:6" ht="20" x14ac:dyDescent="0.25">
      <c r="B1" s="135" t="s">
        <v>302</v>
      </c>
      <c r="C1" s="135"/>
    </row>
    <row r="2" spans="2:6" ht="20" x14ac:dyDescent="0.25">
      <c r="B2" s="135" t="str">
        <f>IF(Tradingname=0," ",Tradingname)</f>
        <v>APA Pipelines Investments (BWP) Pty Limited</v>
      </c>
      <c r="C2" s="135"/>
      <c r="E2" s="266"/>
    </row>
    <row r="3" spans="2:6" ht="20" x14ac:dyDescent="0.4">
      <c r="B3" s="135" t="s">
        <v>109</v>
      </c>
      <c r="C3" s="99">
        <f>IF(Yearending=0, "01/01/2000", Yearending)</f>
        <v>45838</v>
      </c>
    </row>
    <row r="4" spans="2:6" ht="45" customHeight="1" x14ac:dyDescent="0.25">
      <c r="B4" s="405" t="s">
        <v>444</v>
      </c>
      <c r="C4" s="405"/>
      <c r="D4" s="249"/>
    </row>
    <row r="5" spans="2:6" x14ac:dyDescent="0.25">
      <c r="D5" s="267"/>
    </row>
    <row r="6" spans="2:6" ht="12.75" customHeight="1" x14ac:dyDescent="0.25">
      <c r="B6" s="401" t="s">
        <v>469</v>
      </c>
      <c r="C6" s="401"/>
      <c r="D6" s="401"/>
      <c r="E6" s="401"/>
      <c r="F6" s="401"/>
    </row>
    <row r="7" spans="2:6" ht="12.75" customHeight="1" x14ac:dyDescent="0.25">
      <c r="B7" s="401"/>
      <c r="C7" s="401"/>
      <c r="D7" s="401"/>
      <c r="E7" s="401"/>
      <c r="F7" s="401"/>
    </row>
    <row r="8" spans="2:6" ht="12.75" customHeight="1" x14ac:dyDescent="0.25">
      <c r="B8" s="401"/>
      <c r="C8" s="401"/>
      <c r="D8" s="401"/>
      <c r="E8" s="401"/>
      <c r="F8" s="401"/>
    </row>
    <row r="9" spans="2:6" ht="12.75" customHeight="1" x14ac:dyDescent="0.25">
      <c r="B9" s="401"/>
      <c r="C9" s="401"/>
      <c r="D9" s="401"/>
      <c r="E9" s="401"/>
      <c r="F9" s="401"/>
    </row>
    <row r="10" spans="2:6" ht="12.75" customHeight="1" x14ac:dyDescent="0.25">
      <c r="B10" s="401"/>
      <c r="C10" s="401"/>
      <c r="D10" s="401"/>
      <c r="E10" s="401"/>
      <c r="F10" s="401"/>
    </row>
    <row r="11" spans="2:6" x14ac:dyDescent="0.25">
      <c r="D11" s="267"/>
    </row>
    <row r="12" spans="2:6" x14ac:dyDescent="0.25">
      <c r="D12" s="267"/>
    </row>
    <row r="13" spans="2:6" ht="15.5" x14ac:dyDescent="0.25">
      <c r="B13" s="404" t="s">
        <v>370</v>
      </c>
      <c r="C13" s="404"/>
      <c r="D13" s="267"/>
    </row>
    <row r="15" spans="2:6" ht="26" x14ac:dyDescent="0.25">
      <c r="B15" s="44" t="s">
        <v>307</v>
      </c>
      <c r="C15" s="45" t="s">
        <v>13</v>
      </c>
      <c r="D15" s="45" t="s">
        <v>129</v>
      </c>
      <c r="E15" s="220" t="s">
        <v>130</v>
      </c>
    </row>
    <row r="16" spans="2:6" ht="13" x14ac:dyDescent="0.25">
      <c r="B16" s="44"/>
      <c r="C16" s="46" t="s">
        <v>46</v>
      </c>
      <c r="D16" s="220"/>
      <c r="E16" s="220"/>
    </row>
    <row r="17" spans="2:7" ht="13" x14ac:dyDescent="0.3">
      <c r="B17" s="290"/>
      <c r="C17" s="48" t="s">
        <v>339</v>
      </c>
      <c r="D17" s="45"/>
      <c r="E17" s="220"/>
    </row>
    <row r="18" spans="2:7" x14ac:dyDescent="0.25">
      <c r="B18" s="314" t="s">
        <v>509</v>
      </c>
      <c r="C18" s="47" t="s">
        <v>374</v>
      </c>
      <c r="D18" s="129">
        <f>IF(Cover!C23="Scheme pipeline","-",SUMIF('3.5 Depreciation amortisation'!$D$15:$D$58,'3.1 Depreciated Book Value'!C17,'3.5 Depreciation amortisation'!$H$15:$H$58))</f>
        <v>92449755.650000021</v>
      </c>
      <c r="E18" s="66">
        <v>90625311.310000017</v>
      </c>
    </row>
    <row r="19" spans="2:7" x14ac:dyDescent="0.25">
      <c r="B19" s="314" t="s">
        <v>509</v>
      </c>
      <c r="C19" s="47" t="s">
        <v>52</v>
      </c>
      <c r="D19" s="129">
        <f>IF(Cover!C23="Scheme pipeline","-",SUMIF('3.5 Depreciation amortisation'!$D$15:$D$58,'3.1 Depreciated Book Value'!C17,'3.5 Depreciation amortisation'!$I$15:$I$58))</f>
        <v>1</v>
      </c>
      <c r="E19" s="66">
        <v>1824444.34</v>
      </c>
    </row>
    <row r="20" spans="2:7" x14ac:dyDescent="0.25">
      <c r="B20" s="314" t="s">
        <v>509</v>
      </c>
      <c r="C20" s="47" t="s">
        <v>156</v>
      </c>
      <c r="D20" s="129">
        <f>IF(Cover!C23="Scheme pipeline","-",SUMIF('3.5 Depreciation amortisation'!$D$15:$D$58,'3.1 Depreciated Book Value'!C17,'3.5 Depreciation amortisation'!$J$15:$J$58))</f>
        <v>0</v>
      </c>
      <c r="E20" s="66">
        <v>0</v>
      </c>
    </row>
    <row r="21" spans="2:7" x14ac:dyDescent="0.25">
      <c r="B21" s="319"/>
      <c r="C21" s="84" t="s">
        <v>87</v>
      </c>
      <c r="D21" s="129">
        <f>IF(Cover!C23="Scheme pipeline","-",SUM(D18:D20))</f>
        <v>92449756.650000021</v>
      </c>
      <c r="E21" s="129">
        <f>SUM(E18:E20)</f>
        <v>92449755.650000021</v>
      </c>
    </row>
    <row r="22" spans="2:7" x14ac:dyDescent="0.25">
      <c r="B22" s="314" t="s">
        <v>509</v>
      </c>
      <c r="C22" s="47" t="s">
        <v>353</v>
      </c>
      <c r="D22" s="129">
        <f>IF(Cover!C23="Scheme pipeline","-",-ABS(SUMIF('3.5 Depreciation amortisation'!$D$15:$D$58,'3.1 Depreciated Book Value'!C17,'3.5 Depreciation amortisation'!$O$15:$O$58)+SUMIF('3.5 Depreciation amortisation'!$D$15:$D$58,'3.1 Depreciated Book Value'!C17,'3.5 Depreciation amortisation'!$P$15:$P$58))-D23)</f>
        <v>-46051805.290000014</v>
      </c>
      <c r="E22" s="66">
        <v>-41841013.230000012</v>
      </c>
    </row>
    <row r="23" spans="2:7" x14ac:dyDescent="0.25">
      <c r="B23" s="314" t="s">
        <v>509</v>
      </c>
      <c r="C23" s="47" t="s">
        <v>354</v>
      </c>
      <c r="D23" s="129">
        <f>IF(Cover!C23="Scheme pipeline","-",-ABS(SUMIF('3.4 Asset impairment'!$C$10:$C$24,'3.1 Depreciated Book Value'!C17,'3.4 Asset impairment'!$D$10:$D$24))+SUMIF('3.4 Asset impairment'!$C$30:$C$56,'3.1 Depreciated Book Value'!C17,'3.4 Asset impairment'!$G$30:$G$56))</f>
        <v>0</v>
      </c>
      <c r="E23" s="66">
        <v>0</v>
      </c>
    </row>
    <row r="24" spans="2:7" x14ac:dyDescent="0.25">
      <c r="B24" s="314" t="s">
        <v>509</v>
      </c>
      <c r="C24" s="47" t="s">
        <v>165</v>
      </c>
      <c r="D24" s="129">
        <f>IF(Cover!C23="Scheme pipeline","-",SUMIF('3.5 Depreciation amortisation'!$D$15:$D$58,'3.1 Depreciated Book Value'!C17,'3.5 Depreciation amortisation'!$K$15:$K$58))</f>
        <v>0</v>
      </c>
      <c r="E24" s="66">
        <v>0</v>
      </c>
      <c r="F24" s="247"/>
    </row>
    <row r="25" spans="2:7" x14ac:dyDescent="0.25">
      <c r="B25" s="319"/>
      <c r="C25" s="84" t="s">
        <v>158</v>
      </c>
      <c r="D25" s="129">
        <f>IF(Cover!C23="Scheme pipeline","-",SUM(D21:D24))</f>
        <v>46397951.360000007</v>
      </c>
      <c r="E25" s="129">
        <f>SUM(E21:E24)</f>
        <v>50608742.420000009</v>
      </c>
    </row>
    <row r="26" spans="2:7" ht="13" x14ac:dyDescent="0.3">
      <c r="B26" s="319"/>
      <c r="C26" s="48" t="s">
        <v>340</v>
      </c>
      <c r="D26" s="130"/>
      <c r="E26" s="130"/>
      <c r="G26" s="160"/>
    </row>
    <row r="27" spans="2:7" ht="13" x14ac:dyDescent="0.3">
      <c r="B27" s="314" t="s">
        <v>509</v>
      </c>
      <c r="C27" s="47" t="s">
        <v>374</v>
      </c>
      <c r="D27" s="129">
        <f>IF(Cover!C23="Scheme pipeline","-",SUMIF('3.5 Depreciation amortisation'!$D$15:$D$58,'3.1 Depreciated Book Value'!C26,'3.5 Depreciation amortisation'!$H$15:$H$58))</f>
        <v>0</v>
      </c>
      <c r="E27" s="66">
        <v>0</v>
      </c>
      <c r="G27" s="160"/>
    </row>
    <row r="28" spans="2:7" ht="13" x14ac:dyDescent="0.3">
      <c r="B28" s="314" t="s">
        <v>509</v>
      </c>
      <c r="C28" s="47" t="s">
        <v>52</v>
      </c>
      <c r="D28" s="129">
        <f>IF(Cover!C23="Scheme pipeline","-",SUMIF('3.5 Depreciation amortisation'!$D$15:$D$58,'3.1 Depreciated Book Value'!C26,'3.5 Depreciation amortisation'!$I$15:$I$58))</f>
        <v>0</v>
      </c>
      <c r="E28" s="66">
        <v>0</v>
      </c>
      <c r="G28" s="160"/>
    </row>
    <row r="29" spans="2:7" ht="13" x14ac:dyDescent="0.3">
      <c r="B29" s="314" t="s">
        <v>509</v>
      </c>
      <c r="C29" s="47" t="s">
        <v>156</v>
      </c>
      <c r="D29" s="129">
        <f>IF(Cover!C23="Scheme pipeline","-",SUMIF('3.5 Depreciation amortisation'!$D$15:$D$58,'3.1 Depreciated Book Value'!C26,'3.5 Depreciation amortisation'!$J$15:$J$58))</f>
        <v>0</v>
      </c>
      <c r="E29" s="66">
        <v>0</v>
      </c>
      <c r="G29" s="160"/>
    </row>
    <row r="30" spans="2:7" ht="13" x14ac:dyDescent="0.3">
      <c r="B30" s="314" t="s">
        <v>509</v>
      </c>
      <c r="C30" s="47" t="s">
        <v>353</v>
      </c>
      <c r="D30" s="129">
        <f>IF(Cover!C23="Scheme pipeline","-",-ABS(SUMIF('3.5 Depreciation amortisation'!$D$15:$D$58,'3.1 Depreciated Book Value'!C26,'3.5 Depreciation amortisation'!$O$15:$O$58)+SUMIF('3.5 Depreciation amortisation'!$D$15:$D$58,'3.1 Depreciated Book Value'!C26,'3.5 Depreciation amortisation'!$P$15:$P$58))-D31)</f>
        <v>0</v>
      </c>
      <c r="E30" s="66">
        <v>0</v>
      </c>
      <c r="F30" s="247"/>
      <c r="G30" s="160"/>
    </row>
    <row r="31" spans="2:7" ht="13" x14ac:dyDescent="0.3">
      <c r="B31" s="314" t="s">
        <v>509</v>
      </c>
      <c r="C31" s="47" t="s">
        <v>354</v>
      </c>
      <c r="D31" s="129">
        <f>IF(Cover!C23="Scheme pipeline","-",-ABS(SUMIF('3.4 Asset impairment'!$C$10:$C$24,'3.1 Depreciated Book Value'!C26,'3.4 Asset impairment'!$D$10:$D$24))+SUMIF('3.4 Asset impairment'!$C$30:$C$56,C26,'3.4 Asset impairment'!$G$30:$G$56))</f>
        <v>0</v>
      </c>
      <c r="E31" s="66">
        <v>0</v>
      </c>
      <c r="F31" s="247"/>
      <c r="G31" s="160"/>
    </row>
    <row r="32" spans="2:7" ht="11.25" customHeight="1" x14ac:dyDescent="0.3">
      <c r="B32" s="314" t="s">
        <v>509</v>
      </c>
      <c r="C32" s="47" t="s">
        <v>165</v>
      </c>
      <c r="D32" s="129">
        <f>IF(Cover!C23="Scheme pipeline","-",SUMIF('3.5 Depreciation amortisation'!$D$15:$D$58,'3.1 Depreciated Book Value'!C26,'3.5 Depreciation amortisation'!$K$15:$K$58))</f>
        <v>0</v>
      </c>
      <c r="E32" s="66">
        <v>0</v>
      </c>
      <c r="G32" s="160"/>
    </row>
    <row r="33" spans="2:7" ht="13" x14ac:dyDescent="0.3">
      <c r="B33" s="319"/>
      <c r="C33" s="84" t="s">
        <v>60</v>
      </c>
      <c r="D33" s="129">
        <f>IF(Cover!C23="Scheme pipeline","-",SUM(D27:D32))</f>
        <v>0</v>
      </c>
      <c r="E33" s="129">
        <f>SUM(E27:E32)</f>
        <v>0</v>
      </c>
      <c r="G33" s="160"/>
    </row>
    <row r="34" spans="2:7" ht="13" x14ac:dyDescent="0.3">
      <c r="B34" s="319"/>
      <c r="C34" s="48" t="s">
        <v>341</v>
      </c>
      <c r="D34" s="130"/>
      <c r="E34" s="130"/>
      <c r="G34" s="159"/>
    </row>
    <row r="35" spans="2:7" x14ac:dyDescent="0.25">
      <c r="B35" s="314" t="s">
        <v>509</v>
      </c>
      <c r="C35" s="47" t="s">
        <v>374</v>
      </c>
      <c r="D35" s="129">
        <f>IF(Cover!C23="Scheme pipeline","-",SUMIF('3.5 Depreciation amortisation'!$D$15:$D$58,'3.1 Depreciated Book Value'!C34,'3.5 Depreciation amortisation'!$H$15:$H$58))</f>
        <v>182903.94</v>
      </c>
      <c r="E35" s="66">
        <v>182903.94</v>
      </c>
    </row>
    <row r="36" spans="2:7" x14ac:dyDescent="0.25">
      <c r="B36" s="314" t="s">
        <v>509</v>
      </c>
      <c r="C36" s="47" t="s">
        <v>52</v>
      </c>
      <c r="D36" s="129">
        <f>IF(Cover!C23="Scheme pipeline","-",SUMIF('3.5 Depreciation amortisation'!$D$15:$D$58,'3.1 Depreciated Book Value'!C34,'3.5 Depreciation amortisation'!$I$15:$I$58))</f>
        <v>0</v>
      </c>
      <c r="E36" s="66">
        <v>0</v>
      </c>
    </row>
    <row r="37" spans="2:7" x14ac:dyDescent="0.25">
      <c r="B37" s="314" t="s">
        <v>509</v>
      </c>
      <c r="C37" s="47" t="s">
        <v>156</v>
      </c>
      <c r="D37" s="129">
        <f>IF(Cover!C23="Scheme pipeline","-",SUMIF('3.5 Depreciation amortisation'!$D$15:$D$58,'3.1 Depreciated Book Value'!C34,'3.5 Depreciation amortisation'!$J$15:$J$58))</f>
        <v>0</v>
      </c>
      <c r="E37" s="66">
        <v>0</v>
      </c>
    </row>
    <row r="38" spans="2:7" x14ac:dyDescent="0.25">
      <c r="B38" s="314" t="s">
        <v>509</v>
      </c>
      <c r="C38" s="47" t="s">
        <v>353</v>
      </c>
      <c r="D38" s="129">
        <f>IF(Cover!C23="Scheme pipeline","-",-ABS(SUMIF('3.5 Depreciation amortisation'!$D$15:$D$58,'3.1 Depreciated Book Value'!C34,'3.5 Depreciation amortisation'!$O$15:$O$58)+SUMIF('3.5 Depreciation amortisation'!$D$15:$D$58,'3.1 Depreciated Book Value'!C34,'3.5 Depreciation amortisation'!$P$15:$P$58))-D39)</f>
        <v>-101941.01</v>
      </c>
      <c r="E38" s="66">
        <v>-95506.87</v>
      </c>
      <c r="F38" s="247"/>
    </row>
    <row r="39" spans="2:7" x14ac:dyDescent="0.25">
      <c r="B39" s="314" t="s">
        <v>509</v>
      </c>
      <c r="C39" s="47" t="s">
        <v>354</v>
      </c>
      <c r="D39" s="129">
        <f>IF(Cover!C23="Scheme pipeline","-",-ABS(SUMIF('3.4 Asset impairment'!$C$10:$C$24,'3.1 Depreciated Book Value'!C34,'3.4 Asset impairment'!$D$10:$D$24))+SUMIF('3.4 Asset impairment'!$C$30:$C$56,'3.1 Depreciated Book Value'!C34,'3.4 Asset impairment'!$G$30:$G$56))</f>
        <v>0</v>
      </c>
      <c r="E39" s="66">
        <v>0</v>
      </c>
      <c r="F39" s="247"/>
    </row>
    <row r="40" spans="2:7" ht="11.25" customHeight="1" x14ac:dyDescent="0.25">
      <c r="B40" s="314" t="s">
        <v>509</v>
      </c>
      <c r="C40" s="47" t="s">
        <v>165</v>
      </c>
      <c r="D40" s="129">
        <f>IF(Cover!C23="Scheme pipeline","-",SUMIF('3.5 Depreciation amortisation'!$D$15:$D$58,'3.1 Depreciated Book Value'!C34,'3.5 Depreciation amortisation'!$K$15:$K$58))</f>
        <v>0</v>
      </c>
      <c r="E40" s="66">
        <v>0</v>
      </c>
    </row>
    <row r="41" spans="2:7" x14ac:dyDescent="0.25">
      <c r="B41" s="319"/>
      <c r="C41" s="84" t="s">
        <v>88</v>
      </c>
      <c r="D41" s="129">
        <f>SUM(D35:D40)</f>
        <v>80962.930000000008</v>
      </c>
      <c r="E41" s="129">
        <f>SUM(E35:E40)</f>
        <v>87397.07</v>
      </c>
    </row>
    <row r="42" spans="2:7" ht="13" x14ac:dyDescent="0.3">
      <c r="B42" s="319"/>
      <c r="C42" s="48" t="s">
        <v>342</v>
      </c>
      <c r="D42" s="130"/>
      <c r="E42" s="130"/>
    </row>
    <row r="43" spans="2:7" x14ac:dyDescent="0.25">
      <c r="B43" s="314" t="s">
        <v>509</v>
      </c>
      <c r="C43" s="47" t="s">
        <v>374</v>
      </c>
      <c r="D43" s="129">
        <f>IF(Cover!C23="Scheme pipeline","-",SUMIF('3.5 Depreciation amortisation'!$D$15:$D$58,'3.1 Depreciated Book Value'!C42,'3.5 Depreciation amortisation'!$H$15:$H$58))</f>
        <v>3689.35</v>
      </c>
      <c r="E43" s="66">
        <v>3689.35</v>
      </c>
    </row>
    <row r="44" spans="2:7" x14ac:dyDescent="0.25">
      <c r="B44" s="314" t="s">
        <v>509</v>
      </c>
      <c r="C44" s="47" t="s">
        <v>159</v>
      </c>
      <c r="D44" s="129">
        <f>IF(Cover!C23="Scheme pipeline","-",SUMIF('3.5 Depreciation amortisation'!$D$15:$D$58,'3.1 Depreciated Book Value'!C42,'3.5 Depreciation amortisation'!$I$15:$I$58))</f>
        <v>0</v>
      </c>
      <c r="E44" s="66">
        <v>0</v>
      </c>
    </row>
    <row r="45" spans="2:7" x14ac:dyDescent="0.25">
      <c r="B45" s="314" t="s">
        <v>509</v>
      </c>
      <c r="C45" s="47" t="s">
        <v>156</v>
      </c>
      <c r="D45" s="129">
        <f>IF(Cover!C23="Scheme pipeline","-",SUMIF('3.5 Depreciation amortisation'!$D$15:$D$58,'3.1 Depreciated Book Value'!C42,'3.5 Depreciation amortisation'!$J$15:$J$58))</f>
        <v>0</v>
      </c>
      <c r="E45" s="66">
        <v>0</v>
      </c>
    </row>
    <row r="46" spans="2:7" x14ac:dyDescent="0.25">
      <c r="B46" s="314" t="s">
        <v>509</v>
      </c>
      <c r="C46" s="47" t="s">
        <v>353</v>
      </c>
      <c r="D46" s="129">
        <f>IF(Cover!C23="Scheme pipeline","-",-ABS(SUMIF('3.5 Depreciation amortisation'!$D$15:$D$58,'3.1 Depreciated Book Value'!C42,'3.5 Depreciation amortisation'!$O$15:$O$58)+SUMIF('3.5 Depreciation amortisation'!$D$15:$D$58,'3.1 Depreciated Book Value'!C42,'3.5 Depreciation amortisation'!$P$15:$P$58))-D47)</f>
        <v>-3689.35</v>
      </c>
      <c r="E46" s="66">
        <v>-3689.35</v>
      </c>
      <c r="F46" s="247"/>
    </row>
    <row r="47" spans="2:7" x14ac:dyDescent="0.25">
      <c r="B47" s="314" t="s">
        <v>509</v>
      </c>
      <c r="C47" s="47" t="s">
        <v>354</v>
      </c>
      <c r="D47" s="129">
        <f>IF(Cover!C23="Scheme pipeline","-",-ABS(SUMIF('3.4 Asset impairment'!$C$10:$C$24,'3.1 Depreciated Book Value'!C42,'3.4 Asset impairment'!$D$10:$D$24))+SUMIF('3.4 Asset impairment'!$C$30:$C$56,'3.1 Depreciated Book Value'!C42,'3.4 Asset impairment'!$G$30:$G$56))</f>
        <v>0</v>
      </c>
      <c r="E47" s="66">
        <v>0</v>
      </c>
      <c r="F47" s="247"/>
    </row>
    <row r="48" spans="2:7" ht="11.25" customHeight="1" x14ac:dyDescent="0.25">
      <c r="B48" s="314" t="s">
        <v>509</v>
      </c>
      <c r="C48" s="47" t="s">
        <v>165</v>
      </c>
      <c r="D48" s="129">
        <f>IF(Cover!C23="Scheme pipeline","-",SUMIF('3.5 Depreciation amortisation'!$D$15:$D$58,'3.1 Depreciated Book Value'!C42,'3.5 Depreciation amortisation'!$K$15:$K$58))</f>
        <v>0</v>
      </c>
      <c r="E48" s="66">
        <v>0</v>
      </c>
    </row>
    <row r="49" spans="2:6" x14ac:dyDescent="0.25">
      <c r="B49" s="319"/>
      <c r="C49" s="84" t="s">
        <v>160</v>
      </c>
      <c r="D49" s="129">
        <f>SUM(D43:D48)</f>
        <v>0</v>
      </c>
      <c r="E49" s="129">
        <f>SUM(E43:E48)</f>
        <v>0</v>
      </c>
    </row>
    <row r="50" spans="2:6" ht="13" x14ac:dyDescent="0.3">
      <c r="B50" s="319"/>
      <c r="C50" s="48" t="s">
        <v>343</v>
      </c>
      <c r="D50" s="130"/>
      <c r="E50" s="130"/>
    </row>
    <row r="51" spans="2:6" x14ac:dyDescent="0.25">
      <c r="B51" s="314" t="s">
        <v>509</v>
      </c>
      <c r="C51" s="47" t="s">
        <v>374</v>
      </c>
      <c r="D51" s="129">
        <f>IF(Cover!C23="Scheme pipeline","-",SUMIF('3.5 Depreciation amortisation'!$D$15:$D$58,'3.1 Depreciated Book Value'!C50,'3.5 Depreciation amortisation'!$H$15:$H$58))</f>
        <v>0</v>
      </c>
      <c r="E51" s="66">
        <v>0</v>
      </c>
    </row>
    <row r="52" spans="2:6" x14ac:dyDescent="0.25">
      <c r="B52" s="314" t="s">
        <v>509</v>
      </c>
      <c r="C52" s="47" t="s">
        <v>52</v>
      </c>
      <c r="D52" s="129">
        <f>IF(Cover!C23="Scheme pipeline","-",SUMIF('3.5 Depreciation amortisation'!$D$15:$D$58,'3.1 Depreciated Book Value'!C50,'3.5 Depreciation amortisation'!$I$15:$I$58))</f>
        <v>0</v>
      </c>
      <c r="E52" s="66">
        <v>0</v>
      </c>
    </row>
    <row r="53" spans="2:6" x14ac:dyDescent="0.25">
      <c r="B53" s="314" t="s">
        <v>509</v>
      </c>
      <c r="C53" s="47" t="s">
        <v>156</v>
      </c>
      <c r="D53" s="129">
        <f>IF(Cover!C23="Scheme pipeline","-",SUMIF('3.5 Depreciation amortisation'!$D$15:$D$58,'3.1 Depreciated Book Value'!C50,'3.5 Depreciation amortisation'!$J$15:$J$58))</f>
        <v>0</v>
      </c>
      <c r="E53" s="66">
        <v>0</v>
      </c>
    </row>
    <row r="54" spans="2:6" x14ac:dyDescent="0.25">
      <c r="B54" s="314" t="s">
        <v>509</v>
      </c>
      <c r="C54" s="47" t="s">
        <v>353</v>
      </c>
      <c r="D54" s="129">
        <f>IF(Cover!C23="Scheme pipeline","-",-ABS(SUMIF('3.5 Depreciation amortisation'!$D$15:$D$58,'3.1 Depreciated Book Value'!C50,'3.5 Depreciation amortisation'!$O$15:$O$58)+SUMIF('3.5 Depreciation amortisation'!$D$15:$D$58,'3.1 Depreciated Book Value'!C50,'3.5 Depreciation amortisation'!$P$15:$P$58))-D55)</f>
        <v>0</v>
      </c>
      <c r="E54" s="66">
        <v>0</v>
      </c>
      <c r="F54" s="247"/>
    </row>
    <row r="55" spans="2:6" x14ac:dyDescent="0.25">
      <c r="B55" s="314" t="s">
        <v>509</v>
      </c>
      <c r="C55" s="47" t="s">
        <v>354</v>
      </c>
      <c r="D55" s="129">
        <f>IF(Cover!C23="Scheme pipeline","-",-ABS(SUMIF('3.4 Asset impairment'!$C$10:$C$24,'3.1 Depreciated Book Value'!C50,'3.4 Asset impairment'!$D$10:$D$24))+SUMIF('3.4 Asset impairment'!$C$30:$C$56,'3.1 Depreciated Book Value'!C50,'3.4 Asset impairment'!$G$30:$G$56))</f>
        <v>0</v>
      </c>
      <c r="E55" s="66">
        <v>0</v>
      </c>
      <c r="F55" s="247"/>
    </row>
    <row r="56" spans="2:6" ht="11.25" customHeight="1" x14ac:dyDescent="0.25">
      <c r="B56" s="314" t="s">
        <v>509</v>
      </c>
      <c r="C56" s="47" t="s">
        <v>165</v>
      </c>
      <c r="D56" s="129">
        <f>IF(Cover!C23="Scheme pipeline","-",SUMIF('3.5 Depreciation amortisation'!$D$15:$D$58,'3.1 Depreciated Book Value'!C50,'3.5 Depreciation amortisation'!$K$15:$K$58))</f>
        <v>0</v>
      </c>
      <c r="E56" s="66">
        <v>0</v>
      </c>
    </row>
    <row r="57" spans="2:6" x14ac:dyDescent="0.25">
      <c r="B57" s="319"/>
      <c r="C57" s="84" t="s">
        <v>177</v>
      </c>
      <c r="D57" s="129">
        <f>SUM(D51:D56)</f>
        <v>0</v>
      </c>
      <c r="E57" s="129">
        <f>SUM(E51:E56)</f>
        <v>0</v>
      </c>
    </row>
    <row r="58" spans="2:6" ht="13" x14ac:dyDescent="0.3">
      <c r="B58" s="319"/>
      <c r="C58" s="48" t="s">
        <v>344</v>
      </c>
      <c r="D58" s="130"/>
      <c r="E58" s="130"/>
    </row>
    <row r="59" spans="2:6" x14ac:dyDescent="0.25">
      <c r="B59" s="314" t="s">
        <v>509</v>
      </c>
      <c r="C59" s="47" t="s">
        <v>374</v>
      </c>
      <c r="D59" s="129">
        <f>IF(Cover!C23="Scheme pipeline","-",SUMIF('3.5 Depreciation amortisation'!$D$15:$D$58,'3.1 Depreciated Book Value'!C58,'3.5 Depreciation amortisation'!$H$15:$H$58))</f>
        <v>262425.46999999997</v>
      </c>
      <c r="E59" s="66">
        <v>262425.46999999997</v>
      </c>
    </row>
    <row r="60" spans="2:6" x14ac:dyDescent="0.25">
      <c r="B60" s="314" t="s">
        <v>509</v>
      </c>
      <c r="C60" s="47" t="s">
        <v>52</v>
      </c>
      <c r="D60" s="129">
        <f>IF(Cover!C23="Scheme pipeline","-",SUMIF('3.5 Depreciation amortisation'!$D$15:$D$58,'3.1 Depreciated Book Value'!C58,'3.5 Depreciation amortisation'!$I$15:$I$58))</f>
        <v>0</v>
      </c>
      <c r="E60" s="66">
        <v>0</v>
      </c>
    </row>
    <row r="61" spans="2:6" x14ac:dyDescent="0.25">
      <c r="B61" s="314" t="s">
        <v>509</v>
      </c>
      <c r="C61" s="47" t="s">
        <v>156</v>
      </c>
      <c r="D61" s="129">
        <f>IF(Cover!C23="Scheme pipeline","-",SUMIF('3.5 Depreciation amortisation'!$D$15:$D$58,'3.1 Depreciated Book Value'!C58,'3.5 Depreciation amortisation'!$J$15:$J$58))</f>
        <v>0</v>
      </c>
      <c r="E61" s="66">
        <v>0</v>
      </c>
    </row>
    <row r="62" spans="2:6" ht="11.25" customHeight="1" x14ac:dyDescent="0.25">
      <c r="B62" s="314" t="s">
        <v>509</v>
      </c>
      <c r="C62" s="47" t="s">
        <v>353</v>
      </c>
      <c r="D62" s="129">
        <f>IF(Cover!C23="Scheme pipeline","-",-ABS(SUMIF('3.5 Depreciation amortisation'!$D$15:$D$58,'3.1 Depreciated Book Value'!C58,'3.5 Depreciation amortisation'!$O$15:$O$58)+SUMIF('3.5 Depreciation amortisation'!$D$15:$D$58,'3.1 Depreciated Book Value'!C58,'3.5 Depreciation amortisation'!$P$15:$P$58))-D63)</f>
        <v>-233056.27999999997</v>
      </c>
      <c r="E62" s="66">
        <v>-207831.78999999998</v>
      </c>
      <c r="F62" s="247"/>
    </row>
    <row r="63" spans="2:6" ht="11.25" customHeight="1" x14ac:dyDescent="0.25">
      <c r="B63" s="314" t="s">
        <v>509</v>
      </c>
      <c r="C63" s="47" t="s">
        <v>354</v>
      </c>
      <c r="D63" s="129">
        <f>IF(Cover!C23="Scheme pipeline","-",-ABS(SUMIF('3.4 Asset impairment'!$C$10:$C$24,'3.1 Depreciated Book Value'!C58,'3.4 Asset impairment'!$D$10:$D$24))+SUMIF('3.4 Asset impairment'!$C$30:$C$56,'3.1 Depreciated Book Value'!C58,'3.4 Asset impairment'!$G$30:$G$56))</f>
        <v>0</v>
      </c>
      <c r="E63" s="66">
        <v>0</v>
      </c>
      <c r="F63" s="247"/>
    </row>
    <row r="64" spans="2:6" ht="11.25" customHeight="1" x14ac:dyDescent="0.25">
      <c r="B64" s="314" t="s">
        <v>509</v>
      </c>
      <c r="C64" s="47" t="s">
        <v>165</v>
      </c>
      <c r="D64" s="129">
        <f>IF(Cover!C23="Scheme pipeline","-",SUMIF('3.5 Depreciation amortisation'!$D$15:$D$58,'3.1 Depreciated Book Value'!C58,'3.5 Depreciation amortisation'!$K$15:$K$58))</f>
        <v>0</v>
      </c>
      <c r="E64" s="66">
        <v>0</v>
      </c>
    </row>
    <row r="65" spans="2:6" x14ac:dyDescent="0.25">
      <c r="B65" s="319"/>
      <c r="C65" s="84" t="s">
        <v>89</v>
      </c>
      <c r="D65" s="129">
        <f>SUM(D59:D64)</f>
        <v>29369.190000000002</v>
      </c>
      <c r="E65" s="129">
        <f>SUM(E59:E64)</f>
        <v>54593.679999999993</v>
      </c>
    </row>
    <row r="66" spans="2:6" ht="13" x14ac:dyDescent="0.3">
      <c r="B66" s="319"/>
      <c r="C66" s="48" t="s">
        <v>345</v>
      </c>
      <c r="D66" s="130"/>
      <c r="E66" s="130"/>
    </row>
    <row r="67" spans="2:6" x14ac:dyDescent="0.25">
      <c r="B67" s="314" t="s">
        <v>509</v>
      </c>
      <c r="C67" s="47" t="s">
        <v>374</v>
      </c>
      <c r="D67" s="129">
        <f>IF(Cover!C23="Scheme pipeline","-",SUMIF('3.5 Depreciation amortisation'!$D$15:$D$58,'3.1 Depreciated Book Value'!C66,'3.5 Depreciation amortisation'!$H$15:$H$58))</f>
        <v>70000</v>
      </c>
      <c r="E67" s="66">
        <v>70000</v>
      </c>
    </row>
    <row r="68" spans="2:6" x14ac:dyDescent="0.25">
      <c r="B68" s="314" t="s">
        <v>509</v>
      </c>
      <c r="C68" s="47" t="s">
        <v>52</v>
      </c>
      <c r="D68" s="129">
        <f>IF(Cover!C23="Scheme pipeline","-",SUMIF('3.5 Depreciation amortisation'!$D$15:$D$58,'3.1 Depreciated Book Value'!C66,'3.5 Depreciation amortisation'!$I$15:$I$58))</f>
        <v>0</v>
      </c>
      <c r="E68" s="66">
        <v>0</v>
      </c>
    </row>
    <row r="69" spans="2:6" x14ac:dyDescent="0.25">
      <c r="B69" s="314" t="s">
        <v>509</v>
      </c>
      <c r="C69" s="47" t="s">
        <v>156</v>
      </c>
      <c r="D69" s="129">
        <f>IF(Cover!C23="Scheme pipeline","-",SUMIF('3.5 Depreciation amortisation'!$D$15:$D$58,'3.1 Depreciated Book Value'!C66,'3.5 Depreciation amortisation'!$J$15:$J$58))</f>
        <v>0</v>
      </c>
      <c r="E69" s="66">
        <v>0</v>
      </c>
    </row>
    <row r="70" spans="2:6" x14ac:dyDescent="0.25">
      <c r="B70" s="314" t="s">
        <v>509</v>
      </c>
      <c r="C70" s="47" t="s">
        <v>353</v>
      </c>
      <c r="D70" s="129">
        <f>IF(Cover!C23="Scheme pipeline","-",-ABS(SUMIF('3.5 Depreciation amortisation'!$D$15:$D$58,'3.1 Depreciated Book Value'!C66,'3.5 Depreciation amortisation'!$O$15:$O$58)+SUMIF('3.5 Depreciation amortisation'!$D$15:$D$58,'3.1 Depreciated Book Value'!C66,'3.5 Depreciation amortisation'!$P$15:$P$58))-D71)</f>
        <v>-39076.42</v>
      </c>
      <c r="E70" s="66">
        <v>-36286.32</v>
      </c>
      <c r="F70" s="247"/>
    </row>
    <row r="71" spans="2:6" x14ac:dyDescent="0.25">
      <c r="B71" s="314" t="s">
        <v>509</v>
      </c>
      <c r="C71" s="47" t="s">
        <v>354</v>
      </c>
      <c r="D71" s="129">
        <f>IF(Cover!C23="Scheme pipeline","-",-ABS(SUMIF('3.4 Asset impairment'!$C$10:$C$24,'3.1 Depreciated Book Value'!C66,'3.4 Asset impairment'!$D$10:$D$24))+SUMIF('3.4 Asset impairment'!$C$30:$C$56,'3.1 Depreciated Book Value'!C66,'3.4 Asset impairment'!$G$30:$G$56))</f>
        <v>0</v>
      </c>
      <c r="E71" s="66">
        <v>0</v>
      </c>
      <c r="F71" s="247"/>
    </row>
    <row r="72" spans="2:6" ht="11.25" customHeight="1" x14ac:dyDescent="0.25">
      <c r="B72" s="314" t="s">
        <v>509</v>
      </c>
      <c r="C72" s="47" t="s">
        <v>165</v>
      </c>
      <c r="D72" s="129">
        <f>IF(Cover!C23="Scheme pipeline","-",SUMIF('3.5 Depreciation amortisation'!$D$15:$D$58,'3.1 Depreciated Book Value'!C66,'3.5 Depreciation amortisation'!$K$15:$K$58))</f>
        <v>0</v>
      </c>
      <c r="E72" s="66">
        <v>0</v>
      </c>
    </row>
    <row r="73" spans="2:6" x14ac:dyDescent="0.25">
      <c r="B73" s="319"/>
      <c r="C73" s="84" t="s">
        <v>61</v>
      </c>
      <c r="D73" s="129">
        <f>SUM(D67:D72)</f>
        <v>30923.58</v>
      </c>
      <c r="E73" s="129">
        <f>SUM(E67:E72)</f>
        <v>33713.68</v>
      </c>
    </row>
    <row r="74" spans="2:6" ht="13" x14ac:dyDescent="0.3">
      <c r="B74" s="319"/>
      <c r="C74" s="48" t="s">
        <v>90</v>
      </c>
      <c r="D74" s="130"/>
      <c r="E74" s="130"/>
    </row>
    <row r="75" spans="2:6" x14ac:dyDescent="0.25">
      <c r="B75" s="314" t="s">
        <v>509</v>
      </c>
      <c r="C75" s="47" t="s">
        <v>374</v>
      </c>
      <c r="D75" s="129">
        <f>IF(Cover!C23="Scheme pipeline","-",SUMIF('3.5 Depreciation amortisation'!$D$15:$D$58,'3.1 Depreciated Book Value'!C74,'3.5 Depreciation amortisation'!$H$15:$H$58))</f>
        <v>123285.66</v>
      </c>
      <c r="E75" s="66">
        <v>123285.66</v>
      </c>
    </row>
    <row r="76" spans="2:6" x14ac:dyDescent="0.25">
      <c r="B76" s="314" t="s">
        <v>509</v>
      </c>
      <c r="C76" s="47" t="s">
        <v>52</v>
      </c>
      <c r="D76" s="129">
        <f>IF(Cover!C23="Scheme pipeline","-",SUMIF('3.5 Depreciation amortisation'!$D$15:$D$58,'3.1 Depreciated Book Value'!C74,'3.5 Depreciation amortisation'!$I$15:$I$58))</f>
        <v>0</v>
      </c>
      <c r="E76" s="66">
        <v>0</v>
      </c>
    </row>
    <row r="77" spans="2:6" x14ac:dyDescent="0.25">
      <c r="B77" s="314" t="s">
        <v>509</v>
      </c>
      <c r="C77" s="47" t="s">
        <v>156</v>
      </c>
      <c r="D77" s="129">
        <f>IF(Cover!C23="Scheme pipeline","-",SUMIF('3.5 Depreciation amortisation'!$D$15:$D$58,'3.1 Depreciated Book Value'!C74,'3.5 Depreciation amortisation'!$J$15:$J$58))</f>
        <v>0</v>
      </c>
      <c r="E77" s="66">
        <v>0</v>
      </c>
    </row>
    <row r="78" spans="2:6" x14ac:dyDescent="0.25">
      <c r="B78" s="314" t="s">
        <v>509</v>
      </c>
      <c r="C78" s="47" t="s">
        <v>354</v>
      </c>
      <c r="D78" s="129">
        <f>IF(Cover!C23="Scheme pipeline","-",-ABS(SUMIF('3.4 Asset impairment'!$C$10:$C$24,'3.1 Depreciated Book Value'!C74,'3.4 Asset impairment'!$D$10:$D$24))+SUMIF('3.4 Asset impairment'!$C$30:$C$56,'3.1 Depreciated Book Value'!C74,'3.4 Asset impairment'!$G$30:$G$56))</f>
        <v>0</v>
      </c>
      <c r="E78" s="66">
        <v>0</v>
      </c>
    </row>
    <row r="79" spans="2:6" ht="11.25" customHeight="1" x14ac:dyDescent="0.25">
      <c r="B79" s="314" t="s">
        <v>509</v>
      </c>
      <c r="C79" s="47" t="s">
        <v>165</v>
      </c>
      <c r="D79" s="129">
        <f>IF(Cover!C23="Scheme pipeline","-",SUMIF('3.5 Depreciation amortisation'!$D$15:$D$58,'3.1 Depreciated Book Value'!C74,'3.5 Depreciation amortisation'!$K$15:$K$58))</f>
        <v>0</v>
      </c>
      <c r="E79" s="66">
        <v>0</v>
      </c>
    </row>
    <row r="80" spans="2:6" x14ac:dyDescent="0.25">
      <c r="B80" s="319"/>
      <c r="C80" s="84" t="s">
        <v>91</v>
      </c>
      <c r="D80" s="129">
        <f>SUM(D75:D79)</f>
        <v>123285.66</v>
      </c>
      <c r="E80" s="129">
        <f>SUM(E75:E79)</f>
        <v>123285.66</v>
      </c>
    </row>
    <row r="81" spans="2:8" ht="13" x14ac:dyDescent="0.3">
      <c r="B81" s="319"/>
      <c r="C81" s="48" t="s">
        <v>131</v>
      </c>
      <c r="D81" s="130"/>
      <c r="E81" s="130"/>
      <c r="G81" s="268"/>
      <c r="H81" s="268"/>
    </row>
    <row r="82" spans="2:8" s="268" customFormat="1" x14ac:dyDescent="0.25">
      <c r="B82" s="314" t="s">
        <v>509</v>
      </c>
      <c r="C82" s="47" t="s">
        <v>374</v>
      </c>
      <c r="D82" s="129">
        <f>IF(Cover!C23="Scheme pipeline","-",SUMIF('3.5 Depreciation amortisation'!$D$15:$D$58,'3.1 Depreciated Book Value'!C81,'3.5 Depreciation amortisation'!$H$15:$H$58))</f>
        <v>833247.03</v>
      </c>
      <c r="E82" s="131">
        <v>833247.03</v>
      </c>
      <c r="F82" s="269"/>
    </row>
    <row r="83" spans="2:8" s="268" customFormat="1" x14ac:dyDescent="0.25">
      <c r="B83" s="314" t="s">
        <v>509</v>
      </c>
      <c r="C83" s="47" t="s">
        <v>52</v>
      </c>
      <c r="D83" s="129">
        <f>IF(Cover!C23="Scheme pipeline","-",SUMIF('3.5 Depreciation amortisation'!$D$15:$D$58,'3.1 Depreciated Book Value'!C81,'3.5 Depreciation amortisation'!$I$15:$I$58))</f>
        <v>0</v>
      </c>
      <c r="E83" s="131">
        <v>0</v>
      </c>
      <c r="F83" s="269"/>
    </row>
    <row r="84" spans="2:8" s="268" customFormat="1" x14ac:dyDescent="0.25">
      <c r="B84" s="314" t="s">
        <v>509</v>
      </c>
      <c r="C84" s="47" t="s">
        <v>156</v>
      </c>
      <c r="D84" s="129">
        <f>IF(Cover!C23="Scheme pipeline","-",SUMIF('3.5 Depreciation amortisation'!$D$15:$D$58,'3.1 Depreciated Book Value'!C81,'3.5 Depreciation amortisation'!$J$15:$J$58))</f>
        <v>0</v>
      </c>
      <c r="E84" s="131">
        <v>0</v>
      </c>
      <c r="F84" s="269"/>
    </row>
    <row r="85" spans="2:8" s="268" customFormat="1" x14ac:dyDescent="0.25">
      <c r="B85" s="314" t="s">
        <v>509</v>
      </c>
      <c r="C85" s="47" t="s">
        <v>353</v>
      </c>
      <c r="D85" s="129">
        <f>IF(Cover!C23="Scheme pipeline","-",-ABS(SUMIF('3.5 Depreciation amortisation'!$D$15:$D$58,'3.1 Depreciated Book Value'!C81,'3.5 Depreciation amortisation'!$O$15:$O$58)+SUMIF('3.5 Depreciation amortisation'!$D$15:$D$58,'3.1 Depreciated Book Value'!C81,'3.5 Depreciation amortisation'!$P$15:$P$58))-D86)</f>
        <v>-833247</v>
      </c>
      <c r="E85" s="131">
        <v>-832484.56</v>
      </c>
      <c r="F85" s="269"/>
    </row>
    <row r="86" spans="2:8" s="268" customFormat="1" x14ac:dyDescent="0.25">
      <c r="B86" s="314" t="s">
        <v>509</v>
      </c>
      <c r="C86" s="47" t="s">
        <v>354</v>
      </c>
      <c r="D86" s="129">
        <f>IF(Cover!C23="Scheme pipeline","-",-ABS(SUMIF('3.4 Asset impairment'!$C$10:$C$24,'3.1 Depreciated Book Value'!C81,'3.4 Asset impairment'!$D$10:$D$24))+SUMIF('3.4 Asset impairment'!$C$30:$C$56,'3.1 Depreciated Book Value'!C81,'3.4 Asset impairment'!$G$30:$G$56))</f>
        <v>0</v>
      </c>
      <c r="E86" s="131">
        <v>0</v>
      </c>
      <c r="F86" s="269"/>
    </row>
    <row r="87" spans="2:8" s="268" customFormat="1" x14ac:dyDescent="0.25">
      <c r="B87" s="314" t="s">
        <v>509</v>
      </c>
      <c r="C87" s="47" t="s">
        <v>165</v>
      </c>
      <c r="D87" s="129">
        <f>IF(Cover!C23="Scheme pipeline","-",SUMIF('3.5 Depreciation amortisation'!$D$15:$D$58,'3.1 Depreciated Book Value'!C81,'3.5 Depreciation amortisation'!$K$15:$K$58))</f>
        <v>0</v>
      </c>
      <c r="E87" s="131">
        <v>0</v>
      </c>
      <c r="G87" s="4"/>
      <c r="H87" s="4"/>
    </row>
    <row r="88" spans="2:8" x14ac:dyDescent="0.25">
      <c r="B88" s="319"/>
      <c r="C88" s="84" t="s">
        <v>132</v>
      </c>
      <c r="D88" s="129">
        <f>SUM(D82:D87)</f>
        <v>3.0000000027939677E-2</v>
      </c>
      <c r="E88" s="129">
        <f>SUM(E82:E87)</f>
        <v>762.46999999997206</v>
      </c>
    </row>
    <row r="89" spans="2:8" ht="13" x14ac:dyDescent="0.3">
      <c r="B89" s="319"/>
      <c r="C89" s="48" t="s">
        <v>346</v>
      </c>
      <c r="D89" s="130"/>
      <c r="E89" s="130"/>
      <c r="F89" s="100"/>
    </row>
    <row r="90" spans="2:8" x14ac:dyDescent="0.25">
      <c r="B90" s="314" t="s">
        <v>509</v>
      </c>
      <c r="C90" s="47" t="s">
        <v>374</v>
      </c>
      <c r="D90" s="129">
        <f>IF(Cover!C23="Scheme pipeline","-",SUMIF('3.5 Depreciation amortisation'!$D$15:$D$58,'3.1 Depreciated Book Value'!C89,'3.5 Depreciation amortisation'!$H$15:$H$58))</f>
        <v>0</v>
      </c>
      <c r="E90" s="66">
        <v>0</v>
      </c>
      <c r="F90" s="100"/>
    </row>
    <row r="91" spans="2:8" x14ac:dyDescent="0.25">
      <c r="B91" s="314" t="s">
        <v>509</v>
      </c>
      <c r="C91" s="47" t="s">
        <v>52</v>
      </c>
      <c r="D91" s="129">
        <f>IF(Cover!C23="Scheme pipeline","-",SUMIF('3.5 Depreciation amortisation'!$D$15:$D$58,'3.1 Depreciated Book Value'!C89,'3.5 Depreciation amortisation'!$I$15:$I$58))</f>
        <v>0</v>
      </c>
      <c r="E91" s="66">
        <v>0</v>
      </c>
      <c r="F91" s="100"/>
    </row>
    <row r="92" spans="2:8" x14ac:dyDescent="0.25">
      <c r="B92" s="314" t="s">
        <v>509</v>
      </c>
      <c r="C92" s="47" t="s">
        <v>156</v>
      </c>
      <c r="D92" s="129">
        <f>IF(Cover!C23="Scheme pipeline","-",SUMIF('3.5 Depreciation amortisation'!$D$15:$D$58,'3.1 Depreciated Book Value'!C89,'3.5 Depreciation amortisation'!$J$15:$J$58))</f>
        <v>0</v>
      </c>
      <c r="E92" s="66">
        <v>0</v>
      </c>
      <c r="F92" s="100"/>
    </row>
    <row r="93" spans="2:8" x14ac:dyDescent="0.25">
      <c r="B93" s="314" t="s">
        <v>509</v>
      </c>
      <c r="C93" s="47" t="s">
        <v>355</v>
      </c>
      <c r="D93" s="129">
        <f>IF(Cover!C23="Scheme pipeline","-",-ABS(SUMIF('3.5 Depreciation amortisation'!$D$15:$D$58,'3.1 Depreciated Book Value'!C89,'3.5 Depreciation amortisation'!$O$15:$O$58)+SUMIF('3.5 Depreciation amortisation'!$D$15:$D$58,'3.1 Depreciated Book Value'!C89,'3.5 Depreciation amortisation'!$P$15:$P$58))-D94)</f>
        <v>0</v>
      </c>
      <c r="E93" s="66">
        <v>0</v>
      </c>
      <c r="F93" s="100"/>
      <c r="G93" s="100"/>
    </row>
    <row r="94" spans="2:8" x14ac:dyDescent="0.25">
      <c r="B94" s="314" t="s">
        <v>509</v>
      </c>
      <c r="C94" s="47" t="s">
        <v>354</v>
      </c>
      <c r="D94" s="129">
        <f>IF(Cover!C23="Scheme pipeline","-",-ABS(SUMIF('3.4 Asset impairment'!$C$10:$C$24,'3.1 Depreciated Book Value'!C89,'3.4 Asset impairment'!$D$10:$D$24))+SUMIF('3.4 Asset impairment'!$C$30:$C$56,'3.1 Depreciated Book Value'!C89,'3.4 Asset impairment'!$G$30:$G$56))</f>
        <v>0</v>
      </c>
      <c r="E94" s="66">
        <v>0</v>
      </c>
      <c r="F94" s="100"/>
      <c r="G94" s="100"/>
    </row>
    <row r="95" spans="2:8" ht="11.25" customHeight="1" x14ac:dyDescent="0.25">
      <c r="B95" s="314" t="s">
        <v>509</v>
      </c>
      <c r="C95" s="47" t="s">
        <v>165</v>
      </c>
      <c r="D95" s="129">
        <f>IF(Cover!C23="Scheme pipeline","-",SUMIF('3.5 Depreciation amortisation'!$D$15:$D$58,'3.1 Depreciated Book Value'!C89,'3.5 Depreciation amortisation'!$K$15:$K$58))</f>
        <v>0</v>
      </c>
      <c r="E95" s="66">
        <v>0</v>
      </c>
      <c r="F95" s="100"/>
    </row>
    <row r="96" spans="2:8" x14ac:dyDescent="0.25">
      <c r="B96" s="319"/>
      <c r="C96" s="84" t="s">
        <v>143</v>
      </c>
      <c r="D96" s="129">
        <f>SUM(D90:D95)</f>
        <v>0</v>
      </c>
      <c r="E96" s="129">
        <f>SUM(E90:E95)</f>
        <v>0</v>
      </c>
      <c r="F96" s="100"/>
    </row>
    <row r="97" spans="2:7" ht="13" x14ac:dyDescent="0.3">
      <c r="B97" s="314" t="s">
        <v>509</v>
      </c>
      <c r="C97" s="48" t="s">
        <v>92</v>
      </c>
      <c r="D97" s="130"/>
      <c r="E97" s="130"/>
    </row>
    <row r="98" spans="2:7" x14ac:dyDescent="0.25">
      <c r="B98" s="314" t="s">
        <v>509</v>
      </c>
      <c r="C98" s="47" t="s">
        <v>374</v>
      </c>
      <c r="D98" s="66">
        <v>0</v>
      </c>
      <c r="E98" s="66">
        <v>0</v>
      </c>
      <c r="F98" s="100"/>
    </row>
    <row r="99" spans="2:7" x14ac:dyDescent="0.25">
      <c r="B99" s="314" t="s">
        <v>509</v>
      </c>
      <c r="C99" s="47" t="s">
        <v>52</v>
      </c>
      <c r="D99" s="66">
        <v>0</v>
      </c>
      <c r="E99" s="66">
        <v>0</v>
      </c>
      <c r="F99" s="100"/>
    </row>
    <row r="100" spans="2:7" x14ac:dyDescent="0.25">
      <c r="B100" s="314" t="s">
        <v>509</v>
      </c>
      <c r="C100" s="47" t="s">
        <v>156</v>
      </c>
      <c r="D100" s="66">
        <v>0</v>
      </c>
      <c r="E100" s="66">
        <v>0</v>
      </c>
      <c r="F100" s="100"/>
    </row>
    <row r="101" spans="2:7" x14ac:dyDescent="0.25">
      <c r="B101" s="314" t="s">
        <v>509</v>
      </c>
      <c r="C101" s="47" t="s">
        <v>165</v>
      </c>
      <c r="D101" s="66">
        <v>0</v>
      </c>
      <c r="E101" s="66">
        <v>0</v>
      </c>
      <c r="F101" s="100"/>
      <c r="G101" s="100"/>
    </row>
    <row r="102" spans="2:7" x14ac:dyDescent="0.25">
      <c r="B102" s="319"/>
      <c r="C102" s="84" t="s">
        <v>351</v>
      </c>
      <c r="D102" s="129">
        <f>SUM(D98:D101)</f>
        <v>0</v>
      </c>
      <c r="E102" s="129">
        <f>SUM(E98:E101)</f>
        <v>0</v>
      </c>
      <c r="F102" s="100"/>
    </row>
    <row r="103" spans="2:7" ht="13" x14ac:dyDescent="0.3">
      <c r="B103" s="319"/>
      <c r="C103" s="85" t="s">
        <v>56</v>
      </c>
      <c r="D103" s="129">
        <f>SUM(D25,D33,D41,D49,D57,D65,D73,D80,D88,D102,D96)</f>
        <v>46662492.75</v>
      </c>
      <c r="E103" s="129">
        <f>SUM(E25,E33,E41,E49,E57,E65,E73,E80,E88,E102,E96)</f>
        <v>50908494.980000004</v>
      </c>
      <c r="F103" s="100"/>
    </row>
    <row r="104" spans="2:7" ht="13" x14ac:dyDescent="0.25">
      <c r="B104" s="319"/>
      <c r="C104" s="46" t="s">
        <v>161</v>
      </c>
      <c r="D104" s="130"/>
      <c r="E104" s="130"/>
    </row>
    <row r="105" spans="2:7" ht="13" x14ac:dyDescent="0.3">
      <c r="B105" s="319"/>
      <c r="C105" s="48" t="s">
        <v>153</v>
      </c>
      <c r="D105" s="130"/>
      <c r="E105" s="130"/>
    </row>
    <row r="106" spans="2:7" x14ac:dyDescent="0.25">
      <c r="B106" s="314" t="s">
        <v>509</v>
      </c>
      <c r="C106" s="47" t="s">
        <v>374</v>
      </c>
      <c r="D106" s="129">
        <f>IF(Cover!C23="Scheme pipeline","-",SUMIF('3.5 Depreciation amortisation'!$D$66:$D$83,$C$105,'3.5 Depreciation amortisation'!$G$66:$G$83))</f>
        <v>4440433.5500092711</v>
      </c>
      <c r="E106" s="66">
        <v>4383059.7765600001</v>
      </c>
      <c r="F106" s="100"/>
    </row>
    <row r="107" spans="2:7" x14ac:dyDescent="0.25">
      <c r="B107" s="314" t="s">
        <v>509</v>
      </c>
      <c r="C107" s="47" t="s">
        <v>52</v>
      </c>
      <c r="D107" s="129">
        <f>IF(Cover!C23="Scheme pipeline","-",SUMIF('3.5 Depreciation amortisation'!$D$66:$D$83,$C$105,'3.5 Depreciation amortisation'!$H$66:$H$83))</f>
        <v>1071429.5727584129</v>
      </c>
      <c r="E107" s="66">
        <v>237779.10947446086</v>
      </c>
      <c r="F107" s="100"/>
    </row>
    <row r="108" spans="2:7" x14ac:dyDescent="0.25">
      <c r="B108" s="314" t="s">
        <v>509</v>
      </c>
      <c r="C108" s="47" t="s">
        <v>156</v>
      </c>
      <c r="D108" s="129">
        <f>IF(Cover!C23="Scheme pipeline","-",SUMIF('3.5 Depreciation amortisation'!$D$66:$D$83,$C$105,'3.5 Depreciation amortisation'!$I$66:$I$83))</f>
        <v>0</v>
      </c>
      <c r="E108" s="66"/>
    </row>
    <row r="109" spans="2:7" x14ac:dyDescent="0.25">
      <c r="B109" s="314" t="s">
        <v>509</v>
      </c>
      <c r="C109" s="47" t="s">
        <v>353</v>
      </c>
      <c r="D109" s="129">
        <f>IF(Cover!C23="Scheme pipeline","-",-ABS(SUMIF('3.5 Depreciation amortisation'!$D$66:$D$83,$C$105,'3.5 Depreciation amortisation'!$N$66:$N$83)+SUMIF('3.5 Depreciation amortisation'!$D$66:$D$83,$C$105,'3.5 Depreciation amortisation'!$O$66:$O$83))-D110)</f>
        <v>-3941205.1071884572</v>
      </c>
      <c r="E109" s="66">
        <v>-3329786.7118250253</v>
      </c>
      <c r="F109" s="100"/>
    </row>
    <row r="110" spans="2:7" x14ac:dyDescent="0.25">
      <c r="B110" s="314" t="s">
        <v>509</v>
      </c>
      <c r="C110" s="47" t="s">
        <v>354</v>
      </c>
      <c r="D110" s="129">
        <f>IF(Cover!C23="Scheme pipeline","-",-ABS(SUMIF('3.4 Asset impairment'!$C$10:$C$24,'3.1 Depreciated Book Value'!C105,'3.4 Asset impairment'!$D$10:$D$24))+SUMIF('3.4 Asset impairment'!$C$30:$C$56,'3.1 Depreciated Book Value'!C105,'3.4 Asset impairment'!$G$30:$G$56))</f>
        <v>0</v>
      </c>
      <c r="E110" s="66"/>
      <c r="F110" s="100"/>
    </row>
    <row r="111" spans="2:7" x14ac:dyDescent="0.25">
      <c r="B111" s="314" t="s">
        <v>509</v>
      </c>
      <c r="C111" s="47" t="s">
        <v>165</v>
      </c>
      <c r="D111" s="129">
        <f>IF(Cover!C23="Scheme pipeline","-",SUMIF('3.5 Depreciation amortisation'!$D$66:$D$83,$C$105,'3.5 Depreciation amortisation'!$J$66:$J$83))</f>
        <v>-11771.380640326161</v>
      </c>
      <c r="E111" s="66">
        <v>-180405.33602518961</v>
      </c>
      <c r="F111" s="100"/>
    </row>
    <row r="112" spans="2:7" x14ac:dyDescent="0.25">
      <c r="B112" s="319"/>
      <c r="C112" s="84" t="s">
        <v>164</v>
      </c>
      <c r="D112" s="129">
        <f>SUM(D106:D111)</f>
        <v>1558886.6349389008</v>
      </c>
      <c r="E112" s="129">
        <f>SUM(E106:E111)</f>
        <v>1110646.8381842459</v>
      </c>
    </row>
    <row r="113" spans="2:7" ht="13" x14ac:dyDescent="0.3">
      <c r="B113" s="319"/>
      <c r="C113" s="48" t="s">
        <v>145</v>
      </c>
      <c r="D113" s="130"/>
      <c r="E113" s="130"/>
      <c r="F113" s="100"/>
    </row>
    <row r="114" spans="2:7" x14ac:dyDescent="0.25">
      <c r="B114" s="314" t="s">
        <v>509</v>
      </c>
      <c r="C114" s="47" t="s">
        <v>374</v>
      </c>
      <c r="D114" s="129">
        <f>IF(Cover!C23="Scheme pipeline","-",SUMIF('3.5 Depreciation amortisation'!$D$66:$D$83,$C$113,'3.5 Depreciation amortisation'!$G$66:$G$83))</f>
        <v>895199.41923408967</v>
      </c>
      <c r="E114" s="66">
        <v>693098.15975696419</v>
      </c>
      <c r="F114" s="100"/>
    </row>
    <row r="115" spans="2:7" x14ac:dyDescent="0.25">
      <c r="B115" s="314" t="s">
        <v>509</v>
      </c>
      <c r="C115" s="47" t="s">
        <v>52</v>
      </c>
      <c r="D115" s="129">
        <f>IF(Cover!C23="Scheme pipeline","-",SUMIF('3.5 Depreciation amortisation'!$D$66:$D$83,$C$113,'3.5 Depreciation amortisation'!$H$66:$H$83))</f>
        <v>143818.1267610543</v>
      </c>
      <c r="E115" s="66">
        <v>202101.25947712542</v>
      </c>
      <c r="F115" s="100"/>
    </row>
    <row r="116" spans="2:7" x14ac:dyDescent="0.25">
      <c r="B116" s="314" t="s">
        <v>509</v>
      </c>
      <c r="C116" s="47" t="s">
        <v>156</v>
      </c>
      <c r="D116" s="129">
        <f>IF(Cover!C23="Scheme pipeline","-",SUMIF('3.5 Depreciation amortisation'!$D$66:$D$83,$C$113,'3.5 Depreciation amortisation'!$I$66:$I$83))</f>
        <v>0</v>
      </c>
      <c r="E116" s="66">
        <v>0</v>
      </c>
      <c r="F116" s="100"/>
    </row>
    <row r="117" spans="2:7" x14ac:dyDescent="0.25">
      <c r="B117" s="314" t="s">
        <v>509</v>
      </c>
      <c r="C117" s="47" t="s">
        <v>355</v>
      </c>
      <c r="D117" s="129">
        <f>IF(Cover!C23="Scheme pipeline","-",-ABS(SUMIF('3.5 Depreciation amortisation'!$D$66:$D$83,$C$113,'3.5 Depreciation amortisation'!$N$66:$N$83)+SUMIF('3.5 Depreciation amortisation'!$D$66:$D$83,$C$113,'3.5 Depreciation amortisation'!$O$66:$O$83))-D118)</f>
        <v>-599064.93253579503</v>
      </c>
      <c r="E117" s="66">
        <v>-461914.54053907207</v>
      </c>
      <c r="F117" s="100"/>
      <c r="G117" s="100"/>
    </row>
    <row r="118" spans="2:7" x14ac:dyDescent="0.25">
      <c r="B118" s="314" t="s">
        <v>509</v>
      </c>
      <c r="C118" s="47" t="s">
        <v>354</v>
      </c>
      <c r="D118" s="129">
        <f>IF(Cover!C23="Scheme pipeline","-",-ABS(SUMIF('3.4 Asset impairment'!$C$10:$C$24,'3.1 Depreciated Book Value'!C113,'3.4 Asset impairment'!$D$10:$D$24))+SUMIF('3.4 Asset impairment'!$C$30:$C$56,'3.1 Depreciated Book Value'!C113,'3.4 Asset impairment'!$G$30:$G$56))</f>
        <v>0</v>
      </c>
      <c r="E118" s="66">
        <v>0</v>
      </c>
      <c r="F118" s="100"/>
      <c r="G118" s="100"/>
    </row>
    <row r="119" spans="2:7" ht="11.25" customHeight="1" x14ac:dyDescent="0.25">
      <c r="B119" s="314" t="s">
        <v>509</v>
      </c>
      <c r="C119" s="47" t="s">
        <v>165</v>
      </c>
      <c r="D119" s="129">
        <f>IF(Cover!C23="Scheme pipeline","-",SUMIF('3.5 Depreciation amortisation'!$D$66:$D$83,$C$113,'3.5 Depreciation amortisation'!$J$66:$J$83))</f>
        <v>-3249.5405041380545</v>
      </c>
      <c r="E119" s="66">
        <v>0</v>
      </c>
      <c r="F119" s="100"/>
    </row>
    <row r="120" spans="2:7" x14ac:dyDescent="0.25">
      <c r="B120" s="319"/>
      <c r="C120" s="84" t="s">
        <v>163</v>
      </c>
      <c r="D120" s="129">
        <f>SUM(D114:D119)</f>
        <v>436703.07295521087</v>
      </c>
      <c r="E120" s="129">
        <f>SUM(E114:E119)</f>
        <v>433284.87869501748</v>
      </c>
      <c r="F120" s="100"/>
    </row>
    <row r="121" spans="2:7" ht="13" x14ac:dyDescent="0.3">
      <c r="B121" s="314" t="s">
        <v>509</v>
      </c>
      <c r="C121" s="48" t="s">
        <v>70</v>
      </c>
      <c r="D121" s="66">
        <v>0</v>
      </c>
      <c r="E121" s="66">
        <v>0</v>
      </c>
      <c r="F121" s="100"/>
    </row>
    <row r="122" spans="2:7" ht="13" x14ac:dyDescent="0.3">
      <c r="B122" s="314" t="s">
        <v>509</v>
      </c>
      <c r="C122" s="48" t="s">
        <v>71</v>
      </c>
      <c r="D122" s="66">
        <v>0</v>
      </c>
      <c r="E122" s="66">
        <v>0</v>
      </c>
    </row>
    <row r="123" spans="2:7" ht="13" x14ac:dyDescent="0.3">
      <c r="B123" s="314" t="s">
        <v>509</v>
      </c>
      <c r="C123" s="48" t="s">
        <v>170</v>
      </c>
      <c r="D123" s="66">
        <v>3058504.84</v>
      </c>
      <c r="E123" s="66">
        <v>1946782.94</v>
      </c>
    </row>
    <row r="124" spans="2:7" ht="13" x14ac:dyDescent="0.3">
      <c r="B124" s="287"/>
      <c r="C124" s="86" t="s">
        <v>162</v>
      </c>
      <c r="D124" s="129">
        <f>SUM(D112,D120:D123)</f>
        <v>5054094.5478941118</v>
      </c>
      <c r="E124" s="129">
        <f>SUM(E112,E120:E123)</f>
        <v>3490714.656879263</v>
      </c>
      <c r="F124" s="100"/>
    </row>
    <row r="125" spans="2:7" ht="12.75" customHeight="1" x14ac:dyDescent="0.3">
      <c r="B125" s="287"/>
      <c r="C125" s="86" t="s">
        <v>17</v>
      </c>
      <c r="D125" s="132">
        <f>SUM(D103,D124)</f>
        <v>51716587.297894113</v>
      </c>
      <c r="E125" s="132">
        <f>SUM(E103,E124)</f>
        <v>54399209.636879265</v>
      </c>
    </row>
    <row r="128" spans="2:7" ht="15.5" x14ac:dyDescent="0.35">
      <c r="B128" s="214" t="s">
        <v>468</v>
      </c>
    </row>
    <row r="129" spans="2:4" ht="12.75" customHeight="1" x14ac:dyDescent="0.35">
      <c r="B129" s="214"/>
    </row>
    <row r="130" spans="2:4" ht="26" x14ac:dyDescent="0.25">
      <c r="B130" s="44" t="s">
        <v>307</v>
      </c>
      <c r="C130" s="45" t="s">
        <v>13</v>
      </c>
      <c r="D130" s="220" t="str">
        <f>IFERROR(VLOOKUP(C132,rInitialyears,2,FALSE),"")</f>
        <v/>
      </c>
    </row>
    <row r="131" spans="2:4" ht="13" x14ac:dyDescent="0.3">
      <c r="B131" s="44"/>
      <c r="C131" s="86" t="s">
        <v>17</v>
      </c>
      <c r="D131" s="220"/>
    </row>
    <row r="132" spans="2:4" x14ac:dyDescent="0.25">
      <c r="B132" s="314" t="s">
        <v>509</v>
      </c>
      <c r="C132" s="299"/>
      <c r="D132" s="300">
        <v>87138763.000000015</v>
      </c>
    </row>
  </sheetData>
  <sheetProtection sheet="1"/>
  <mergeCells count="3">
    <mergeCell ref="B13:C13"/>
    <mergeCell ref="B4:C4"/>
    <mergeCell ref="B6:F10"/>
  </mergeCells>
  <phoneticPr fontId="30" type="noConversion"/>
  <dataValidations disablePrompts="1" count="1">
    <dataValidation type="list" allowBlank="1" showInputMessage="1" showErrorMessage="1" sqref="C132" xr:uid="{CB1D5295-E541-4CFE-BB65-BDD50B896004}">
      <formula1>rInitialcosts</formula1>
    </dataValidation>
  </dataValidations>
  <pageMargins left="0.75" right="0.75" top="1" bottom="1" header="0.5" footer="0.5"/>
  <pageSetup paperSize="9" scale="47" orientation="landscape" verticalDpi="2" r:id="rId1"/>
  <headerFooter alignWithMargins="0">
    <oddFooter>&amp;C_x000D_&amp;1#&amp;"Calibri"&amp;10&amp;K008000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DF07F-576A-4B7A-BD4F-7D94018D95EF}">
  <sheetPr codeName="Sheet20">
    <tabColor rgb="FF17415D"/>
    <pageSetUpPr fitToPage="1"/>
  </sheetPr>
  <dimension ref="B1:L119"/>
  <sheetViews>
    <sheetView zoomScale="108" zoomScaleNormal="85" workbookViewId="0">
      <pane xSplit="1" ySplit="9" topLeftCell="B10" activePane="bottomRight" state="frozen"/>
      <selection pane="topRight" activeCell="B1" sqref="B1"/>
      <selection pane="bottomLeft" activeCell="A10" sqref="A10"/>
      <selection pane="bottomRight"/>
    </sheetView>
  </sheetViews>
  <sheetFormatPr defaultColWidth="9.453125" defaultRowHeight="12.5" x14ac:dyDescent="0.25"/>
  <cols>
    <col min="1" max="1" width="12" style="4" customWidth="1"/>
    <col min="2" max="2" width="34.54296875" style="4" customWidth="1"/>
    <col min="3" max="3" width="70.54296875" style="4" customWidth="1"/>
    <col min="4" max="8" width="20.54296875" style="4" customWidth="1"/>
    <col min="9" max="16384" width="9.453125" style="4"/>
  </cols>
  <sheetData>
    <row r="1" spans="2:8" ht="20" x14ac:dyDescent="0.25">
      <c r="B1" s="135" t="s">
        <v>302</v>
      </c>
      <c r="C1" s="135"/>
    </row>
    <row r="2" spans="2:8" ht="20" x14ac:dyDescent="0.25">
      <c r="B2" s="135" t="str">
        <f>IF(Tradingname=0," ",Tradingname)</f>
        <v>APA Pipelines Investments (BWP) Pty Limited</v>
      </c>
      <c r="C2" s="135"/>
      <c r="E2" s="266"/>
    </row>
    <row r="3" spans="2:8" ht="20" x14ac:dyDescent="0.4">
      <c r="B3" s="135" t="s">
        <v>109</v>
      </c>
      <c r="C3" s="99">
        <f>IF(Yearending=0, "01/01/2000", Yearending)</f>
        <v>45838</v>
      </c>
    </row>
    <row r="4" spans="2:8" ht="20" x14ac:dyDescent="0.4">
      <c r="B4" s="135" t="s">
        <v>379</v>
      </c>
      <c r="C4" s="99">
        <f>'1. Pipeline information'!C15</f>
        <v>0</v>
      </c>
    </row>
    <row r="5" spans="2:8" ht="20" x14ac:dyDescent="0.25">
      <c r="B5" s="91" t="s">
        <v>445</v>
      </c>
      <c r="C5" s="91"/>
      <c r="D5" s="249"/>
    </row>
    <row r="6" spans="2:8" x14ac:dyDescent="0.25">
      <c r="D6" s="267"/>
    </row>
    <row r="7" spans="2:8" x14ac:dyDescent="0.25">
      <c r="B7" s="401" t="s">
        <v>456</v>
      </c>
      <c r="C7" s="401"/>
      <c r="D7" s="401"/>
    </row>
    <row r="8" spans="2:8" x14ac:dyDescent="0.25">
      <c r="B8" s="401"/>
      <c r="C8" s="401"/>
      <c r="D8" s="401"/>
    </row>
    <row r="9" spans="2:8" x14ac:dyDescent="0.25">
      <c r="B9" s="401"/>
      <c r="C9" s="401"/>
      <c r="D9" s="401"/>
    </row>
    <row r="12" spans="2:8" ht="15.5" x14ac:dyDescent="0.25">
      <c r="B12" s="404" t="s">
        <v>371</v>
      </c>
      <c r="C12" s="404"/>
      <c r="D12" s="267"/>
    </row>
    <row r="14" spans="2:8" ht="13" x14ac:dyDescent="0.25">
      <c r="B14" s="267"/>
      <c r="C14" s="267"/>
      <c r="D14" s="406" t="s">
        <v>58</v>
      </c>
      <c r="E14" s="406"/>
      <c r="F14" s="406"/>
      <c r="G14" s="406"/>
      <c r="H14" s="406"/>
    </row>
    <row r="15" spans="2:8" ht="13" x14ac:dyDescent="0.25">
      <c r="B15" s="44" t="s">
        <v>307</v>
      </c>
      <c r="C15" s="220" t="s">
        <v>13</v>
      </c>
      <c r="D15" s="220" t="str">
        <f>YEAR(Yearstart)-4&amp;"-"&amp;RIGHT(YEAR(Yearstart)-3,2)</f>
        <v>2020-21</v>
      </c>
      <c r="E15" s="220" t="str">
        <f>YEAR(Yearstart)-3&amp;"-"&amp;RIGHT(YEAR(Yearstart)-2,2)</f>
        <v>2021-22</v>
      </c>
      <c r="F15" s="45" t="str">
        <f>YEAR(Yearstart)-2&amp;"-"&amp;RIGHT(YEAR(Yearstart)-1,2)</f>
        <v>2022-23</v>
      </c>
      <c r="G15" s="45" t="str">
        <f>YEAR(Yearstart)-1&amp;"-"&amp;RIGHT(YEAR(Yearstart),2)</f>
        <v>2023-24</v>
      </c>
      <c r="H15" s="220" t="str">
        <f>YEAR(Yearstart)&amp;"-"&amp;RIGHT(YEAR(Yearstart)+1,2)</f>
        <v>2024-25</v>
      </c>
    </row>
    <row r="16" spans="2:8" ht="13" x14ac:dyDescent="0.25">
      <c r="B16" s="292"/>
      <c r="C16" s="45"/>
      <c r="D16" s="45"/>
      <c r="E16" s="45"/>
      <c r="F16" s="45"/>
      <c r="G16" s="45"/>
      <c r="H16" s="220"/>
    </row>
    <row r="17" spans="2:12" ht="13" x14ac:dyDescent="0.3">
      <c r="B17" s="290"/>
      <c r="C17" s="48" t="s">
        <v>380</v>
      </c>
      <c r="D17" s="162" t="s">
        <v>378</v>
      </c>
      <c r="E17" s="162" t="s">
        <v>378</v>
      </c>
      <c r="F17" s="162" t="s">
        <v>378</v>
      </c>
      <c r="G17" s="162" t="s">
        <v>378</v>
      </c>
      <c r="H17" s="162" t="s">
        <v>378</v>
      </c>
    </row>
    <row r="18" spans="2:12" x14ac:dyDescent="0.25">
      <c r="B18" s="291"/>
      <c r="C18" s="163" t="s">
        <v>381</v>
      </c>
      <c r="D18" s="66"/>
      <c r="E18" s="129">
        <f>D23</f>
        <v>0</v>
      </c>
      <c r="F18" s="129">
        <f>E23</f>
        <v>0</v>
      </c>
      <c r="G18" s="129">
        <f>F23</f>
        <v>0</v>
      </c>
      <c r="H18" s="129">
        <f>G23</f>
        <v>0</v>
      </c>
    </row>
    <row r="19" spans="2:12" x14ac:dyDescent="0.25">
      <c r="B19" s="291"/>
      <c r="C19" s="163" t="s">
        <v>382</v>
      </c>
      <c r="D19" s="66"/>
      <c r="E19" s="66"/>
      <c r="F19" s="66"/>
      <c r="G19" s="66"/>
      <c r="H19" s="66"/>
    </row>
    <row r="20" spans="2:12" x14ac:dyDescent="0.25">
      <c r="B20" s="290"/>
      <c r="C20" s="84" t="s">
        <v>383</v>
      </c>
      <c r="D20" s="129">
        <f>SUM(D18:D19)</f>
        <v>0</v>
      </c>
      <c r="E20" s="129">
        <f>SUM(E18:E19)</f>
        <v>0</v>
      </c>
      <c r="F20" s="129">
        <f>SUM(F18:F19)</f>
        <v>0</v>
      </c>
      <c r="G20" s="129">
        <f>SUM(G18:G19)</f>
        <v>0</v>
      </c>
      <c r="H20" s="129">
        <f>SUM(H18:H19)</f>
        <v>0</v>
      </c>
    </row>
    <row r="21" spans="2:12" x14ac:dyDescent="0.25">
      <c r="B21" s="291"/>
      <c r="C21" s="163" t="s">
        <v>384</v>
      </c>
      <c r="D21" s="66"/>
      <c r="E21" s="66"/>
      <c r="F21" s="66"/>
      <c r="G21" s="66"/>
      <c r="H21" s="66"/>
    </row>
    <row r="22" spans="2:12" x14ac:dyDescent="0.25">
      <c r="B22" s="291"/>
      <c r="C22" s="163" t="s">
        <v>385</v>
      </c>
      <c r="D22" s="66"/>
      <c r="E22" s="66"/>
      <c r="F22" s="66"/>
      <c r="G22" s="66"/>
      <c r="H22" s="66"/>
      <c r="L22" s="9"/>
    </row>
    <row r="23" spans="2:12" x14ac:dyDescent="0.25">
      <c r="B23" s="290"/>
      <c r="C23" s="84" t="s">
        <v>386</v>
      </c>
      <c r="D23" s="129">
        <f>SUM(D20:D22)</f>
        <v>0</v>
      </c>
      <c r="E23" s="129">
        <f>SUM(E20:E22)</f>
        <v>0</v>
      </c>
      <c r="F23" s="129">
        <f>SUM(F20:F22)</f>
        <v>0</v>
      </c>
      <c r="G23" s="129">
        <f>SUM(G20:G22)</f>
        <v>0</v>
      </c>
      <c r="H23" s="129">
        <f>SUM(H20:H22)</f>
        <v>0</v>
      </c>
    </row>
    <row r="24" spans="2:12" ht="13" x14ac:dyDescent="0.3">
      <c r="B24" s="290"/>
      <c r="C24" s="48" t="s">
        <v>387</v>
      </c>
      <c r="D24" s="220"/>
      <c r="E24" s="220"/>
      <c r="F24" s="220"/>
      <c r="G24" s="220"/>
      <c r="H24" s="220"/>
    </row>
    <row r="25" spans="2:12" x14ac:dyDescent="0.25">
      <c r="B25" s="291"/>
      <c r="C25" s="163" t="s">
        <v>381</v>
      </c>
      <c r="D25" s="66"/>
      <c r="E25" s="129">
        <f>D29</f>
        <v>0</v>
      </c>
      <c r="F25" s="129">
        <f>E29</f>
        <v>0</v>
      </c>
      <c r="G25" s="129">
        <f>F29</f>
        <v>0</v>
      </c>
      <c r="H25" s="129">
        <f>G29</f>
        <v>0</v>
      </c>
    </row>
    <row r="26" spans="2:12" x14ac:dyDescent="0.25">
      <c r="B26" s="291"/>
      <c r="C26" s="163" t="s">
        <v>388</v>
      </c>
      <c r="D26" s="66"/>
      <c r="E26" s="66"/>
      <c r="F26" s="66"/>
      <c r="G26" s="66"/>
      <c r="H26" s="66"/>
    </row>
    <row r="27" spans="2:12" x14ac:dyDescent="0.25">
      <c r="B27" s="291"/>
      <c r="C27" s="163" t="s">
        <v>389</v>
      </c>
      <c r="D27" s="66"/>
      <c r="E27" s="66"/>
      <c r="F27" s="66"/>
      <c r="G27" s="66"/>
      <c r="H27" s="66"/>
    </row>
    <row r="28" spans="2:12" x14ac:dyDescent="0.25">
      <c r="B28" s="291"/>
      <c r="C28" s="163" t="s">
        <v>390</v>
      </c>
      <c r="D28" s="66"/>
      <c r="E28" s="66"/>
      <c r="F28" s="66"/>
      <c r="G28" s="66"/>
      <c r="H28" s="66"/>
    </row>
    <row r="29" spans="2:12" x14ac:dyDescent="0.25">
      <c r="B29" s="290"/>
      <c r="C29" s="84" t="s">
        <v>391</v>
      </c>
      <c r="D29" s="129">
        <f>SUM(D25:D28)</f>
        <v>0</v>
      </c>
      <c r="E29" s="129">
        <f>SUM(E25:E28)</f>
        <v>0</v>
      </c>
      <c r="F29" s="129">
        <f>SUM(F25:F28)</f>
        <v>0</v>
      </c>
      <c r="G29" s="129">
        <f>SUM(G25:G28)</f>
        <v>0</v>
      </c>
      <c r="H29" s="129">
        <f>SUM(H25:H28)</f>
        <v>0</v>
      </c>
    </row>
    <row r="30" spans="2:12" ht="13" x14ac:dyDescent="0.3">
      <c r="B30" s="290"/>
      <c r="C30" s="48" t="s">
        <v>392</v>
      </c>
      <c r="D30" s="220"/>
      <c r="E30" s="220"/>
      <c r="F30" s="220"/>
      <c r="G30" s="220"/>
      <c r="H30" s="220"/>
    </row>
    <row r="31" spans="2:12" x14ac:dyDescent="0.25">
      <c r="B31" s="291"/>
      <c r="C31" s="163" t="s">
        <v>381</v>
      </c>
      <c r="D31" s="66"/>
      <c r="E31" s="129">
        <f>D35</f>
        <v>0</v>
      </c>
      <c r="F31" s="129">
        <f>E35</f>
        <v>0</v>
      </c>
      <c r="G31" s="129">
        <f>F35</f>
        <v>0</v>
      </c>
      <c r="H31" s="129">
        <f>G35</f>
        <v>0</v>
      </c>
    </row>
    <row r="32" spans="2:12" x14ac:dyDescent="0.25">
      <c r="B32" s="291"/>
      <c r="C32" s="163" t="s">
        <v>393</v>
      </c>
      <c r="D32" s="66"/>
      <c r="E32" s="66"/>
      <c r="F32" s="66"/>
      <c r="G32" s="66"/>
      <c r="H32" s="66"/>
    </row>
    <row r="33" spans="2:8" ht="11.25" customHeight="1" x14ac:dyDescent="0.25">
      <c r="B33" s="291"/>
      <c r="C33" s="163" t="s">
        <v>394</v>
      </c>
      <c r="D33" s="66"/>
      <c r="E33" s="66"/>
      <c r="F33" s="66"/>
      <c r="G33" s="66"/>
      <c r="H33" s="66"/>
    </row>
    <row r="34" spans="2:8" x14ac:dyDescent="0.25">
      <c r="B34" s="291"/>
      <c r="C34" s="163" t="s">
        <v>390</v>
      </c>
      <c r="D34" s="66"/>
      <c r="E34" s="66"/>
      <c r="F34" s="66"/>
      <c r="G34" s="66"/>
      <c r="H34" s="66"/>
    </row>
    <row r="35" spans="2:8" x14ac:dyDescent="0.25">
      <c r="B35" s="290"/>
      <c r="C35" s="84" t="s">
        <v>395</v>
      </c>
      <c r="D35" s="129">
        <f>SUM(D31:D34)</f>
        <v>0</v>
      </c>
      <c r="E35" s="129">
        <f>SUM(E31:E34)</f>
        <v>0</v>
      </c>
      <c r="F35" s="129">
        <f>SUM(F31:F34)</f>
        <v>0</v>
      </c>
      <c r="G35" s="129">
        <f>SUM(G31:G34)</f>
        <v>0</v>
      </c>
      <c r="H35" s="129">
        <f>SUM(H31:H34)</f>
        <v>0</v>
      </c>
    </row>
    <row r="36" spans="2:8" ht="13" x14ac:dyDescent="0.3">
      <c r="B36" s="290"/>
      <c r="C36" s="48" t="s">
        <v>396</v>
      </c>
      <c r="D36" s="220"/>
      <c r="E36" s="220"/>
      <c r="F36" s="220"/>
      <c r="G36" s="220"/>
      <c r="H36" s="220"/>
    </row>
    <row r="37" spans="2:8" x14ac:dyDescent="0.25">
      <c r="B37" s="291"/>
      <c r="C37" s="163" t="s">
        <v>381</v>
      </c>
      <c r="D37" s="66"/>
      <c r="E37" s="129">
        <f>D41</f>
        <v>0</v>
      </c>
      <c r="F37" s="129">
        <f>E41</f>
        <v>0</v>
      </c>
      <c r="G37" s="129">
        <f>F41</f>
        <v>0</v>
      </c>
      <c r="H37" s="129">
        <f>G41</f>
        <v>0</v>
      </c>
    </row>
    <row r="38" spans="2:8" x14ac:dyDescent="0.25">
      <c r="B38" s="291"/>
      <c r="C38" s="163" t="s">
        <v>388</v>
      </c>
      <c r="D38" s="66"/>
      <c r="E38" s="66"/>
      <c r="F38" s="66"/>
      <c r="G38" s="66"/>
      <c r="H38" s="66"/>
    </row>
    <row r="39" spans="2:8" x14ac:dyDescent="0.25">
      <c r="B39" s="291"/>
      <c r="C39" s="163" t="s">
        <v>397</v>
      </c>
      <c r="D39" s="66"/>
      <c r="E39" s="66"/>
      <c r="F39" s="66"/>
      <c r="G39" s="66"/>
      <c r="H39" s="66"/>
    </row>
    <row r="40" spans="2:8" x14ac:dyDescent="0.25">
      <c r="B40" s="291"/>
      <c r="C40" s="163" t="s">
        <v>390</v>
      </c>
      <c r="D40" s="66"/>
      <c r="E40" s="66"/>
      <c r="F40" s="66"/>
      <c r="G40" s="66"/>
      <c r="H40" s="66"/>
    </row>
    <row r="41" spans="2:8" ht="11.25" customHeight="1" x14ac:dyDescent="0.25">
      <c r="B41" s="290"/>
      <c r="C41" s="84" t="s">
        <v>398</v>
      </c>
      <c r="D41" s="129">
        <f>SUM(D37:D40)</f>
        <v>0</v>
      </c>
      <c r="E41" s="129">
        <f>SUM(E37:E40)</f>
        <v>0</v>
      </c>
      <c r="F41" s="129">
        <f>SUM(F37:F40)</f>
        <v>0</v>
      </c>
      <c r="G41" s="129">
        <f>SUM(G37:G40)</f>
        <v>0</v>
      </c>
      <c r="H41" s="129">
        <f>SUM(H37:H40)</f>
        <v>0</v>
      </c>
    </row>
    <row r="42" spans="2:8" ht="13" x14ac:dyDescent="0.3">
      <c r="B42" s="290"/>
      <c r="C42" s="48" t="s">
        <v>426</v>
      </c>
      <c r="D42" s="220"/>
      <c r="E42" s="220"/>
      <c r="F42" s="220"/>
      <c r="G42" s="220"/>
      <c r="H42" s="220"/>
    </row>
    <row r="43" spans="2:8" x14ac:dyDescent="0.25">
      <c r="B43" s="291"/>
      <c r="C43" s="163" t="s">
        <v>381</v>
      </c>
      <c r="D43" s="66"/>
      <c r="E43" s="129">
        <f>D47</f>
        <v>0</v>
      </c>
      <c r="F43" s="129">
        <f>E47</f>
        <v>0</v>
      </c>
      <c r="G43" s="129">
        <f>F47</f>
        <v>0</v>
      </c>
      <c r="H43" s="129">
        <f>G47</f>
        <v>0</v>
      </c>
    </row>
    <row r="44" spans="2:8" x14ac:dyDescent="0.25">
      <c r="B44" s="291"/>
      <c r="C44" s="163" t="s">
        <v>388</v>
      </c>
      <c r="D44" s="66"/>
      <c r="E44" s="66"/>
      <c r="F44" s="66"/>
      <c r="G44" s="66"/>
      <c r="H44" s="66"/>
    </row>
    <row r="45" spans="2:8" x14ac:dyDescent="0.25">
      <c r="B45" s="291"/>
      <c r="C45" s="163" t="s">
        <v>399</v>
      </c>
      <c r="D45" s="66"/>
      <c r="E45" s="66"/>
      <c r="F45" s="66"/>
      <c r="G45" s="66"/>
      <c r="H45" s="66"/>
    </row>
    <row r="46" spans="2:8" x14ac:dyDescent="0.25">
      <c r="B46" s="291"/>
      <c r="C46" s="163" t="s">
        <v>390</v>
      </c>
      <c r="D46" s="66"/>
      <c r="E46" s="66"/>
      <c r="F46" s="66"/>
      <c r="G46" s="66"/>
      <c r="H46" s="66"/>
    </row>
    <row r="47" spans="2:8" x14ac:dyDescent="0.25">
      <c r="B47" s="290"/>
      <c r="C47" s="84" t="s">
        <v>400</v>
      </c>
      <c r="D47" s="129">
        <f>SUM(D43:D46)</f>
        <v>0</v>
      </c>
      <c r="E47" s="129">
        <f>SUM(E43:E46)</f>
        <v>0</v>
      </c>
      <c r="F47" s="129">
        <f>SUM(F43:F46)</f>
        <v>0</v>
      </c>
      <c r="G47" s="129">
        <f>SUM(G43:G46)</f>
        <v>0</v>
      </c>
      <c r="H47" s="129">
        <f>SUM(H43:H46)</f>
        <v>0</v>
      </c>
    </row>
    <row r="48" spans="2:8" ht="13" x14ac:dyDescent="0.3">
      <c r="B48" s="290"/>
      <c r="C48" s="48" t="s">
        <v>401</v>
      </c>
      <c r="D48" s="220"/>
      <c r="E48" s="220"/>
      <c r="F48" s="220"/>
      <c r="G48" s="220"/>
      <c r="H48" s="220"/>
    </row>
    <row r="49" spans="2:8" ht="11.25" customHeight="1" x14ac:dyDescent="0.25">
      <c r="B49" s="291"/>
      <c r="C49" s="163" t="s">
        <v>381</v>
      </c>
      <c r="D49" s="66"/>
      <c r="E49" s="129">
        <f>D53</f>
        <v>0</v>
      </c>
      <c r="F49" s="129">
        <f>E53</f>
        <v>0</v>
      </c>
      <c r="G49" s="129">
        <f>F53</f>
        <v>0</v>
      </c>
      <c r="H49" s="129">
        <f>G53</f>
        <v>0</v>
      </c>
    </row>
    <row r="50" spans="2:8" x14ac:dyDescent="0.25">
      <c r="B50" s="291"/>
      <c r="C50" s="163" t="s">
        <v>388</v>
      </c>
      <c r="D50" s="66"/>
      <c r="E50" s="66"/>
      <c r="F50" s="66"/>
      <c r="G50" s="66"/>
      <c r="H50" s="66"/>
    </row>
    <row r="51" spans="2:8" x14ac:dyDescent="0.25">
      <c r="B51" s="291"/>
      <c r="C51" s="163" t="s">
        <v>402</v>
      </c>
      <c r="D51" s="66"/>
      <c r="E51" s="66"/>
      <c r="F51" s="66"/>
      <c r="G51" s="66"/>
      <c r="H51" s="66"/>
    </row>
    <row r="52" spans="2:8" x14ac:dyDescent="0.25">
      <c r="B52" s="291"/>
      <c r="C52" s="163" t="s">
        <v>390</v>
      </c>
      <c r="D52" s="66"/>
      <c r="E52" s="66"/>
      <c r="F52" s="66"/>
      <c r="G52" s="66"/>
      <c r="H52" s="66"/>
    </row>
    <row r="53" spans="2:8" x14ac:dyDescent="0.25">
      <c r="B53" s="290"/>
      <c r="C53" s="84" t="s">
        <v>403</v>
      </c>
      <c r="D53" s="129">
        <f>SUM(D49:D52)</f>
        <v>0</v>
      </c>
      <c r="E53" s="129">
        <f>SUM(E49:E52)</f>
        <v>0</v>
      </c>
      <c r="F53" s="129">
        <f>SUM(F49:F52)</f>
        <v>0</v>
      </c>
      <c r="G53" s="129">
        <f>SUM(G49:G52)</f>
        <v>0</v>
      </c>
      <c r="H53" s="129">
        <f>SUM(H49:H52)</f>
        <v>0</v>
      </c>
    </row>
    <row r="54" spans="2:8" ht="13" x14ac:dyDescent="0.3">
      <c r="B54" s="290"/>
      <c r="C54" s="48" t="s">
        <v>404</v>
      </c>
      <c r="D54" s="220"/>
      <c r="E54" s="220"/>
      <c r="F54" s="220"/>
      <c r="G54" s="220"/>
      <c r="H54" s="220"/>
    </row>
    <row r="55" spans="2:8" x14ac:dyDescent="0.25">
      <c r="B55" s="291"/>
      <c r="C55" s="163" t="s">
        <v>381</v>
      </c>
      <c r="D55" s="66"/>
      <c r="E55" s="129">
        <f>D59</f>
        <v>0</v>
      </c>
      <c r="F55" s="129">
        <f>E59</f>
        <v>0</v>
      </c>
      <c r="G55" s="129">
        <f>F59</f>
        <v>0</v>
      </c>
      <c r="H55" s="129">
        <f>G59</f>
        <v>0</v>
      </c>
    </row>
    <row r="56" spans="2:8" x14ac:dyDescent="0.25">
      <c r="B56" s="291"/>
      <c r="C56" s="163" t="s">
        <v>388</v>
      </c>
      <c r="D56" s="66"/>
      <c r="E56" s="66"/>
      <c r="F56" s="66"/>
      <c r="G56" s="66"/>
      <c r="H56" s="66"/>
    </row>
    <row r="57" spans="2:8" ht="11.25" customHeight="1" x14ac:dyDescent="0.25">
      <c r="B57" s="291"/>
      <c r="C57" s="163" t="s">
        <v>405</v>
      </c>
      <c r="D57" s="66"/>
      <c r="E57" s="66"/>
      <c r="F57" s="66"/>
      <c r="G57" s="66"/>
      <c r="H57" s="66"/>
    </row>
    <row r="58" spans="2:8" x14ac:dyDescent="0.25">
      <c r="B58" s="291"/>
      <c r="C58" s="163" t="s">
        <v>390</v>
      </c>
      <c r="D58" s="66"/>
      <c r="E58" s="66"/>
      <c r="F58" s="66"/>
      <c r="G58" s="66"/>
      <c r="H58" s="66"/>
    </row>
    <row r="59" spans="2:8" x14ac:dyDescent="0.25">
      <c r="B59" s="290"/>
      <c r="C59" s="84" t="s">
        <v>406</v>
      </c>
      <c r="D59" s="129">
        <f>SUM(D55:D58)</f>
        <v>0</v>
      </c>
      <c r="E59" s="129">
        <f>SUM(E55:E58)</f>
        <v>0</v>
      </c>
      <c r="F59" s="129">
        <f>SUM(F55:F58)</f>
        <v>0</v>
      </c>
      <c r="G59" s="129">
        <f>SUM(G55:G58)</f>
        <v>0</v>
      </c>
      <c r="H59" s="129">
        <f>SUM(H55:H58)</f>
        <v>0</v>
      </c>
    </row>
    <row r="60" spans="2:8" ht="13" x14ac:dyDescent="0.3">
      <c r="B60" s="290"/>
      <c r="C60" s="48" t="s">
        <v>407</v>
      </c>
      <c r="D60" s="220"/>
      <c r="E60" s="220"/>
      <c r="F60" s="220"/>
      <c r="G60" s="220"/>
      <c r="H60" s="220"/>
    </row>
    <row r="61" spans="2:8" x14ac:dyDescent="0.25">
      <c r="B61" s="291"/>
      <c r="C61" s="163" t="s">
        <v>381</v>
      </c>
      <c r="D61" s="66"/>
      <c r="E61" s="129">
        <f>D65</f>
        <v>0</v>
      </c>
      <c r="F61" s="129">
        <f>E65</f>
        <v>0</v>
      </c>
      <c r="G61" s="129">
        <f>F65</f>
        <v>0</v>
      </c>
      <c r="H61" s="129">
        <f>G65</f>
        <v>0</v>
      </c>
    </row>
    <row r="62" spans="2:8" x14ac:dyDescent="0.25">
      <c r="B62" s="291"/>
      <c r="C62" s="163" t="s">
        <v>388</v>
      </c>
      <c r="D62" s="66"/>
      <c r="E62" s="66"/>
      <c r="F62" s="66"/>
      <c r="G62" s="66"/>
      <c r="H62" s="66"/>
    </row>
    <row r="63" spans="2:8" ht="11.25" customHeight="1" x14ac:dyDescent="0.25">
      <c r="B63" s="291"/>
      <c r="C63" s="163" t="s">
        <v>408</v>
      </c>
      <c r="D63" s="66"/>
      <c r="E63" s="66"/>
      <c r="F63" s="66"/>
      <c r="G63" s="66"/>
      <c r="H63" s="66"/>
    </row>
    <row r="64" spans="2:8" ht="11.25" customHeight="1" x14ac:dyDescent="0.25">
      <c r="B64" s="291"/>
      <c r="C64" s="163" t="s">
        <v>390</v>
      </c>
      <c r="D64" s="66"/>
      <c r="E64" s="66"/>
      <c r="F64" s="66"/>
      <c r="G64" s="66"/>
      <c r="H64" s="66"/>
    </row>
    <row r="65" spans="2:8" ht="11.25" customHeight="1" x14ac:dyDescent="0.25">
      <c r="B65" s="290"/>
      <c r="C65" s="84" t="s">
        <v>409</v>
      </c>
      <c r="D65" s="129">
        <f>SUM(D61:D64)</f>
        <v>0</v>
      </c>
      <c r="E65" s="129">
        <f>SUM(E61:E64)</f>
        <v>0</v>
      </c>
      <c r="F65" s="129">
        <f>SUM(F61:F64)</f>
        <v>0</v>
      </c>
      <c r="G65" s="129">
        <f>SUM(G61:G64)</f>
        <v>0</v>
      </c>
      <c r="H65" s="129">
        <f>SUM(H61:H64)</f>
        <v>0</v>
      </c>
    </row>
    <row r="66" spans="2:8" ht="13" x14ac:dyDescent="0.3">
      <c r="B66" s="290"/>
      <c r="C66" s="48" t="s">
        <v>410</v>
      </c>
      <c r="D66" s="220"/>
      <c r="E66" s="220"/>
      <c r="F66" s="220"/>
      <c r="G66" s="220"/>
      <c r="H66" s="220"/>
    </row>
    <row r="67" spans="2:8" x14ac:dyDescent="0.25">
      <c r="B67" s="291"/>
      <c r="C67" s="163" t="s">
        <v>381</v>
      </c>
      <c r="D67" s="66"/>
      <c r="E67" s="129">
        <f>D71</f>
        <v>0</v>
      </c>
      <c r="F67" s="129">
        <f>E71</f>
        <v>0</v>
      </c>
      <c r="G67" s="129">
        <f>F71</f>
        <v>0</v>
      </c>
      <c r="H67" s="129">
        <f>G71</f>
        <v>0</v>
      </c>
    </row>
    <row r="68" spans="2:8" x14ac:dyDescent="0.25">
      <c r="B68" s="291"/>
      <c r="C68" s="163" t="s">
        <v>388</v>
      </c>
      <c r="D68" s="66"/>
      <c r="E68" s="66"/>
      <c r="F68" s="66"/>
      <c r="G68" s="66"/>
      <c r="H68" s="66"/>
    </row>
    <row r="69" spans="2:8" x14ac:dyDescent="0.25">
      <c r="B69" s="291"/>
      <c r="C69" s="163" t="s">
        <v>411</v>
      </c>
      <c r="D69" s="66"/>
      <c r="E69" s="66"/>
      <c r="F69" s="66"/>
      <c r="G69" s="66"/>
      <c r="H69" s="66"/>
    </row>
    <row r="70" spans="2:8" x14ac:dyDescent="0.25">
      <c r="B70" s="291"/>
      <c r="C70" s="163" t="s">
        <v>390</v>
      </c>
      <c r="D70" s="66"/>
      <c r="E70" s="66"/>
      <c r="F70" s="66"/>
      <c r="G70" s="66"/>
      <c r="H70" s="66"/>
    </row>
    <row r="71" spans="2:8" x14ac:dyDescent="0.25">
      <c r="B71" s="290"/>
      <c r="C71" s="84" t="s">
        <v>412</v>
      </c>
      <c r="D71" s="129">
        <f>SUM(D67:D70)</f>
        <v>0</v>
      </c>
      <c r="E71" s="129">
        <f>SUM(E67:E70)</f>
        <v>0</v>
      </c>
      <c r="F71" s="129">
        <f>SUM(F67:F70)</f>
        <v>0</v>
      </c>
      <c r="G71" s="129">
        <f>SUM(G67:G70)</f>
        <v>0</v>
      </c>
      <c r="H71" s="129">
        <f>SUM(H67:H70)</f>
        <v>0</v>
      </c>
    </row>
    <row r="72" spans="2:8" ht="13" x14ac:dyDescent="0.3">
      <c r="B72" s="290"/>
      <c r="C72" s="48" t="s">
        <v>413</v>
      </c>
      <c r="D72" s="220"/>
      <c r="E72" s="220"/>
      <c r="F72" s="220"/>
      <c r="G72" s="220"/>
      <c r="H72" s="220"/>
    </row>
    <row r="73" spans="2:8" ht="11.25" customHeight="1" x14ac:dyDescent="0.25">
      <c r="B73" s="291"/>
      <c r="C73" s="163" t="s">
        <v>381</v>
      </c>
      <c r="D73" s="66"/>
      <c r="E73" s="129">
        <f>D77</f>
        <v>0</v>
      </c>
      <c r="F73" s="129">
        <f>E77</f>
        <v>0</v>
      </c>
      <c r="G73" s="129">
        <f>F77</f>
        <v>0</v>
      </c>
      <c r="H73" s="129">
        <f>G77</f>
        <v>0</v>
      </c>
    </row>
    <row r="74" spans="2:8" x14ac:dyDescent="0.25">
      <c r="B74" s="291"/>
      <c r="C74" s="163" t="s">
        <v>388</v>
      </c>
      <c r="D74" s="66"/>
      <c r="E74" s="66"/>
      <c r="F74" s="66"/>
      <c r="G74" s="66"/>
      <c r="H74" s="66"/>
    </row>
    <row r="75" spans="2:8" x14ac:dyDescent="0.25">
      <c r="B75" s="291"/>
      <c r="C75" s="163" t="s">
        <v>411</v>
      </c>
      <c r="D75" s="66"/>
      <c r="E75" s="66"/>
      <c r="F75" s="66"/>
      <c r="G75" s="66"/>
      <c r="H75" s="66"/>
    </row>
    <row r="76" spans="2:8" x14ac:dyDescent="0.25">
      <c r="B76" s="291"/>
      <c r="C76" s="163" t="s">
        <v>390</v>
      </c>
      <c r="D76" s="66"/>
      <c r="E76" s="66"/>
      <c r="F76" s="66"/>
      <c r="G76" s="66"/>
      <c r="H76" s="66"/>
    </row>
    <row r="77" spans="2:8" x14ac:dyDescent="0.25">
      <c r="B77" s="290"/>
      <c r="C77" s="84" t="s">
        <v>414</v>
      </c>
      <c r="D77" s="129">
        <f>SUM(D73:D76)</f>
        <v>0</v>
      </c>
      <c r="E77" s="129">
        <f>SUM(E73:E76)</f>
        <v>0</v>
      </c>
      <c r="F77" s="129">
        <f>SUM(F73:F76)</f>
        <v>0</v>
      </c>
      <c r="G77" s="129">
        <f>SUM(G73:G76)</f>
        <v>0</v>
      </c>
      <c r="H77" s="129">
        <f>SUM(H73:H76)</f>
        <v>0</v>
      </c>
    </row>
    <row r="78" spans="2:8" x14ac:dyDescent="0.25">
      <c r="B78" s="290"/>
      <c r="C78" s="84" t="s">
        <v>415</v>
      </c>
      <c r="D78" s="129">
        <f>SUM(D23,D29,D35,D41,D47,D53,D59,D65,D71,D77)</f>
        <v>0</v>
      </c>
      <c r="E78" s="129">
        <f>SUM(E23,E29,E35,E41,E47,E53,E59,E65,E71,E77)</f>
        <v>0</v>
      </c>
      <c r="F78" s="129">
        <f>SUM(F23,F29,F35,F41,F47,F53,F59,F65,F71,F77)</f>
        <v>0</v>
      </c>
      <c r="G78" s="129">
        <f>SUM(G23,G29,G35,G41,G47,G53,G59,G65,G71,G77)</f>
        <v>0</v>
      </c>
      <c r="H78" s="129">
        <f>SUM(H23,H29,H35,H41,H47,H53,H59,H65,H71,H77)</f>
        <v>0</v>
      </c>
    </row>
    <row r="79" spans="2:8" ht="13" x14ac:dyDescent="0.3">
      <c r="B79" s="290"/>
      <c r="C79" s="48" t="s">
        <v>458</v>
      </c>
      <c r="D79" s="220"/>
      <c r="E79" s="220"/>
      <c r="F79" s="220"/>
      <c r="G79" s="220"/>
      <c r="H79" s="220"/>
    </row>
    <row r="80" spans="2:8" ht="11.25" customHeight="1" x14ac:dyDescent="0.25">
      <c r="B80" s="291"/>
      <c r="C80" s="163" t="s">
        <v>381</v>
      </c>
      <c r="D80" s="66"/>
      <c r="E80" s="129">
        <f>D84</f>
        <v>0</v>
      </c>
      <c r="F80" s="129">
        <f>E84</f>
        <v>0</v>
      </c>
      <c r="G80" s="129">
        <f>F84</f>
        <v>0</v>
      </c>
      <c r="H80" s="129">
        <f>G84</f>
        <v>0</v>
      </c>
    </row>
    <row r="81" spans="2:8" x14ac:dyDescent="0.25">
      <c r="B81" s="291"/>
      <c r="C81" s="163" t="s">
        <v>388</v>
      </c>
      <c r="D81" s="66"/>
      <c r="E81" s="66"/>
      <c r="F81" s="66"/>
      <c r="G81" s="66"/>
      <c r="H81" s="66"/>
    </row>
    <row r="82" spans="2:8" x14ac:dyDescent="0.25">
      <c r="B82" s="291"/>
      <c r="C82" s="163" t="s">
        <v>416</v>
      </c>
      <c r="D82" s="66"/>
      <c r="E82" s="66"/>
      <c r="F82" s="66"/>
      <c r="G82" s="66"/>
      <c r="H82" s="66"/>
    </row>
    <row r="83" spans="2:8" s="268" customFormat="1" x14ac:dyDescent="0.25">
      <c r="B83" s="291"/>
      <c r="C83" s="163" t="s">
        <v>417</v>
      </c>
      <c r="D83" s="66"/>
      <c r="E83" s="66"/>
      <c r="F83" s="66"/>
      <c r="G83" s="66"/>
      <c r="H83" s="66"/>
    </row>
    <row r="84" spans="2:8" s="268" customFormat="1" x14ac:dyDescent="0.25">
      <c r="B84" s="290"/>
      <c r="C84" s="84" t="s">
        <v>418</v>
      </c>
      <c r="D84" s="129">
        <f>SUM(D80:D83)</f>
        <v>0</v>
      </c>
      <c r="E84" s="129">
        <f>SUM(E80:E83)</f>
        <v>0</v>
      </c>
      <c r="F84" s="129">
        <f>SUM(F80:F83)</f>
        <v>0</v>
      </c>
      <c r="G84" s="129">
        <f>SUM(G80:G83)</f>
        <v>0</v>
      </c>
      <c r="H84" s="129">
        <f>SUM(H80:H83)</f>
        <v>0</v>
      </c>
    </row>
    <row r="85" spans="2:8" s="268" customFormat="1" ht="13" x14ac:dyDescent="0.3">
      <c r="B85" s="290"/>
      <c r="C85" s="48" t="s">
        <v>419</v>
      </c>
      <c r="D85" s="220"/>
      <c r="E85" s="220"/>
      <c r="F85" s="220"/>
      <c r="G85" s="220"/>
      <c r="H85" s="220"/>
    </row>
    <row r="86" spans="2:8" s="268" customFormat="1" x14ac:dyDescent="0.25">
      <c r="B86" s="291"/>
      <c r="C86" s="163" t="s">
        <v>381</v>
      </c>
      <c r="D86" s="66"/>
      <c r="E86" s="129">
        <f>D90</f>
        <v>0</v>
      </c>
      <c r="F86" s="129">
        <f>E90</f>
        <v>0</v>
      </c>
      <c r="G86" s="129">
        <f>F90</f>
        <v>0</v>
      </c>
      <c r="H86" s="129">
        <f>G90</f>
        <v>0</v>
      </c>
    </row>
    <row r="87" spans="2:8" s="268" customFormat="1" x14ac:dyDescent="0.25">
      <c r="B87" s="291"/>
      <c r="C87" s="163" t="s">
        <v>388</v>
      </c>
      <c r="D87" s="66"/>
      <c r="E87" s="66"/>
      <c r="F87" s="66"/>
      <c r="G87" s="66"/>
      <c r="H87" s="66"/>
    </row>
    <row r="88" spans="2:8" s="268" customFormat="1" x14ac:dyDescent="0.25">
      <c r="B88" s="291"/>
      <c r="C88" s="163" t="s">
        <v>411</v>
      </c>
      <c r="D88" s="66"/>
      <c r="E88" s="66"/>
      <c r="F88" s="66"/>
      <c r="G88" s="66"/>
      <c r="H88" s="66"/>
    </row>
    <row r="89" spans="2:8" x14ac:dyDescent="0.25">
      <c r="B89" s="291"/>
      <c r="C89" s="163" t="s">
        <v>390</v>
      </c>
      <c r="D89" s="66"/>
      <c r="E89" s="66"/>
      <c r="F89" s="66"/>
      <c r="G89" s="66"/>
      <c r="H89" s="66"/>
    </row>
    <row r="90" spans="2:8" x14ac:dyDescent="0.25">
      <c r="B90" s="290"/>
      <c r="C90" s="84" t="s">
        <v>420</v>
      </c>
      <c r="D90" s="129">
        <f>SUM(D86:D89)</f>
        <v>0</v>
      </c>
      <c r="E90" s="129">
        <f>SUM(E86:E89)</f>
        <v>0</v>
      </c>
      <c r="F90" s="129">
        <f>SUM(F86:F89)</f>
        <v>0</v>
      </c>
      <c r="G90" s="129">
        <f>SUM(G86:G89)</f>
        <v>0</v>
      </c>
      <c r="H90" s="129">
        <f>SUM(H86:H89)</f>
        <v>0</v>
      </c>
    </row>
    <row r="91" spans="2:8" x14ac:dyDescent="0.25">
      <c r="B91" s="291"/>
      <c r="C91" s="163" t="s">
        <v>421</v>
      </c>
      <c r="D91" s="66"/>
      <c r="E91" s="129">
        <f>D93</f>
        <v>0</v>
      </c>
      <c r="F91" s="129">
        <f>E93</f>
        <v>0</v>
      </c>
      <c r="G91" s="129">
        <f>F93</f>
        <v>0</v>
      </c>
      <c r="H91" s="129">
        <f>G93</f>
        <v>0</v>
      </c>
    </row>
    <row r="92" spans="2:8" x14ac:dyDescent="0.25">
      <c r="B92" s="291"/>
      <c r="C92" s="163" t="s">
        <v>422</v>
      </c>
      <c r="D92" s="66"/>
      <c r="E92" s="66"/>
      <c r="F92" s="66"/>
      <c r="G92" s="66"/>
      <c r="H92" s="66"/>
    </row>
    <row r="93" spans="2:8" x14ac:dyDescent="0.25">
      <c r="B93" s="290"/>
      <c r="C93" s="84" t="s">
        <v>423</v>
      </c>
      <c r="D93" s="129">
        <f>SUM(D91:D92)</f>
        <v>0</v>
      </c>
      <c r="E93" s="129">
        <f>SUM(E91:E92)</f>
        <v>0</v>
      </c>
      <c r="F93" s="129">
        <f>SUM(F91:F92)</f>
        <v>0</v>
      </c>
      <c r="G93" s="129">
        <f>SUM(G91:G92)</f>
        <v>0</v>
      </c>
      <c r="H93" s="129">
        <f>SUM(H91:H92)</f>
        <v>0</v>
      </c>
    </row>
    <row r="94" spans="2:8" x14ac:dyDescent="0.25">
      <c r="B94" s="290"/>
      <c r="C94" s="84" t="s">
        <v>424</v>
      </c>
      <c r="D94" s="129">
        <f>SUM(D84,D90,D93)</f>
        <v>0</v>
      </c>
      <c r="E94" s="129">
        <f>SUM(E84,E90,E93)</f>
        <v>0</v>
      </c>
      <c r="F94" s="129">
        <f>SUM(F84,F90,F93)</f>
        <v>0</v>
      </c>
      <c r="G94" s="129">
        <f>SUM(G84,G90,G93)</f>
        <v>0</v>
      </c>
      <c r="H94" s="129">
        <f>SUM(H84,H90,H93)</f>
        <v>0</v>
      </c>
    </row>
    <row r="95" spans="2:8" x14ac:dyDescent="0.25">
      <c r="B95" s="290"/>
      <c r="C95" s="84" t="s">
        <v>425</v>
      </c>
      <c r="D95" s="129">
        <f>D78+D94</f>
        <v>0</v>
      </c>
      <c r="E95" s="129">
        <f>E78+E94</f>
        <v>0</v>
      </c>
      <c r="F95" s="129">
        <f>F78+F94</f>
        <v>0</v>
      </c>
      <c r="G95" s="129">
        <f>G78+G94</f>
        <v>0</v>
      </c>
      <c r="H95" s="129">
        <f>H78+H94</f>
        <v>0</v>
      </c>
    </row>
    <row r="119" spans="3:3" x14ac:dyDescent="0.25">
      <c r="C119" s="270"/>
    </row>
  </sheetData>
  <sheetProtection sheet="1" objects="1" scenarios="1"/>
  <mergeCells count="3">
    <mergeCell ref="B12:C12"/>
    <mergeCell ref="D14:H14"/>
    <mergeCell ref="B7:D9"/>
  </mergeCells>
  <pageMargins left="0.75" right="0.75" top="1" bottom="1" header="0.5" footer="0.5"/>
  <pageSetup paperSize="9" scale="47" orientation="landscape" verticalDpi="2" r:id="rId1"/>
  <headerFooter alignWithMargins="0">
    <oddFooter>&amp;C_x000D_&amp;1#&amp;"Calibri"&amp;10&amp;K008000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F2BB2-0FB8-44D0-A02F-87910F19FE0A}">
  <sheetPr codeName="Sheet12">
    <tabColor rgb="FF17415D"/>
  </sheetPr>
  <dimension ref="B1:G39"/>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453125" style="205" customWidth="1"/>
    <col min="2" max="2" width="21" style="205" customWidth="1"/>
    <col min="3" max="6" width="42.453125" style="205" customWidth="1"/>
    <col min="7" max="7" width="9.453125" style="205" customWidth="1"/>
    <col min="8" max="8" width="25.453125" style="205" customWidth="1"/>
    <col min="9" max="16384" width="9.453125" style="205"/>
  </cols>
  <sheetData>
    <row r="1" spans="2:6" ht="20.25" customHeight="1" x14ac:dyDescent="0.25">
      <c r="B1" s="135" t="s">
        <v>302</v>
      </c>
      <c r="C1" s="135"/>
    </row>
    <row r="2" spans="2:6" ht="20" x14ac:dyDescent="0.25">
      <c r="B2" s="135" t="str">
        <f>IF(Tradingname=0," ",Tradingname)</f>
        <v>APA Pipelines Investments (BWP) Pty Limited</v>
      </c>
      <c r="C2" s="135"/>
    </row>
    <row r="3" spans="2:6" ht="20" x14ac:dyDescent="0.4">
      <c r="B3" s="135" t="s">
        <v>109</v>
      </c>
      <c r="C3" s="99">
        <f>IF(Yearending=0, "01/01/2000", Yearending)</f>
        <v>45838</v>
      </c>
    </row>
    <row r="4" spans="2:6" ht="20" x14ac:dyDescent="0.25">
      <c r="B4" s="91" t="s">
        <v>86</v>
      </c>
      <c r="C4" s="91"/>
    </row>
    <row r="7" spans="2:6" ht="15.5" x14ac:dyDescent="0.35">
      <c r="B7" s="207" t="s">
        <v>430</v>
      </c>
      <c r="C7" s="208"/>
      <c r="D7" s="208"/>
      <c r="E7" s="208"/>
    </row>
    <row r="8" spans="2:6" ht="15.5" x14ac:dyDescent="0.35">
      <c r="B8" s="207"/>
      <c r="C8" s="208"/>
      <c r="D8" s="208"/>
      <c r="E8" s="208"/>
    </row>
    <row r="9" spans="2:6" ht="26" x14ac:dyDescent="0.25">
      <c r="B9" s="37" t="s">
        <v>307</v>
      </c>
      <c r="C9" s="37" t="s">
        <v>73</v>
      </c>
      <c r="D9" s="37" t="s">
        <v>248</v>
      </c>
      <c r="E9" s="37" t="s">
        <v>74</v>
      </c>
      <c r="F9" s="49" t="s">
        <v>76</v>
      </c>
    </row>
    <row r="10" spans="2:6" ht="13" x14ac:dyDescent="0.3">
      <c r="B10" s="39"/>
      <c r="C10" s="39"/>
      <c r="D10" s="42"/>
      <c r="E10" s="271" t="s">
        <v>75</v>
      </c>
      <c r="F10" s="272"/>
    </row>
    <row r="11" spans="2:6" x14ac:dyDescent="0.25">
      <c r="B11" s="318" t="s">
        <v>510</v>
      </c>
      <c r="C11" s="13" t="str">
        <f>'3.1 Depreciated Book Value'!C17</f>
        <v xml:space="preserve">Pipelines </v>
      </c>
      <c r="D11" s="74" t="str">
        <f>CONCATENATE("22/4/2010"," to ",TEXT(Yearending,"d/m/yyyy"))</f>
        <v>22/4/2010 to 30/6/2025</v>
      </c>
      <c r="E11" s="133">
        <v>23.574245128799909</v>
      </c>
      <c r="F11" s="326" t="s">
        <v>520</v>
      </c>
    </row>
    <row r="12" spans="2:6" x14ac:dyDescent="0.25">
      <c r="B12" s="318" t="s">
        <v>510</v>
      </c>
      <c r="C12" s="13" t="str">
        <f>'3.1 Depreciated Book Value'!C26</f>
        <v xml:space="preserve">Compressors </v>
      </c>
      <c r="D12" s="74" t="s">
        <v>487</v>
      </c>
      <c r="E12" s="133" t="s">
        <v>487</v>
      </c>
      <c r="F12" s="134" t="s">
        <v>487</v>
      </c>
    </row>
    <row r="13" spans="2:6" x14ac:dyDescent="0.25">
      <c r="B13" s="318" t="s">
        <v>510</v>
      </c>
      <c r="C13" s="13" t="str">
        <f>'3.1 Depreciated Book Value'!C34</f>
        <v xml:space="preserve">City Gates, supply regulators and valve stations </v>
      </c>
      <c r="D13" s="74" t="str">
        <f>CONCATENATE("22/4/2010"," to ",TEXT(Yearending,"d/m/yyyy"))</f>
        <v>22/4/2010 to 30/6/2025</v>
      </c>
      <c r="E13" s="133">
        <v>24.133101780092876</v>
      </c>
      <c r="F13" s="134" t="s">
        <v>520</v>
      </c>
    </row>
    <row r="14" spans="2:6" x14ac:dyDescent="0.25">
      <c r="B14" s="318" t="s">
        <v>510</v>
      </c>
      <c r="C14" s="13" t="str">
        <f>'3.1 Depreciated Book Value'!C42</f>
        <v xml:space="preserve">Metering </v>
      </c>
      <c r="D14" s="74" t="str">
        <f>CONCATENATE("1/11/2012"," to ",TEXT(Yearending,"d/m/yyyy"))</f>
        <v>1/11/2012 to 30/6/2025</v>
      </c>
      <c r="E14" s="133">
        <v>8.3333333333333329E-2</v>
      </c>
      <c r="F14" s="134" t="s">
        <v>520</v>
      </c>
    </row>
    <row r="15" spans="2:6" x14ac:dyDescent="0.25">
      <c r="B15" s="318" t="s">
        <v>510</v>
      </c>
      <c r="C15" s="13" t="str">
        <f>'3.1 Depreciated Book Value'!C50</f>
        <v xml:space="preserve">Odorant plants </v>
      </c>
      <c r="D15" s="74" t="s">
        <v>487</v>
      </c>
      <c r="E15" s="133" t="s">
        <v>487</v>
      </c>
      <c r="F15" s="134" t="s">
        <v>487</v>
      </c>
    </row>
    <row r="16" spans="2:6" x14ac:dyDescent="0.25">
      <c r="B16" s="318" t="s">
        <v>510</v>
      </c>
      <c r="C16" s="13" t="str">
        <f>'3.1 Depreciated Book Value'!C58</f>
        <v xml:space="preserve">SCADA (Communications) </v>
      </c>
      <c r="D16" s="74" t="str">
        <f>CONCATENATE("1/9/2015"," to ",TEXT(Yearending,"d/m/yyyy"))</f>
        <v>1/9/2015 to 30/6/2025</v>
      </c>
      <c r="E16" s="133">
        <v>10.000000000000002</v>
      </c>
      <c r="F16" s="134" t="s">
        <v>520</v>
      </c>
    </row>
    <row r="17" spans="2:7" x14ac:dyDescent="0.25">
      <c r="B17" s="318" t="s">
        <v>510</v>
      </c>
      <c r="C17" s="13" t="str">
        <f>'3.1 Depreciated Book Value'!C66</f>
        <v xml:space="preserve">Buildings </v>
      </c>
      <c r="D17" s="74" t="str">
        <f>CONCATENATE("22/4/2010"," to ",TEXT(Yearending,"d/m/yyyy"))</f>
        <v>22/4/2010 to 30/6/2025</v>
      </c>
      <c r="E17" s="133">
        <v>24.916666666666668</v>
      </c>
      <c r="F17" s="134" t="s">
        <v>520</v>
      </c>
    </row>
    <row r="18" spans="2:7" x14ac:dyDescent="0.25">
      <c r="B18" s="318" t="s">
        <v>510</v>
      </c>
      <c r="C18" s="13" t="str">
        <f>'3.1 Depreciated Book Value'!C81</f>
        <v>Other depreciable pipeline assets</v>
      </c>
      <c r="D18" s="74" t="str">
        <f>CONCATENATE("22/4/2010"," to ",TEXT(Yearending,"d/m/yyyy"))</f>
        <v>22/4/2010 to 30/6/2025</v>
      </c>
      <c r="E18" s="133">
        <v>0.21343536190349321</v>
      </c>
      <c r="F18" s="134" t="s">
        <v>520</v>
      </c>
    </row>
    <row r="19" spans="2:7" x14ac:dyDescent="0.25">
      <c r="B19" s="288"/>
      <c r="C19" s="73" t="s">
        <v>90</v>
      </c>
      <c r="D19" s="74" t="str">
        <f>CONCATENATE("1/1/2017"," to ",TEXT(Yearending,"d/m/yyyy"))</f>
        <v>1/1/2017 to 30/6/2025</v>
      </c>
      <c r="E19" s="133" t="s">
        <v>487</v>
      </c>
      <c r="F19" s="134" t="s">
        <v>499</v>
      </c>
    </row>
    <row r="20" spans="2:7" x14ac:dyDescent="0.25">
      <c r="B20" s="288"/>
      <c r="C20" s="73" t="s">
        <v>124</v>
      </c>
      <c r="D20" s="74"/>
      <c r="E20" s="133"/>
      <c r="F20" s="134"/>
    </row>
    <row r="21" spans="2:7" x14ac:dyDescent="0.25">
      <c r="B21" s="288"/>
      <c r="C21" s="73" t="s">
        <v>124</v>
      </c>
      <c r="D21" s="74"/>
      <c r="E21" s="133"/>
      <c r="F21" s="134"/>
      <c r="G21" s="273"/>
    </row>
    <row r="22" spans="2:7" x14ac:dyDescent="0.25">
      <c r="B22" s="288"/>
      <c r="C22" s="73" t="s">
        <v>124</v>
      </c>
      <c r="D22" s="74"/>
      <c r="E22" s="133"/>
      <c r="F22" s="134"/>
      <c r="G22" s="273"/>
    </row>
    <row r="23" spans="2:7" x14ac:dyDescent="0.25">
      <c r="B23" s="324" t="s">
        <v>510</v>
      </c>
      <c r="C23" s="13" t="str">
        <f>'3.1 Depreciated Book Value'!C89</f>
        <v xml:space="preserve">Leased assets </v>
      </c>
      <c r="D23" s="74" t="str">
        <f>CONCATENATE("1/7/2019"," to ",TEXT(Yearending,"d/m/yyyy"))</f>
        <v>1/7/2019 to 30/6/2025</v>
      </c>
      <c r="E23" s="133" t="s">
        <v>500</v>
      </c>
      <c r="F23" s="134" t="s">
        <v>520</v>
      </c>
      <c r="G23" s="273"/>
    </row>
    <row r="24" spans="2:7" x14ac:dyDescent="0.25">
      <c r="B24" s="324"/>
      <c r="C24" s="73" t="s">
        <v>124</v>
      </c>
      <c r="D24" s="74"/>
      <c r="E24" s="133"/>
      <c r="F24" s="134"/>
      <c r="G24" s="273"/>
    </row>
    <row r="25" spans="2:7" x14ac:dyDescent="0.25">
      <c r="B25" s="324"/>
      <c r="C25" s="73" t="s">
        <v>124</v>
      </c>
      <c r="D25" s="74"/>
      <c r="E25" s="133"/>
      <c r="F25" s="134"/>
      <c r="G25" s="273"/>
    </row>
    <row r="26" spans="2:7" x14ac:dyDescent="0.25">
      <c r="B26" s="324"/>
      <c r="C26" s="73" t="s">
        <v>124</v>
      </c>
      <c r="D26" s="74"/>
      <c r="E26" s="133"/>
      <c r="F26" s="134"/>
    </row>
    <row r="27" spans="2:7" x14ac:dyDescent="0.25">
      <c r="B27" s="324"/>
      <c r="C27" s="73" t="s">
        <v>124</v>
      </c>
      <c r="D27" s="74"/>
      <c r="E27" s="133"/>
      <c r="F27" s="134"/>
    </row>
    <row r="28" spans="2:7" x14ac:dyDescent="0.25">
      <c r="B28" s="324" t="s">
        <v>510</v>
      </c>
      <c r="C28" s="13" t="str">
        <f>'3.1 Depreciated Book Value'!C105</f>
        <v>Shared property, plant and equipment</v>
      </c>
      <c r="D28" s="74" t="str">
        <f>CONCATENATE("22/4/2010"," to ",TEXT(Yearending,"d/m/yyyy"))</f>
        <v>22/4/2010 to 30/6/2025</v>
      </c>
      <c r="E28" s="133">
        <v>3.4323791017076388</v>
      </c>
      <c r="F28" s="134" t="s">
        <v>520</v>
      </c>
    </row>
    <row r="29" spans="2:7" x14ac:dyDescent="0.25">
      <c r="B29" s="324"/>
      <c r="C29" s="73" t="s">
        <v>124</v>
      </c>
      <c r="D29" s="74"/>
      <c r="E29" s="133"/>
      <c r="F29" s="134"/>
    </row>
    <row r="30" spans="2:7" x14ac:dyDescent="0.25">
      <c r="B30" s="324"/>
      <c r="C30" s="73" t="s">
        <v>124</v>
      </c>
      <c r="D30" s="74"/>
      <c r="E30" s="133"/>
      <c r="F30" s="134"/>
    </row>
    <row r="31" spans="2:7" x14ac:dyDescent="0.25">
      <c r="B31" s="324"/>
      <c r="C31" s="73" t="s">
        <v>124</v>
      </c>
      <c r="D31" s="74"/>
      <c r="E31" s="133"/>
      <c r="F31" s="134"/>
    </row>
    <row r="32" spans="2:7" x14ac:dyDescent="0.25">
      <c r="B32" s="324"/>
      <c r="C32" s="73" t="s">
        <v>124</v>
      </c>
      <c r="D32" s="74"/>
      <c r="E32" s="133"/>
      <c r="F32" s="134"/>
      <c r="G32" s="273"/>
    </row>
    <row r="33" spans="2:7" x14ac:dyDescent="0.25">
      <c r="B33" s="324"/>
      <c r="C33" s="73" t="s">
        <v>124</v>
      </c>
      <c r="D33" s="74"/>
      <c r="E33" s="133"/>
      <c r="F33" s="134"/>
      <c r="G33" s="273"/>
    </row>
    <row r="34" spans="2:7" x14ac:dyDescent="0.25">
      <c r="B34" s="324" t="s">
        <v>510</v>
      </c>
      <c r="C34" s="13" t="str">
        <f>'3.1 Depreciated Book Value'!C113</f>
        <v>Shared leased assets</v>
      </c>
      <c r="D34" s="74" t="str">
        <f>CONCATENATE("1/7/2019"," to ",TEXT(Yearending,"d/m/yyyy"))</f>
        <v>1/7/2019 to 30/6/2025</v>
      </c>
      <c r="E34" s="133" t="s">
        <v>500</v>
      </c>
      <c r="F34" s="134" t="s">
        <v>520</v>
      </c>
      <c r="G34" s="273"/>
    </row>
    <row r="35" spans="2:7" x14ac:dyDescent="0.25">
      <c r="B35" s="288"/>
      <c r="C35" s="73" t="s">
        <v>124</v>
      </c>
      <c r="D35" s="74"/>
      <c r="E35" s="133"/>
      <c r="F35" s="134"/>
      <c r="G35" s="273"/>
    </row>
    <row r="36" spans="2:7" x14ac:dyDescent="0.25">
      <c r="B36" s="288"/>
      <c r="C36" s="73" t="s">
        <v>124</v>
      </c>
      <c r="D36" s="74"/>
      <c r="E36" s="133"/>
      <c r="F36" s="134"/>
      <c r="G36" s="273"/>
    </row>
    <row r="37" spans="2:7" x14ac:dyDescent="0.25">
      <c r="B37" s="288"/>
      <c r="C37" s="73" t="s">
        <v>124</v>
      </c>
      <c r="D37" s="74"/>
      <c r="E37" s="133"/>
      <c r="F37" s="134"/>
      <c r="G37" s="273"/>
    </row>
    <row r="38" spans="2:7" x14ac:dyDescent="0.25">
      <c r="B38" s="288"/>
      <c r="C38" s="73" t="s">
        <v>124</v>
      </c>
      <c r="D38" s="74"/>
      <c r="E38" s="133"/>
      <c r="F38" s="134"/>
    </row>
    <row r="39" spans="2:7" x14ac:dyDescent="0.25">
      <c r="B39" s="288"/>
      <c r="C39" s="73" t="s">
        <v>124</v>
      </c>
      <c r="D39" s="74"/>
      <c r="E39" s="133"/>
      <c r="F39" s="134"/>
    </row>
  </sheetData>
  <sheetProtection sheet="1" insertRows="0" autoFilter="0"/>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01434-2305-46FD-A47F-C48F076ADAB0}">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2" width="31.54296875" style="4" customWidth="1"/>
    <col min="3" max="3" width="41.54296875" style="4" bestFit="1" customWidth="1"/>
    <col min="4" max="4" width="27.453125" style="4" customWidth="1"/>
    <col min="5" max="5" width="32.54296875" style="4" customWidth="1"/>
    <col min="6" max="6" width="21.54296875" style="4" customWidth="1"/>
    <col min="7" max="7" width="24.453125" style="4" customWidth="1"/>
    <col min="8" max="8" width="45" style="4" customWidth="1"/>
    <col min="9" max="10" width="19.54296875" style="4" customWidth="1"/>
    <col min="11" max="11" width="18.453125" style="4" customWidth="1"/>
    <col min="12" max="16384" width="9.453125" style="4"/>
  </cols>
  <sheetData>
    <row r="1" spans="2:10" ht="20" x14ac:dyDescent="0.4">
      <c r="B1" s="135" t="s">
        <v>302</v>
      </c>
      <c r="C1" s="135"/>
      <c r="D1" s="204"/>
      <c r="E1" s="204"/>
      <c r="F1" s="204"/>
      <c r="G1" s="204"/>
      <c r="H1" s="204"/>
      <c r="I1" s="204"/>
      <c r="J1" s="204"/>
    </row>
    <row r="2" spans="2:10" ht="20" x14ac:dyDescent="0.25">
      <c r="B2" s="135" t="str">
        <f>IF(Tradingname=0," ",Tradingname)</f>
        <v>APA Pipelines Investments (BWP) Pty Limited</v>
      </c>
      <c r="C2" s="135"/>
    </row>
    <row r="3" spans="2:10" ht="18" customHeight="1" x14ac:dyDescent="0.7">
      <c r="B3" s="135" t="s">
        <v>109</v>
      </c>
      <c r="C3" s="99">
        <f>IF(Yearending=0, "01/01/2000", Yearending)</f>
        <v>45838</v>
      </c>
      <c r="F3" s="243"/>
    </row>
    <row r="4" spans="2:10" ht="20" x14ac:dyDescent="0.25">
      <c r="B4" s="91" t="s">
        <v>94</v>
      </c>
      <c r="C4" s="91"/>
    </row>
    <row r="6" spans="2:10" ht="15.5" x14ac:dyDescent="0.35">
      <c r="B6" s="214"/>
    </row>
    <row r="7" spans="2:10" ht="15.5" x14ac:dyDescent="0.35">
      <c r="B7" s="214" t="s">
        <v>431</v>
      </c>
    </row>
    <row r="8" spans="2:10" ht="13" x14ac:dyDescent="0.3">
      <c r="B8" s="215"/>
      <c r="C8" s="216"/>
      <c r="D8" s="216"/>
      <c r="E8" s="216"/>
      <c r="F8" s="216"/>
      <c r="G8" s="245"/>
      <c r="H8" s="246"/>
      <c r="I8" s="247"/>
      <c r="J8" s="247"/>
    </row>
    <row r="9" spans="2:10" ht="32.15" customHeight="1" x14ac:dyDescent="0.25">
      <c r="B9" s="30" t="s">
        <v>59</v>
      </c>
      <c r="C9" s="51" t="s">
        <v>0</v>
      </c>
      <c r="D9" s="30" t="s">
        <v>120</v>
      </c>
      <c r="E9" s="30" t="s">
        <v>95</v>
      </c>
      <c r="F9" s="30" t="s">
        <v>96</v>
      </c>
    </row>
    <row r="10" spans="2:10" ht="14.15" customHeight="1" x14ac:dyDescent="0.25">
      <c r="B10" s="67"/>
      <c r="C10" s="76"/>
      <c r="D10" s="68"/>
      <c r="E10" s="75"/>
      <c r="F10" s="69"/>
    </row>
    <row r="11" spans="2:10" ht="14.15" customHeight="1" x14ac:dyDescent="0.25">
      <c r="B11" s="67"/>
      <c r="C11" s="76"/>
      <c r="D11" s="68"/>
      <c r="E11" s="75"/>
      <c r="F11" s="69"/>
    </row>
    <row r="12" spans="2:10" ht="14.15" customHeight="1" x14ac:dyDescent="0.25">
      <c r="B12" s="67"/>
      <c r="C12" s="76"/>
      <c r="D12" s="68"/>
      <c r="E12" s="75"/>
      <c r="F12" s="69"/>
    </row>
    <row r="13" spans="2:10" ht="14.15" customHeight="1" x14ac:dyDescent="0.25">
      <c r="B13" s="67"/>
      <c r="C13" s="76"/>
      <c r="D13" s="68"/>
      <c r="E13" s="75"/>
      <c r="F13" s="69"/>
    </row>
    <row r="14" spans="2:10" ht="14.15" customHeight="1" x14ac:dyDescent="0.25">
      <c r="B14" s="67"/>
      <c r="C14" s="76"/>
      <c r="D14" s="68"/>
      <c r="E14" s="75"/>
      <c r="F14" s="69"/>
    </row>
    <row r="15" spans="2:10" ht="14.15" customHeight="1" x14ac:dyDescent="0.25">
      <c r="B15" s="67"/>
      <c r="C15" s="76"/>
      <c r="D15" s="68"/>
      <c r="E15" s="75"/>
      <c r="F15" s="69"/>
    </row>
    <row r="16" spans="2:10" ht="14.15" customHeight="1" x14ac:dyDescent="0.25">
      <c r="B16" s="67"/>
      <c r="C16" s="76"/>
      <c r="D16" s="68"/>
      <c r="E16" s="75"/>
      <c r="F16" s="69"/>
    </row>
    <row r="17" spans="2:9" ht="14.15" customHeight="1" x14ac:dyDescent="0.25">
      <c r="B17" s="67"/>
      <c r="C17" s="76"/>
      <c r="D17" s="68"/>
      <c r="E17" s="75"/>
      <c r="F17" s="69"/>
    </row>
    <row r="18" spans="2:9" ht="14.15" customHeight="1" x14ac:dyDescent="0.25">
      <c r="B18" s="67"/>
      <c r="C18" s="76"/>
      <c r="D18" s="68"/>
      <c r="E18" s="75"/>
      <c r="F18" s="69"/>
    </row>
    <row r="19" spans="2:9" ht="14.15" customHeight="1" x14ac:dyDescent="0.25">
      <c r="B19" s="67"/>
      <c r="C19" s="76"/>
      <c r="D19" s="68"/>
      <c r="E19" s="75"/>
      <c r="F19" s="69"/>
    </row>
    <row r="20" spans="2:9" ht="14.15" customHeight="1" x14ac:dyDescent="0.25">
      <c r="B20" s="67"/>
      <c r="C20" s="76"/>
      <c r="D20" s="68"/>
      <c r="E20" s="75"/>
      <c r="F20" s="69"/>
    </row>
    <row r="21" spans="2:9" ht="14.15" customHeight="1" x14ac:dyDescent="0.25">
      <c r="B21" s="67"/>
      <c r="C21" s="76"/>
      <c r="D21" s="68"/>
      <c r="E21" s="75"/>
      <c r="F21" s="69"/>
    </row>
    <row r="22" spans="2:9" ht="14.15" customHeight="1" x14ac:dyDescent="0.25">
      <c r="B22" s="67"/>
      <c r="C22" s="76"/>
      <c r="D22" s="68"/>
      <c r="E22" s="75"/>
      <c r="F22" s="69"/>
    </row>
    <row r="23" spans="2:9" ht="14.15" customHeight="1" x14ac:dyDescent="0.25">
      <c r="B23" s="67"/>
      <c r="C23" s="76"/>
      <c r="D23" s="68"/>
      <c r="E23" s="75"/>
      <c r="F23" s="69"/>
    </row>
    <row r="24" spans="2:9" ht="14.15" customHeight="1" x14ac:dyDescent="0.25">
      <c r="B24" s="67"/>
      <c r="C24" s="76"/>
      <c r="D24" s="68"/>
      <c r="E24" s="75"/>
      <c r="F24" s="69"/>
    </row>
    <row r="27" spans="2:9" ht="15.5" x14ac:dyDescent="0.35">
      <c r="B27" s="214" t="s">
        <v>432</v>
      </c>
    </row>
    <row r="28" spans="2:9" ht="13" x14ac:dyDescent="0.3">
      <c r="B28" s="215"/>
      <c r="C28" s="216"/>
      <c r="D28" s="216"/>
      <c r="E28" s="216"/>
    </row>
    <row r="29" spans="2:9" ht="37.4" customHeight="1" x14ac:dyDescent="0.25">
      <c r="B29" s="30" t="s">
        <v>59</v>
      </c>
      <c r="C29" s="51" t="s">
        <v>0</v>
      </c>
      <c r="D29" s="30" t="s">
        <v>121</v>
      </c>
      <c r="E29" s="30" t="s">
        <v>95</v>
      </c>
      <c r="F29" s="30" t="s">
        <v>96</v>
      </c>
      <c r="G29" s="30" t="s">
        <v>122</v>
      </c>
      <c r="H29" s="30" t="s">
        <v>102</v>
      </c>
      <c r="I29" s="30" t="s">
        <v>103</v>
      </c>
    </row>
    <row r="30" spans="2:9" x14ac:dyDescent="0.25">
      <c r="B30" s="67"/>
      <c r="C30" s="76"/>
      <c r="D30" s="68"/>
      <c r="E30" s="75"/>
      <c r="F30" s="69"/>
      <c r="G30" s="68"/>
      <c r="H30" s="75"/>
      <c r="I30" s="69"/>
    </row>
    <row r="31" spans="2:9" x14ac:dyDescent="0.25">
      <c r="B31" s="67"/>
      <c r="C31" s="76"/>
      <c r="D31" s="68"/>
      <c r="E31" s="75"/>
      <c r="F31" s="69"/>
      <c r="G31" s="68"/>
      <c r="H31" s="75"/>
      <c r="I31" s="69"/>
    </row>
    <row r="32" spans="2:9" x14ac:dyDescent="0.25">
      <c r="B32" s="67"/>
      <c r="C32" s="76"/>
      <c r="D32" s="68"/>
      <c r="E32" s="75"/>
      <c r="F32" s="69"/>
      <c r="G32" s="68"/>
      <c r="H32" s="75"/>
      <c r="I32" s="69"/>
    </row>
    <row r="33" spans="2:9" x14ac:dyDescent="0.25">
      <c r="B33" s="67"/>
      <c r="C33" s="76"/>
      <c r="D33" s="68"/>
      <c r="E33" s="75"/>
      <c r="F33" s="69"/>
      <c r="G33" s="68"/>
      <c r="H33" s="75"/>
      <c r="I33" s="69"/>
    </row>
    <row r="34" spans="2:9" x14ac:dyDescent="0.25">
      <c r="B34" s="67"/>
      <c r="C34" s="76"/>
      <c r="D34" s="68"/>
      <c r="E34" s="75"/>
      <c r="F34" s="69"/>
      <c r="G34" s="68"/>
      <c r="H34" s="75"/>
      <c r="I34" s="69"/>
    </row>
    <row r="35" spans="2:9" x14ac:dyDescent="0.25">
      <c r="B35" s="67"/>
      <c r="C35" s="76"/>
      <c r="D35" s="68"/>
      <c r="E35" s="75"/>
      <c r="F35" s="69"/>
      <c r="G35" s="68"/>
      <c r="H35" s="75"/>
      <c r="I35" s="69"/>
    </row>
    <row r="36" spans="2:9" x14ac:dyDescent="0.25">
      <c r="B36" s="67"/>
      <c r="C36" s="76"/>
      <c r="D36" s="68"/>
      <c r="E36" s="75"/>
      <c r="F36" s="69"/>
      <c r="G36" s="68"/>
      <c r="H36" s="75"/>
      <c r="I36" s="69"/>
    </row>
    <row r="37" spans="2:9" x14ac:dyDescent="0.25">
      <c r="B37" s="67"/>
      <c r="C37" s="76"/>
      <c r="D37" s="68"/>
      <c r="E37" s="75"/>
      <c r="F37" s="69"/>
      <c r="G37" s="68"/>
      <c r="H37" s="75"/>
      <c r="I37" s="69"/>
    </row>
    <row r="38" spans="2:9" x14ac:dyDescent="0.25">
      <c r="B38" s="67"/>
      <c r="C38" s="76"/>
      <c r="D38" s="68"/>
      <c r="E38" s="75"/>
      <c r="F38" s="69"/>
      <c r="G38" s="68"/>
      <c r="H38" s="75"/>
      <c r="I38" s="69"/>
    </row>
    <row r="39" spans="2:9" x14ac:dyDescent="0.25">
      <c r="B39" s="67"/>
      <c r="C39" s="76"/>
      <c r="D39" s="68"/>
      <c r="E39" s="75"/>
      <c r="F39" s="69"/>
      <c r="G39" s="68"/>
      <c r="H39" s="75"/>
      <c r="I39" s="69"/>
    </row>
    <row r="40" spans="2:9" x14ac:dyDescent="0.25">
      <c r="B40" s="67"/>
      <c r="C40" s="76"/>
      <c r="D40" s="68"/>
      <c r="E40" s="75"/>
      <c r="F40" s="69"/>
      <c r="G40" s="68"/>
      <c r="H40" s="75"/>
      <c r="I40" s="69"/>
    </row>
    <row r="41" spans="2:9" x14ac:dyDescent="0.25">
      <c r="B41" s="67"/>
      <c r="C41" s="76"/>
      <c r="D41" s="68"/>
      <c r="E41" s="75"/>
      <c r="F41" s="69"/>
      <c r="G41" s="68"/>
      <c r="H41" s="75"/>
      <c r="I41" s="69"/>
    </row>
    <row r="42" spans="2:9" x14ac:dyDescent="0.25">
      <c r="B42" s="67"/>
      <c r="C42" s="76"/>
      <c r="D42" s="68"/>
      <c r="E42" s="75"/>
      <c r="F42" s="69"/>
      <c r="G42" s="68"/>
      <c r="H42" s="75"/>
      <c r="I42" s="69"/>
    </row>
    <row r="43" spans="2:9" x14ac:dyDescent="0.25">
      <c r="B43" s="67"/>
      <c r="C43" s="76"/>
      <c r="D43" s="68"/>
      <c r="E43" s="75"/>
      <c r="F43" s="69"/>
      <c r="G43" s="68"/>
      <c r="H43" s="75"/>
      <c r="I43" s="69"/>
    </row>
    <row r="44" spans="2:9" x14ac:dyDescent="0.25">
      <c r="B44" s="67"/>
      <c r="C44" s="76"/>
      <c r="D44" s="68"/>
      <c r="E44" s="75"/>
      <c r="F44" s="69"/>
      <c r="G44" s="68"/>
      <c r="H44" s="75"/>
      <c r="I44" s="69"/>
    </row>
    <row r="45" spans="2:9" x14ac:dyDescent="0.25">
      <c r="B45" s="67"/>
      <c r="C45" s="76"/>
      <c r="D45" s="68"/>
      <c r="E45" s="75"/>
      <c r="F45" s="69"/>
      <c r="G45" s="68"/>
      <c r="H45" s="75"/>
      <c r="I45" s="69"/>
    </row>
    <row r="46" spans="2:9" x14ac:dyDescent="0.25">
      <c r="B46" s="67"/>
      <c r="C46" s="76"/>
      <c r="D46" s="68"/>
      <c r="E46" s="75"/>
      <c r="F46" s="69"/>
      <c r="G46" s="68"/>
      <c r="H46" s="75"/>
      <c r="I46" s="69"/>
    </row>
    <row r="47" spans="2:9" x14ac:dyDescent="0.25">
      <c r="B47" s="67"/>
      <c r="C47" s="76"/>
      <c r="D47" s="68"/>
      <c r="E47" s="75"/>
      <c r="F47" s="69"/>
      <c r="G47" s="68"/>
      <c r="H47" s="75"/>
      <c r="I47" s="69"/>
    </row>
    <row r="48" spans="2:9" x14ac:dyDescent="0.25">
      <c r="B48" s="67"/>
      <c r="C48" s="76"/>
      <c r="D48" s="68"/>
      <c r="E48" s="75"/>
      <c r="F48" s="69"/>
      <c r="G48" s="68"/>
      <c r="H48" s="75"/>
      <c r="I48" s="69"/>
    </row>
    <row r="49" spans="2:9" x14ac:dyDescent="0.25">
      <c r="B49" s="67"/>
      <c r="C49" s="76"/>
      <c r="D49" s="68"/>
      <c r="E49" s="75"/>
      <c r="F49" s="69"/>
      <c r="G49" s="68"/>
      <c r="H49" s="75"/>
      <c r="I49" s="69"/>
    </row>
    <row r="50" spans="2:9" x14ac:dyDescent="0.25">
      <c r="B50" s="67"/>
      <c r="C50" s="76"/>
      <c r="D50" s="68"/>
      <c r="E50" s="75"/>
      <c r="F50" s="69"/>
      <c r="G50" s="68"/>
      <c r="H50" s="75"/>
      <c r="I50" s="69"/>
    </row>
    <row r="51" spans="2:9" x14ac:dyDescent="0.25">
      <c r="B51" s="67"/>
      <c r="C51" s="76"/>
      <c r="D51" s="68"/>
      <c r="E51" s="75"/>
      <c r="F51" s="69"/>
      <c r="G51" s="68"/>
      <c r="H51" s="75"/>
      <c r="I51" s="69"/>
    </row>
    <row r="52" spans="2:9" x14ac:dyDescent="0.25">
      <c r="B52" s="67"/>
      <c r="C52" s="76"/>
      <c r="D52" s="68"/>
      <c r="E52" s="75"/>
      <c r="F52" s="69"/>
      <c r="G52" s="68"/>
      <c r="H52" s="75"/>
      <c r="I52" s="69"/>
    </row>
    <row r="53" spans="2:9" x14ac:dyDescent="0.25">
      <c r="B53" s="67"/>
      <c r="C53" s="76"/>
      <c r="D53" s="68"/>
      <c r="E53" s="75"/>
      <c r="F53" s="69"/>
      <c r="G53" s="68"/>
      <c r="H53" s="75"/>
      <c r="I53" s="69"/>
    </row>
    <row r="54" spans="2:9" x14ac:dyDescent="0.25">
      <c r="B54" s="67"/>
      <c r="C54" s="76"/>
      <c r="D54" s="68"/>
      <c r="E54" s="75"/>
      <c r="F54" s="69"/>
      <c r="G54" s="68"/>
      <c r="H54" s="75"/>
      <c r="I54" s="69"/>
    </row>
    <row r="55" spans="2:9" x14ac:dyDescent="0.25">
      <c r="B55" s="67"/>
      <c r="C55" s="76"/>
      <c r="D55" s="68"/>
      <c r="E55" s="75"/>
      <c r="F55" s="69"/>
      <c r="G55" s="68"/>
      <c r="H55" s="75"/>
      <c r="I55" s="69"/>
    </row>
    <row r="56" spans="2:9" x14ac:dyDescent="0.25">
      <c r="B56" s="67"/>
      <c r="C56" s="76"/>
      <c r="D56" s="68"/>
      <c r="E56" s="75"/>
      <c r="F56" s="69"/>
      <c r="G56" s="68"/>
      <c r="H56" s="75"/>
      <c r="I56" s="69"/>
    </row>
  </sheetData>
  <sheetProtection sheet="1" insertRows="0"/>
  <dataValidations count="1">
    <dataValidation type="list" allowBlank="1" showInputMessage="1" showErrorMessage="1" sqref="C10:C24 C30:C56" xr:uid="{1CA487D1-82AD-45D5-9522-5A4187BEF380}">
      <formula1>rAllAssets</formula1>
    </dataValidation>
  </dataValidations>
  <pageMargins left="0.25" right="0.25" top="0.75" bottom="0.75" header="0.3" footer="0.3"/>
  <pageSetup paperSize="9" scale="59" orientation="landscape" r:id="rId1"/>
  <headerFooter alignWithMargins="0">
    <oddFooter>&amp;C_x000D_&amp;1#&amp;"Calibri"&amp;10&amp;K008000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46ED3-5F94-4BAD-8024-F96793C2144F}">
  <sheetPr codeName="Sheet14">
    <tabColor rgb="FF17415D"/>
  </sheetPr>
  <dimension ref="B1:Q84"/>
  <sheetViews>
    <sheetView showGridLines="0" zoomScaleNormal="100" workbookViewId="0">
      <pane xSplit="4" ySplit="14" topLeftCell="E15" activePane="bottomRight" state="frozen"/>
      <selection pane="topRight" activeCell="E1" sqref="E1"/>
      <selection pane="bottomLeft" activeCell="A15" sqref="A15"/>
      <selection pane="bottomRight"/>
    </sheetView>
  </sheetViews>
  <sheetFormatPr defaultColWidth="8.54296875" defaultRowHeight="12.5" x14ac:dyDescent="0.25"/>
  <cols>
    <col min="1" max="1" width="11.453125" customWidth="1"/>
    <col min="2" max="2" width="32.453125" customWidth="1"/>
    <col min="3" max="3" width="40.54296875" customWidth="1"/>
    <col min="4" max="4" width="41.54296875" bestFit="1" customWidth="1"/>
    <col min="5" max="8" width="20.54296875" customWidth="1"/>
    <col min="9" max="9" width="30.54296875" customWidth="1"/>
    <col min="10" max="10" width="32.54296875" customWidth="1"/>
    <col min="11" max="11" width="20.54296875" customWidth="1"/>
    <col min="12" max="12" width="24" customWidth="1"/>
    <col min="13" max="13" width="31" customWidth="1"/>
    <col min="14" max="17" width="20.54296875" customWidth="1"/>
  </cols>
  <sheetData>
    <row r="1" spans="2:17" ht="20.25" customHeight="1" x14ac:dyDescent="0.25">
      <c r="B1" s="135" t="s">
        <v>302</v>
      </c>
      <c r="C1" s="135"/>
    </row>
    <row r="2" spans="2:17" ht="20" x14ac:dyDescent="0.25">
      <c r="B2" s="135" t="str">
        <f>IF(Tradingname=0," ",Tradingname)</f>
        <v>APA Pipelines Investments (BWP) Pty Limited</v>
      </c>
      <c r="C2" s="135"/>
    </row>
    <row r="3" spans="2:17" ht="20.25" customHeight="1" x14ac:dyDescent="0.4">
      <c r="B3" s="135" t="s">
        <v>109</v>
      </c>
      <c r="C3" s="99">
        <f>IF(Yearending=0, "01/01/2000", Yearending)</f>
        <v>45838</v>
      </c>
    </row>
    <row r="4" spans="2:17" ht="20" x14ac:dyDescent="0.25">
      <c r="B4" s="91" t="s">
        <v>200</v>
      </c>
      <c r="C4" s="91"/>
    </row>
    <row r="5" spans="2:17" ht="12.75" customHeight="1" x14ac:dyDescent="0.25"/>
    <row r="6" spans="2:17" x14ac:dyDescent="0.25">
      <c r="B6" s="407" t="s">
        <v>377</v>
      </c>
      <c r="C6" s="407"/>
      <c r="D6" s="407"/>
      <c r="E6" s="407"/>
    </row>
    <row r="7" spans="2:17" ht="15.75" customHeight="1" x14ac:dyDescent="0.3">
      <c r="B7" s="407"/>
      <c r="C7" s="407"/>
      <c r="D7" s="407"/>
      <c r="E7" s="407"/>
      <c r="G7" s="160"/>
    </row>
    <row r="8" spans="2:17" ht="15.75" customHeight="1" x14ac:dyDescent="0.3">
      <c r="B8" s="407"/>
      <c r="C8" s="407"/>
      <c r="D8" s="407"/>
      <c r="E8" s="407"/>
      <c r="G8" s="160"/>
    </row>
    <row r="9" spans="2:17" ht="13" x14ac:dyDescent="0.3">
      <c r="G9" s="160"/>
    </row>
    <row r="11" spans="2:17" ht="15.5" x14ac:dyDescent="0.35">
      <c r="B11" s="197" t="s">
        <v>433</v>
      </c>
    </row>
    <row r="13" spans="2:17" ht="45" customHeight="1" x14ac:dyDescent="0.25">
      <c r="B13" s="50" t="s">
        <v>307</v>
      </c>
      <c r="C13" s="51" t="s">
        <v>13</v>
      </c>
      <c r="D13" s="51" t="s">
        <v>0</v>
      </c>
      <c r="E13" s="51" t="s">
        <v>181</v>
      </c>
      <c r="F13" s="51" t="s">
        <v>50</v>
      </c>
      <c r="G13" s="51" t="s">
        <v>93</v>
      </c>
      <c r="H13" s="52" t="s">
        <v>374</v>
      </c>
      <c r="I13" s="52" t="s">
        <v>375</v>
      </c>
      <c r="J13" s="52" t="s">
        <v>447</v>
      </c>
      <c r="K13" s="52" t="s">
        <v>376</v>
      </c>
      <c r="L13" s="51" t="s">
        <v>53</v>
      </c>
      <c r="M13" s="51" t="s">
        <v>191</v>
      </c>
      <c r="N13" s="51" t="s">
        <v>192</v>
      </c>
      <c r="O13" s="51" t="s">
        <v>141</v>
      </c>
      <c r="P13" s="51" t="s">
        <v>152</v>
      </c>
      <c r="Q13" s="30" t="s">
        <v>54</v>
      </c>
    </row>
    <row r="14" spans="2:17" x14ac:dyDescent="0.25">
      <c r="B14" s="293"/>
      <c r="C14" s="53"/>
      <c r="D14" s="53"/>
      <c r="E14" s="53"/>
      <c r="F14" s="53" t="s">
        <v>55</v>
      </c>
      <c r="G14" s="53" t="s">
        <v>110</v>
      </c>
      <c r="H14" s="54" t="s">
        <v>110</v>
      </c>
      <c r="I14" s="54" t="s">
        <v>110</v>
      </c>
      <c r="J14" s="54" t="s">
        <v>110</v>
      </c>
      <c r="K14" s="54" t="s">
        <v>110</v>
      </c>
      <c r="L14" s="53" t="s">
        <v>110</v>
      </c>
      <c r="M14" s="53"/>
      <c r="N14" s="53" t="s">
        <v>110</v>
      </c>
      <c r="O14" s="53" t="s">
        <v>110</v>
      </c>
      <c r="P14" s="53" t="s">
        <v>110</v>
      </c>
      <c r="Q14" s="53" t="s">
        <v>110</v>
      </c>
    </row>
    <row r="15" spans="2:17" x14ac:dyDescent="0.25">
      <c r="B15" s="320" t="s">
        <v>511</v>
      </c>
      <c r="C15" s="76"/>
      <c r="D15" s="275" t="s">
        <v>339</v>
      </c>
      <c r="E15" s="77" t="str">
        <f>'3.3 Asset useful life'!D11</f>
        <v>22/4/2010 to 30/6/2025</v>
      </c>
      <c r="F15" s="76">
        <f>'3.3 Asset useful life'!E11</f>
        <v>23.574245128799909</v>
      </c>
      <c r="G15" s="79"/>
      <c r="H15" s="79">
        <v>92449755.650000021</v>
      </c>
      <c r="I15" s="79">
        <v>1</v>
      </c>
      <c r="J15" s="79">
        <v>0</v>
      </c>
      <c r="K15" s="79">
        <v>0</v>
      </c>
      <c r="L15" s="14">
        <f t="shared" ref="L15:L23" si="0">SUM(H15:K15)</f>
        <v>92449756.650000021</v>
      </c>
      <c r="M15" s="72">
        <v>1</v>
      </c>
      <c r="N15" s="90">
        <f t="shared" ref="N15:N23" si="1">L15*M15</f>
        <v>92449756.650000021</v>
      </c>
      <c r="O15" s="79">
        <v>-41841013.230000012</v>
      </c>
      <c r="P15" s="79">
        <v>-4210792.0599999996</v>
      </c>
      <c r="Q15" s="10">
        <f t="shared" ref="Q15:Q23" si="2">SUM(N15:P15)</f>
        <v>46397951.360000007</v>
      </c>
    </row>
    <row r="16" spans="2:17" x14ac:dyDescent="0.25">
      <c r="B16" s="320" t="s">
        <v>511</v>
      </c>
      <c r="C16" s="76"/>
      <c r="D16" s="275" t="s">
        <v>340</v>
      </c>
      <c r="E16" s="77" t="str">
        <f>'3.3 Asset useful life'!D12</f>
        <v>N/A</v>
      </c>
      <c r="F16" s="76" t="str">
        <f>'3.3 Asset useful life'!E12</f>
        <v>N/A</v>
      </c>
      <c r="G16" s="79"/>
      <c r="H16" s="79">
        <v>0</v>
      </c>
      <c r="I16" s="79">
        <v>0</v>
      </c>
      <c r="J16" s="79">
        <v>0</v>
      </c>
      <c r="K16" s="79">
        <v>0</v>
      </c>
      <c r="L16" s="14">
        <f t="shared" si="0"/>
        <v>0</v>
      </c>
      <c r="M16" s="72">
        <v>1</v>
      </c>
      <c r="N16" s="90">
        <f t="shared" si="1"/>
        <v>0</v>
      </c>
      <c r="O16" s="79">
        <v>0</v>
      </c>
      <c r="P16" s="79">
        <v>0</v>
      </c>
      <c r="Q16" s="10">
        <f t="shared" si="2"/>
        <v>0</v>
      </c>
    </row>
    <row r="17" spans="2:17" x14ac:dyDescent="0.25">
      <c r="B17" s="320" t="s">
        <v>511</v>
      </c>
      <c r="C17" s="76"/>
      <c r="D17" s="275" t="s">
        <v>341</v>
      </c>
      <c r="E17" s="77" t="str">
        <f>'3.3 Asset useful life'!D13</f>
        <v>22/4/2010 to 30/6/2025</v>
      </c>
      <c r="F17" s="76">
        <f>'3.3 Asset useful life'!E13</f>
        <v>24.133101780092876</v>
      </c>
      <c r="G17" s="79"/>
      <c r="H17" s="79">
        <v>182903.94</v>
      </c>
      <c r="I17" s="79">
        <v>0</v>
      </c>
      <c r="J17" s="79">
        <v>0</v>
      </c>
      <c r="K17" s="79">
        <v>0</v>
      </c>
      <c r="L17" s="14">
        <f t="shared" si="0"/>
        <v>182903.94</v>
      </c>
      <c r="M17" s="72">
        <v>1</v>
      </c>
      <c r="N17" s="90">
        <f t="shared" si="1"/>
        <v>182903.94</v>
      </c>
      <c r="O17" s="79">
        <v>-95506.87</v>
      </c>
      <c r="P17" s="79">
        <v>-6434.14</v>
      </c>
      <c r="Q17" s="10">
        <f t="shared" si="2"/>
        <v>80962.930000000008</v>
      </c>
    </row>
    <row r="18" spans="2:17" x14ac:dyDescent="0.25">
      <c r="B18" s="320" t="s">
        <v>511</v>
      </c>
      <c r="C18" s="76"/>
      <c r="D18" s="275" t="s">
        <v>342</v>
      </c>
      <c r="E18" s="77" t="str">
        <f>'3.3 Asset useful life'!D14</f>
        <v>1/11/2012 to 30/6/2025</v>
      </c>
      <c r="F18" s="76">
        <f>'3.3 Asset useful life'!E14</f>
        <v>8.3333333333333329E-2</v>
      </c>
      <c r="G18" s="79"/>
      <c r="H18" s="79">
        <v>3689.35</v>
      </c>
      <c r="I18" s="79">
        <v>0</v>
      </c>
      <c r="J18" s="79">
        <v>0</v>
      </c>
      <c r="K18" s="79">
        <v>0</v>
      </c>
      <c r="L18" s="14">
        <f t="shared" si="0"/>
        <v>3689.35</v>
      </c>
      <c r="M18" s="72">
        <v>1</v>
      </c>
      <c r="N18" s="90">
        <f t="shared" si="1"/>
        <v>3689.35</v>
      </c>
      <c r="O18" s="79">
        <v>-3689.35</v>
      </c>
      <c r="P18" s="79">
        <v>0</v>
      </c>
      <c r="Q18" s="10">
        <f t="shared" si="2"/>
        <v>0</v>
      </c>
    </row>
    <row r="19" spans="2:17" x14ac:dyDescent="0.25">
      <c r="B19" s="320" t="s">
        <v>511</v>
      </c>
      <c r="C19" s="76"/>
      <c r="D19" s="275" t="s">
        <v>343</v>
      </c>
      <c r="E19" s="77" t="str">
        <f>'3.3 Asset useful life'!D15</f>
        <v>N/A</v>
      </c>
      <c r="F19" s="76" t="str">
        <f>'3.3 Asset useful life'!E15</f>
        <v>N/A</v>
      </c>
      <c r="G19" s="79"/>
      <c r="H19" s="79">
        <v>0</v>
      </c>
      <c r="I19" s="79">
        <v>0</v>
      </c>
      <c r="J19" s="79">
        <v>0</v>
      </c>
      <c r="K19" s="79">
        <v>0</v>
      </c>
      <c r="L19" s="14">
        <f t="shared" si="0"/>
        <v>0</v>
      </c>
      <c r="M19" s="72">
        <v>1</v>
      </c>
      <c r="N19" s="90">
        <f t="shared" si="1"/>
        <v>0</v>
      </c>
      <c r="O19" s="79">
        <v>0</v>
      </c>
      <c r="P19" s="79">
        <v>0</v>
      </c>
      <c r="Q19" s="10">
        <f t="shared" si="2"/>
        <v>0</v>
      </c>
    </row>
    <row r="20" spans="2:17" x14ac:dyDescent="0.25">
      <c r="B20" s="320" t="s">
        <v>511</v>
      </c>
      <c r="C20" s="76"/>
      <c r="D20" s="275" t="s">
        <v>344</v>
      </c>
      <c r="E20" s="77" t="str">
        <f>'3.3 Asset useful life'!D16</f>
        <v>1/9/2015 to 30/6/2025</v>
      </c>
      <c r="F20" s="76">
        <f>'3.3 Asset useful life'!E16</f>
        <v>10.000000000000002</v>
      </c>
      <c r="G20" s="79"/>
      <c r="H20" s="79">
        <v>262425.46999999997</v>
      </c>
      <c r="I20" s="79">
        <v>0</v>
      </c>
      <c r="J20" s="79">
        <v>0</v>
      </c>
      <c r="K20" s="79">
        <v>0</v>
      </c>
      <c r="L20" s="14">
        <f t="shared" si="0"/>
        <v>262425.46999999997</v>
      </c>
      <c r="M20" s="72">
        <v>1</v>
      </c>
      <c r="N20" s="90">
        <f t="shared" si="1"/>
        <v>262425.46999999997</v>
      </c>
      <c r="O20" s="79">
        <v>-207831.78999999998</v>
      </c>
      <c r="P20" s="79">
        <v>-25224.489999999998</v>
      </c>
      <c r="Q20" s="10">
        <f t="shared" si="2"/>
        <v>29369.189999999995</v>
      </c>
    </row>
    <row r="21" spans="2:17" x14ac:dyDescent="0.25">
      <c r="B21" s="320" t="s">
        <v>511</v>
      </c>
      <c r="C21" s="76"/>
      <c r="D21" s="275" t="s">
        <v>345</v>
      </c>
      <c r="E21" s="77" t="str">
        <f>'3.3 Asset useful life'!D17</f>
        <v>22/4/2010 to 30/6/2025</v>
      </c>
      <c r="F21" s="76">
        <f>'3.3 Asset useful life'!E17</f>
        <v>24.916666666666668</v>
      </c>
      <c r="G21" s="79"/>
      <c r="H21" s="79">
        <v>70000</v>
      </c>
      <c r="I21" s="79">
        <v>0</v>
      </c>
      <c r="J21" s="79">
        <v>0</v>
      </c>
      <c r="K21" s="79">
        <v>0</v>
      </c>
      <c r="L21" s="14">
        <f t="shared" si="0"/>
        <v>70000</v>
      </c>
      <c r="M21" s="72">
        <v>1</v>
      </c>
      <c r="N21" s="90">
        <f t="shared" si="1"/>
        <v>70000</v>
      </c>
      <c r="O21" s="79">
        <v>-36286.32</v>
      </c>
      <c r="P21" s="79">
        <v>-2790.1</v>
      </c>
      <c r="Q21" s="10">
        <f t="shared" si="2"/>
        <v>30923.58</v>
      </c>
    </row>
    <row r="22" spans="2:17" x14ac:dyDescent="0.25">
      <c r="B22" s="320" t="s">
        <v>511</v>
      </c>
      <c r="C22" s="76"/>
      <c r="D22" s="275" t="s">
        <v>90</v>
      </c>
      <c r="E22" s="77" t="str">
        <f>'3.3 Asset useful life'!D18</f>
        <v>22/4/2010 to 30/6/2025</v>
      </c>
      <c r="F22" s="76" t="str">
        <f>'3.3 Asset useful life'!E19</f>
        <v>N/A</v>
      </c>
      <c r="G22" s="79"/>
      <c r="H22" s="79">
        <v>123285.66</v>
      </c>
      <c r="I22" s="79">
        <v>0</v>
      </c>
      <c r="J22" s="79">
        <v>0</v>
      </c>
      <c r="K22" s="79">
        <v>0</v>
      </c>
      <c r="L22" s="14">
        <f t="shared" si="0"/>
        <v>123285.66</v>
      </c>
      <c r="M22" s="72">
        <v>1</v>
      </c>
      <c r="N22" s="90">
        <f t="shared" si="1"/>
        <v>123285.66</v>
      </c>
      <c r="O22" s="79">
        <v>0</v>
      </c>
      <c r="P22" s="79">
        <v>0</v>
      </c>
      <c r="Q22" s="10">
        <f t="shared" si="2"/>
        <v>123285.66</v>
      </c>
    </row>
    <row r="23" spans="2:17" x14ac:dyDescent="0.25">
      <c r="B23" s="320" t="s">
        <v>511</v>
      </c>
      <c r="C23" s="76"/>
      <c r="D23" s="275" t="s">
        <v>131</v>
      </c>
      <c r="E23" s="77" t="str">
        <f>'3.3 Asset useful life'!D19</f>
        <v>1/1/2017 to 30/6/2025</v>
      </c>
      <c r="F23" s="76">
        <f>'3.3 Asset useful life'!E18</f>
        <v>0.21343536190349321</v>
      </c>
      <c r="G23" s="79"/>
      <c r="H23" s="79">
        <v>833247.03</v>
      </c>
      <c r="I23" s="79">
        <v>0</v>
      </c>
      <c r="J23" s="79">
        <v>0</v>
      </c>
      <c r="K23" s="79">
        <v>0</v>
      </c>
      <c r="L23" s="14">
        <f t="shared" si="0"/>
        <v>833247.03</v>
      </c>
      <c r="M23" s="72">
        <v>1</v>
      </c>
      <c r="N23" s="90">
        <f t="shared" si="1"/>
        <v>833247.03</v>
      </c>
      <c r="O23" s="79">
        <v>-832484.56</v>
      </c>
      <c r="P23" s="79">
        <v>-762.43999999999994</v>
      </c>
      <c r="Q23" s="10">
        <f t="shared" si="2"/>
        <v>2.999999997211944E-2</v>
      </c>
    </row>
    <row r="24" spans="2:17" x14ac:dyDescent="0.25">
      <c r="B24" s="320" t="s">
        <v>511</v>
      </c>
      <c r="C24" s="76"/>
      <c r="D24" s="275"/>
      <c r="E24" s="77"/>
      <c r="F24" s="78"/>
      <c r="G24" s="79"/>
      <c r="H24" s="79"/>
      <c r="I24" s="79"/>
      <c r="J24" s="79"/>
      <c r="K24" s="79"/>
      <c r="L24" s="14">
        <f t="shared" ref="L24:L58" si="3">SUM(H24:K24)</f>
        <v>0</v>
      </c>
      <c r="M24" s="72">
        <v>1</v>
      </c>
      <c r="N24" s="90">
        <f t="shared" ref="N24:N58" si="4">L24*M24</f>
        <v>0</v>
      </c>
      <c r="O24" s="79"/>
      <c r="P24" s="79"/>
      <c r="Q24" s="10">
        <f t="shared" ref="Q24:Q58" si="5">SUM(N24:P24)</f>
        <v>0</v>
      </c>
    </row>
    <row r="25" spans="2:17" x14ac:dyDescent="0.25">
      <c r="B25" s="294"/>
      <c r="C25" s="76"/>
      <c r="D25" s="275"/>
      <c r="E25" s="77"/>
      <c r="F25" s="78"/>
      <c r="G25" s="79"/>
      <c r="H25" s="79"/>
      <c r="I25" s="79"/>
      <c r="J25" s="79"/>
      <c r="K25" s="79"/>
      <c r="L25" s="14">
        <f t="shared" si="3"/>
        <v>0</v>
      </c>
      <c r="M25" s="72">
        <v>1</v>
      </c>
      <c r="N25" s="90">
        <f t="shared" si="4"/>
        <v>0</v>
      </c>
      <c r="O25" s="79"/>
      <c r="P25" s="79"/>
      <c r="Q25" s="10">
        <f t="shared" si="5"/>
        <v>0</v>
      </c>
    </row>
    <row r="26" spans="2:17" x14ac:dyDescent="0.25">
      <c r="B26" s="294"/>
      <c r="C26" s="76"/>
      <c r="D26" s="275"/>
      <c r="E26" s="77"/>
      <c r="F26" s="78"/>
      <c r="G26" s="79"/>
      <c r="H26" s="79"/>
      <c r="I26" s="79"/>
      <c r="J26" s="79"/>
      <c r="K26" s="79"/>
      <c r="L26" s="14">
        <f t="shared" si="3"/>
        <v>0</v>
      </c>
      <c r="M26" s="72">
        <v>1</v>
      </c>
      <c r="N26" s="90">
        <f t="shared" si="4"/>
        <v>0</v>
      </c>
      <c r="O26" s="79"/>
      <c r="P26" s="79"/>
      <c r="Q26" s="10">
        <f t="shared" si="5"/>
        <v>0</v>
      </c>
    </row>
    <row r="27" spans="2:17" x14ac:dyDescent="0.25">
      <c r="B27" s="294"/>
      <c r="C27" s="76"/>
      <c r="D27" s="275"/>
      <c r="E27" s="77"/>
      <c r="F27" s="78"/>
      <c r="G27" s="79"/>
      <c r="H27" s="79"/>
      <c r="I27" s="79"/>
      <c r="J27" s="79"/>
      <c r="K27" s="79"/>
      <c r="L27" s="14">
        <f t="shared" si="3"/>
        <v>0</v>
      </c>
      <c r="M27" s="72">
        <v>1</v>
      </c>
      <c r="N27" s="90">
        <f t="shared" si="4"/>
        <v>0</v>
      </c>
      <c r="O27" s="79"/>
      <c r="P27" s="79"/>
      <c r="Q27" s="10">
        <f t="shared" si="5"/>
        <v>0</v>
      </c>
    </row>
    <row r="28" spans="2:17" x14ac:dyDescent="0.25">
      <c r="B28" s="294"/>
      <c r="C28" s="76"/>
      <c r="D28" s="275"/>
      <c r="E28" s="77"/>
      <c r="F28" s="78"/>
      <c r="G28" s="79"/>
      <c r="H28" s="79"/>
      <c r="I28" s="79"/>
      <c r="J28" s="79"/>
      <c r="K28" s="79"/>
      <c r="L28" s="14">
        <f t="shared" si="3"/>
        <v>0</v>
      </c>
      <c r="M28" s="72">
        <v>1</v>
      </c>
      <c r="N28" s="90">
        <f t="shared" si="4"/>
        <v>0</v>
      </c>
      <c r="O28" s="79"/>
      <c r="P28" s="79"/>
      <c r="Q28" s="10">
        <f t="shared" si="5"/>
        <v>0</v>
      </c>
    </row>
    <row r="29" spans="2:17" x14ac:dyDescent="0.25">
      <c r="B29" s="294"/>
      <c r="C29" s="76"/>
      <c r="D29" s="275"/>
      <c r="E29" s="77"/>
      <c r="F29" s="78"/>
      <c r="G29" s="79"/>
      <c r="H29" s="79"/>
      <c r="I29" s="79"/>
      <c r="J29" s="79"/>
      <c r="K29" s="79"/>
      <c r="L29" s="14">
        <f t="shared" si="3"/>
        <v>0</v>
      </c>
      <c r="M29" s="72">
        <v>1</v>
      </c>
      <c r="N29" s="90">
        <f t="shared" si="4"/>
        <v>0</v>
      </c>
      <c r="O29" s="79"/>
      <c r="P29" s="79"/>
      <c r="Q29" s="10">
        <f t="shared" si="5"/>
        <v>0</v>
      </c>
    </row>
    <row r="30" spans="2:17" x14ac:dyDescent="0.25">
      <c r="B30" s="294"/>
      <c r="C30" s="76"/>
      <c r="D30" s="275"/>
      <c r="E30" s="77"/>
      <c r="F30" s="78"/>
      <c r="G30" s="79"/>
      <c r="H30" s="79"/>
      <c r="I30" s="79"/>
      <c r="J30" s="79"/>
      <c r="K30" s="79"/>
      <c r="L30" s="14">
        <f t="shared" si="3"/>
        <v>0</v>
      </c>
      <c r="M30" s="72">
        <v>1</v>
      </c>
      <c r="N30" s="90">
        <f t="shared" si="4"/>
        <v>0</v>
      </c>
      <c r="O30" s="79"/>
      <c r="P30" s="79"/>
      <c r="Q30" s="10">
        <f t="shared" si="5"/>
        <v>0</v>
      </c>
    </row>
    <row r="31" spans="2:17" x14ac:dyDescent="0.25">
      <c r="B31" s="294"/>
      <c r="C31" s="76"/>
      <c r="D31" s="275"/>
      <c r="E31" s="77"/>
      <c r="F31" s="78"/>
      <c r="G31" s="79"/>
      <c r="H31" s="79"/>
      <c r="I31" s="79"/>
      <c r="J31" s="79"/>
      <c r="K31" s="79"/>
      <c r="L31" s="14">
        <f t="shared" si="3"/>
        <v>0</v>
      </c>
      <c r="M31" s="72">
        <v>1</v>
      </c>
      <c r="N31" s="90">
        <f t="shared" si="4"/>
        <v>0</v>
      </c>
      <c r="O31" s="79"/>
      <c r="P31" s="79"/>
      <c r="Q31" s="10">
        <f t="shared" si="5"/>
        <v>0</v>
      </c>
    </row>
    <row r="32" spans="2:17" x14ac:dyDescent="0.25">
      <c r="B32" s="294"/>
      <c r="C32" s="76"/>
      <c r="D32" s="275"/>
      <c r="E32" s="77"/>
      <c r="F32" s="78"/>
      <c r="G32" s="79"/>
      <c r="H32" s="79"/>
      <c r="I32" s="79"/>
      <c r="J32" s="79"/>
      <c r="K32" s="79"/>
      <c r="L32" s="14">
        <f t="shared" si="3"/>
        <v>0</v>
      </c>
      <c r="M32" s="72">
        <v>1</v>
      </c>
      <c r="N32" s="90">
        <f t="shared" si="4"/>
        <v>0</v>
      </c>
      <c r="O32" s="79"/>
      <c r="P32" s="79"/>
      <c r="Q32" s="10">
        <f t="shared" si="5"/>
        <v>0</v>
      </c>
    </row>
    <row r="33" spans="2:17" x14ac:dyDescent="0.25">
      <c r="B33" s="294"/>
      <c r="C33" s="76"/>
      <c r="D33" s="275"/>
      <c r="E33" s="77"/>
      <c r="F33" s="78"/>
      <c r="G33" s="79"/>
      <c r="H33" s="79"/>
      <c r="I33" s="79"/>
      <c r="J33" s="79"/>
      <c r="K33" s="79"/>
      <c r="L33" s="14">
        <f t="shared" si="3"/>
        <v>0</v>
      </c>
      <c r="M33" s="72">
        <v>1</v>
      </c>
      <c r="N33" s="90">
        <f t="shared" si="4"/>
        <v>0</v>
      </c>
      <c r="O33" s="79"/>
      <c r="P33" s="79"/>
      <c r="Q33" s="10">
        <f t="shared" si="5"/>
        <v>0</v>
      </c>
    </row>
    <row r="34" spans="2:17" x14ac:dyDescent="0.25">
      <c r="B34" s="294"/>
      <c r="C34" s="76"/>
      <c r="D34" s="275"/>
      <c r="E34" s="77"/>
      <c r="F34" s="78"/>
      <c r="G34" s="79"/>
      <c r="H34" s="79"/>
      <c r="I34" s="79"/>
      <c r="J34" s="79"/>
      <c r="K34" s="79"/>
      <c r="L34" s="14">
        <f t="shared" si="3"/>
        <v>0</v>
      </c>
      <c r="M34" s="72">
        <v>1</v>
      </c>
      <c r="N34" s="90">
        <f t="shared" si="4"/>
        <v>0</v>
      </c>
      <c r="O34" s="79"/>
      <c r="P34" s="79"/>
      <c r="Q34" s="10">
        <f t="shared" si="5"/>
        <v>0</v>
      </c>
    </row>
    <row r="35" spans="2:17" x14ac:dyDescent="0.25">
      <c r="B35" s="294"/>
      <c r="C35" s="76"/>
      <c r="D35" s="275"/>
      <c r="E35" s="77"/>
      <c r="F35" s="78"/>
      <c r="G35" s="79"/>
      <c r="H35" s="79"/>
      <c r="I35" s="79"/>
      <c r="J35" s="79"/>
      <c r="K35" s="79"/>
      <c r="L35" s="14">
        <f t="shared" si="3"/>
        <v>0</v>
      </c>
      <c r="M35" s="72">
        <v>1</v>
      </c>
      <c r="N35" s="90">
        <f t="shared" si="4"/>
        <v>0</v>
      </c>
      <c r="O35" s="79"/>
      <c r="P35" s="79"/>
      <c r="Q35" s="10">
        <f t="shared" si="5"/>
        <v>0</v>
      </c>
    </row>
    <row r="36" spans="2:17" x14ac:dyDescent="0.25">
      <c r="B36" s="294"/>
      <c r="C36" s="76"/>
      <c r="D36" s="275"/>
      <c r="E36" s="77"/>
      <c r="F36" s="78"/>
      <c r="G36" s="79"/>
      <c r="H36" s="79"/>
      <c r="I36" s="79"/>
      <c r="J36" s="79"/>
      <c r="K36" s="79"/>
      <c r="L36" s="14">
        <f t="shared" si="3"/>
        <v>0</v>
      </c>
      <c r="M36" s="72">
        <v>1</v>
      </c>
      <c r="N36" s="90">
        <f t="shared" si="4"/>
        <v>0</v>
      </c>
      <c r="O36" s="79"/>
      <c r="P36" s="79"/>
      <c r="Q36" s="10">
        <f t="shared" si="5"/>
        <v>0</v>
      </c>
    </row>
    <row r="37" spans="2:17" x14ac:dyDescent="0.25">
      <c r="B37" s="294"/>
      <c r="C37" s="76"/>
      <c r="D37" s="275"/>
      <c r="E37" s="77"/>
      <c r="F37" s="78"/>
      <c r="G37" s="79"/>
      <c r="H37" s="79"/>
      <c r="I37" s="79"/>
      <c r="J37" s="79"/>
      <c r="K37" s="79"/>
      <c r="L37" s="14">
        <f t="shared" si="3"/>
        <v>0</v>
      </c>
      <c r="M37" s="72">
        <v>1</v>
      </c>
      <c r="N37" s="90">
        <f t="shared" si="4"/>
        <v>0</v>
      </c>
      <c r="O37" s="79"/>
      <c r="P37" s="79"/>
      <c r="Q37" s="10">
        <f t="shared" si="5"/>
        <v>0</v>
      </c>
    </row>
    <row r="38" spans="2:17" x14ac:dyDescent="0.25">
      <c r="B38" s="294"/>
      <c r="C38" s="76"/>
      <c r="D38" s="275"/>
      <c r="E38" s="77"/>
      <c r="F38" s="78"/>
      <c r="G38" s="79"/>
      <c r="H38" s="79"/>
      <c r="I38" s="79"/>
      <c r="J38" s="79"/>
      <c r="K38" s="79"/>
      <c r="L38" s="14">
        <f t="shared" si="3"/>
        <v>0</v>
      </c>
      <c r="M38" s="72">
        <v>1</v>
      </c>
      <c r="N38" s="90">
        <f t="shared" si="4"/>
        <v>0</v>
      </c>
      <c r="O38" s="79"/>
      <c r="P38" s="79"/>
      <c r="Q38" s="10">
        <f t="shared" si="5"/>
        <v>0</v>
      </c>
    </row>
    <row r="39" spans="2:17" x14ac:dyDescent="0.25">
      <c r="B39" s="294"/>
      <c r="C39" s="76"/>
      <c r="D39" s="275"/>
      <c r="E39" s="77"/>
      <c r="F39" s="78"/>
      <c r="G39" s="79"/>
      <c r="H39" s="79"/>
      <c r="I39" s="79"/>
      <c r="J39" s="79"/>
      <c r="K39" s="79"/>
      <c r="L39" s="14">
        <f t="shared" si="3"/>
        <v>0</v>
      </c>
      <c r="M39" s="72">
        <v>1</v>
      </c>
      <c r="N39" s="90">
        <f t="shared" si="4"/>
        <v>0</v>
      </c>
      <c r="O39" s="79"/>
      <c r="P39" s="79"/>
      <c r="Q39" s="10">
        <f t="shared" si="5"/>
        <v>0</v>
      </c>
    </row>
    <row r="40" spans="2:17" x14ac:dyDescent="0.25">
      <c r="B40" s="294"/>
      <c r="C40" s="76"/>
      <c r="D40" s="275"/>
      <c r="E40" s="77"/>
      <c r="F40" s="78"/>
      <c r="G40" s="79"/>
      <c r="H40" s="79"/>
      <c r="I40" s="79"/>
      <c r="J40" s="79"/>
      <c r="K40" s="79"/>
      <c r="L40" s="14">
        <f t="shared" si="3"/>
        <v>0</v>
      </c>
      <c r="M40" s="72">
        <v>1</v>
      </c>
      <c r="N40" s="90">
        <f t="shared" si="4"/>
        <v>0</v>
      </c>
      <c r="O40" s="79"/>
      <c r="P40" s="79"/>
      <c r="Q40" s="10">
        <f t="shared" si="5"/>
        <v>0</v>
      </c>
    </row>
    <row r="41" spans="2:17" x14ac:dyDescent="0.25">
      <c r="B41" s="294"/>
      <c r="C41" s="76"/>
      <c r="D41" s="275"/>
      <c r="E41" s="77"/>
      <c r="F41" s="78"/>
      <c r="G41" s="79"/>
      <c r="H41" s="79"/>
      <c r="I41" s="79"/>
      <c r="J41" s="79"/>
      <c r="K41" s="79"/>
      <c r="L41" s="14">
        <f t="shared" si="3"/>
        <v>0</v>
      </c>
      <c r="M41" s="72">
        <v>1</v>
      </c>
      <c r="N41" s="90">
        <f t="shared" si="4"/>
        <v>0</v>
      </c>
      <c r="O41" s="79"/>
      <c r="P41" s="79"/>
      <c r="Q41" s="10">
        <f t="shared" si="5"/>
        <v>0</v>
      </c>
    </row>
    <row r="42" spans="2:17" x14ac:dyDescent="0.25">
      <c r="B42" s="294"/>
      <c r="C42" s="76"/>
      <c r="D42" s="275"/>
      <c r="E42" s="77"/>
      <c r="F42" s="78"/>
      <c r="G42" s="79"/>
      <c r="H42" s="79"/>
      <c r="I42" s="79"/>
      <c r="J42" s="79"/>
      <c r="K42" s="79"/>
      <c r="L42" s="14">
        <f t="shared" si="3"/>
        <v>0</v>
      </c>
      <c r="M42" s="72">
        <v>1</v>
      </c>
      <c r="N42" s="90">
        <f t="shared" si="4"/>
        <v>0</v>
      </c>
      <c r="O42" s="79"/>
      <c r="P42" s="79"/>
      <c r="Q42" s="10">
        <f t="shared" si="5"/>
        <v>0</v>
      </c>
    </row>
    <row r="43" spans="2:17" x14ac:dyDescent="0.25">
      <c r="B43" s="294"/>
      <c r="C43" s="76"/>
      <c r="D43" s="275"/>
      <c r="E43" s="77"/>
      <c r="F43" s="78"/>
      <c r="G43" s="79"/>
      <c r="H43" s="79"/>
      <c r="I43" s="79"/>
      <c r="J43" s="79"/>
      <c r="K43" s="79"/>
      <c r="L43" s="14">
        <f t="shared" si="3"/>
        <v>0</v>
      </c>
      <c r="M43" s="72">
        <v>1</v>
      </c>
      <c r="N43" s="90">
        <f t="shared" si="4"/>
        <v>0</v>
      </c>
      <c r="O43" s="79"/>
      <c r="P43" s="79"/>
      <c r="Q43" s="10">
        <f t="shared" si="5"/>
        <v>0</v>
      </c>
    </row>
    <row r="44" spans="2:17" x14ac:dyDescent="0.25">
      <c r="B44" s="294"/>
      <c r="C44" s="76"/>
      <c r="D44" s="275"/>
      <c r="E44" s="77"/>
      <c r="F44" s="78"/>
      <c r="G44" s="79"/>
      <c r="H44" s="79"/>
      <c r="I44" s="79"/>
      <c r="J44" s="79"/>
      <c r="K44" s="79"/>
      <c r="L44" s="14">
        <f t="shared" si="3"/>
        <v>0</v>
      </c>
      <c r="M44" s="72">
        <v>1</v>
      </c>
      <c r="N44" s="90">
        <f t="shared" si="4"/>
        <v>0</v>
      </c>
      <c r="O44" s="79"/>
      <c r="P44" s="79"/>
      <c r="Q44" s="10">
        <f t="shared" si="5"/>
        <v>0</v>
      </c>
    </row>
    <row r="45" spans="2:17" x14ac:dyDescent="0.25">
      <c r="B45" s="294"/>
      <c r="C45" s="76"/>
      <c r="D45" s="275"/>
      <c r="E45" s="77"/>
      <c r="F45" s="78"/>
      <c r="G45" s="79"/>
      <c r="H45" s="79"/>
      <c r="I45" s="79"/>
      <c r="J45" s="79"/>
      <c r="K45" s="79"/>
      <c r="L45" s="14">
        <f t="shared" si="3"/>
        <v>0</v>
      </c>
      <c r="M45" s="72">
        <v>1</v>
      </c>
      <c r="N45" s="90">
        <f t="shared" si="4"/>
        <v>0</v>
      </c>
      <c r="O45" s="79"/>
      <c r="P45" s="79"/>
      <c r="Q45" s="10">
        <f t="shared" si="5"/>
        <v>0</v>
      </c>
    </row>
    <row r="46" spans="2:17" x14ac:dyDescent="0.25">
      <c r="B46" s="294"/>
      <c r="C46" s="76"/>
      <c r="D46" s="275"/>
      <c r="E46" s="77"/>
      <c r="F46" s="78"/>
      <c r="G46" s="79"/>
      <c r="H46" s="79"/>
      <c r="I46" s="79"/>
      <c r="J46" s="79"/>
      <c r="K46" s="79"/>
      <c r="L46" s="14">
        <f t="shared" si="3"/>
        <v>0</v>
      </c>
      <c r="M46" s="72">
        <v>1</v>
      </c>
      <c r="N46" s="90">
        <f t="shared" si="4"/>
        <v>0</v>
      </c>
      <c r="O46" s="79"/>
      <c r="P46" s="79"/>
      <c r="Q46" s="10">
        <f t="shared" si="5"/>
        <v>0</v>
      </c>
    </row>
    <row r="47" spans="2:17" x14ac:dyDescent="0.25">
      <c r="B47" s="294"/>
      <c r="C47" s="76"/>
      <c r="D47" s="275"/>
      <c r="E47" s="77"/>
      <c r="F47" s="78"/>
      <c r="G47" s="79"/>
      <c r="H47" s="79"/>
      <c r="I47" s="79"/>
      <c r="J47" s="79"/>
      <c r="K47" s="79"/>
      <c r="L47" s="14">
        <f t="shared" si="3"/>
        <v>0</v>
      </c>
      <c r="M47" s="72">
        <v>1</v>
      </c>
      <c r="N47" s="90">
        <f t="shared" si="4"/>
        <v>0</v>
      </c>
      <c r="O47" s="79"/>
      <c r="P47" s="79"/>
      <c r="Q47" s="10">
        <f t="shared" si="5"/>
        <v>0</v>
      </c>
    </row>
    <row r="48" spans="2:17" x14ac:dyDescent="0.25">
      <c r="B48" s="294"/>
      <c r="C48" s="76"/>
      <c r="D48" s="275"/>
      <c r="E48" s="77"/>
      <c r="F48" s="78"/>
      <c r="G48" s="79"/>
      <c r="H48" s="79"/>
      <c r="I48" s="79"/>
      <c r="J48" s="79"/>
      <c r="K48" s="79"/>
      <c r="L48" s="14">
        <f t="shared" si="3"/>
        <v>0</v>
      </c>
      <c r="M48" s="72">
        <v>1</v>
      </c>
      <c r="N48" s="90">
        <f t="shared" si="4"/>
        <v>0</v>
      </c>
      <c r="O48" s="79"/>
      <c r="P48" s="79"/>
      <c r="Q48" s="10">
        <f t="shared" si="5"/>
        <v>0</v>
      </c>
    </row>
    <row r="49" spans="2:17" x14ac:dyDescent="0.25">
      <c r="B49" s="294"/>
      <c r="C49" s="76"/>
      <c r="D49" s="275"/>
      <c r="E49" s="77"/>
      <c r="F49" s="78"/>
      <c r="G49" s="79"/>
      <c r="H49" s="79"/>
      <c r="I49" s="79"/>
      <c r="J49" s="79"/>
      <c r="K49" s="79"/>
      <c r="L49" s="14">
        <f t="shared" si="3"/>
        <v>0</v>
      </c>
      <c r="M49" s="72">
        <v>1</v>
      </c>
      <c r="N49" s="90">
        <f t="shared" si="4"/>
        <v>0</v>
      </c>
      <c r="O49" s="79"/>
      <c r="P49" s="79"/>
      <c r="Q49" s="10">
        <f t="shared" si="5"/>
        <v>0</v>
      </c>
    </row>
    <row r="50" spans="2:17" x14ac:dyDescent="0.25">
      <c r="B50" s="294"/>
      <c r="C50" s="76"/>
      <c r="D50" s="275"/>
      <c r="E50" s="77"/>
      <c r="F50" s="78"/>
      <c r="G50" s="79"/>
      <c r="H50" s="79"/>
      <c r="I50" s="79"/>
      <c r="J50" s="79"/>
      <c r="K50" s="79"/>
      <c r="L50" s="14">
        <f t="shared" si="3"/>
        <v>0</v>
      </c>
      <c r="M50" s="72">
        <v>1</v>
      </c>
      <c r="N50" s="90">
        <f t="shared" si="4"/>
        <v>0</v>
      </c>
      <c r="O50" s="79"/>
      <c r="P50" s="79"/>
      <c r="Q50" s="10">
        <f t="shared" si="5"/>
        <v>0</v>
      </c>
    </row>
    <row r="51" spans="2:17" x14ac:dyDescent="0.25">
      <c r="B51" s="294"/>
      <c r="C51" s="76"/>
      <c r="D51" s="275"/>
      <c r="E51" s="77"/>
      <c r="F51" s="78"/>
      <c r="G51" s="79"/>
      <c r="H51" s="79"/>
      <c r="I51" s="79"/>
      <c r="J51" s="79"/>
      <c r="K51" s="79"/>
      <c r="L51" s="14">
        <f t="shared" si="3"/>
        <v>0</v>
      </c>
      <c r="M51" s="72">
        <v>1</v>
      </c>
      <c r="N51" s="90">
        <f t="shared" si="4"/>
        <v>0</v>
      </c>
      <c r="O51" s="79"/>
      <c r="P51" s="79"/>
      <c r="Q51" s="10">
        <f t="shared" si="5"/>
        <v>0</v>
      </c>
    </row>
    <row r="52" spans="2:17" x14ac:dyDescent="0.25">
      <c r="B52" s="294"/>
      <c r="C52" s="76"/>
      <c r="D52" s="275"/>
      <c r="E52" s="77"/>
      <c r="F52" s="78"/>
      <c r="G52" s="79"/>
      <c r="H52" s="79"/>
      <c r="I52" s="79"/>
      <c r="J52" s="79"/>
      <c r="K52" s="79"/>
      <c r="L52" s="14">
        <f t="shared" si="3"/>
        <v>0</v>
      </c>
      <c r="M52" s="72">
        <v>1</v>
      </c>
      <c r="N52" s="90">
        <f t="shared" si="4"/>
        <v>0</v>
      </c>
      <c r="O52" s="79"/>
      <c r="P52" s="79"/>
      <c r="Q52" s="10">
        <f t="shared" si="5"/>
        <v>0</v>
      </c>
    </row>
    <row r="53" spans="2:17" x14ac:dyDescent="0.25">
      <c r="B53" s="294"/>
      <c r="C53" s="76"/>
      <c r="D53" s="275"/>
      <c r="E53" s="77"/>
      <c r="F53" s="78"/>
      <c r="G53" s="79"/>
      <c r="H53" s="79"/>
      <c r="I53" s="79"/>
      <c r="J53" s="79"/>
      <c r="K53" s="79"/>
      <c r="L53" s="14">
        <f t="shared" si="3"/>
        <v>0</v>
      </c>
      <c r="M53" s="72">
        <v>1</v>
      </c>
      <c r="N53" s="90">
        <f t="shared" si="4"/>
        <v>0</v>
      </c>
      <c r="O53" s="79"/>
      <c r="P53" s="79"/>
      <c r="Q53" s="10">
        <f t="shared" si="5"/>
        <v>0</v>
      </c>
    </row>
    <row r="54" spans="2:17" x14ac:dyDescent="0.25">
      <c r="B54" s="294"/>
      <c r="C54" s="76"/>
      <c r="D54" s="275"/>
      <c r="E54" s="77"/>
      <c r="F54" s="78"/>
      <c r="G54" s="79"/>
      <c r="H54" s="79"/>
      <c r="I54" s="79"/>
      <c r="J54" s="79"/>
      <c r="K54" s="79"/>
      <c r="L54" s="14">
        <f t="shared" si="3"/>
        <v>0</v>
      </c>
      <c r="M54" s="72">
        <v>1</v>
      </c>
      <c r="N54" s="90">
        <f t="shared" si="4"/>
        <v>0</v>
      </c>
      <c r="O54" s="79"/>
      <c r="P54" s="79"/>
      <c r="Q54" s="10">
        <f>SUM(N54:P54)</f>
        <v>0</v>
      </c>
    </row>
    <row r="55" spans="2:17" x14ac:dyDescent="0.25">
      <c r="B55" s="294"/>
      <c r="C55" s="76"/>
      <c r="D55" s="275"/>
      <c r="E55" s="77"/>
      <c r="F55" s="78"/>
      <c r="G55" s="79"/>
      <c r="H55" s="79"/>
      <c r="I55" s="79"/>
      <c r="J55" s="79"/>
      <c r="K55" s="79"/>
      <c r="L55" s="14">
        <f t="shared" si="3"/>
        <v>0</v>
      </c>
      <c r="M55" s="72">
        <v>1</v>
      </c>
      <c r="N55" s="90">
        <f t="shared" si="4"/>
        <v>0</v>
      </c>
      <c r="O55" s="79"/>
      <c r="P55" s="79"/>
      <c r="Q55" s="10">
        <f t="shared" si="5"/>
        <v>0</v>
      </c>
    </row>
    <row r="56" spans="2:17" x14ac:dyDescent="0.25">
      <c r="B56" s="294"/>
      <c r="C56" s="76"/>
      <c r="D56" s="275"/>
      <c r="E56" s="77"/>
      <c r="F56" s="78"/>
      <c r="G56" s="79"/>
      <c r="H56" s="79"/>
      <c r="I56" s="79"/>
      <c r="J56" s="79"/>
      <c r="K56" s="79"/>
      <c r="L56" s="14">
        <f t="shared" si="3"/>
        <v>0</v>
      </c>
      <c r="M56" s="72">
        <v>1</v>
      </c>
      <c r="N56" s="90">
        <f t="shared" si="4"/>
        <v>0</v>
      </c>
      <c r="O56" s="79"/>
      <c r="P56" s="79"/>
      <c r="Q56" s="10">
        <f t="shared" si="5"/>
        <v>0</v>
      </c>
    </row>
    <row r="57" spans="2:17" x14ac:dyDescent="0.25">
      <c r="B57" s="294"/>
      <c r="C57" s="76"/>
      <c r="D57" s="275"/>
      <c r="E57" s="77"/>
      <c r="F57" s="78"/>
      <c r="G57" s="79"/>
      <c r="H57" s="79"/>
      <c r="I57" s="79"/>
      <c r="J57" s="79"/>
      <c r="K57" s="79"/>
      <c r="L57" s="14">
        <f t="shared" si="3"/>
        <v>0</v>
      </c>
      <c r="M57" s="72">
        <v>1</v>
      </c>
      <c r="N57" s="90">
        <f t="shared" si="4"/>
        <v>0</v>
      </c>
      <c r="O57" s="79"/>
      <c r="P57" s="79"/>
      <c r="Q57" s="10">
        <f>SUM(N57:P57)</f>
        <v>0</v>
      </c>
    </row>
    <row r="58" spans="2:17" x14ac:dyDescent="0.25">
      <c r="B58" s="294"/>
      <c r="C58" s="76"/>
      <c r="D58" s="275"/>
      <c r="E58" s="77"/>
      <c r="F58" s="78"/>
      <c r="G58" s="79"/>
      <c r="H58" s="79"/>
      <c r="I58" s="79"/>
      <c r="J58" s="79"/>
      <c r="K58" s="79"/>
      <c r="L58" s="14">
        <f t="shared" si="3"/>
        <v>0</v>
      </c>
      <c r="M58" s="72">
        <v>1</v>
      </c>
      <c r="N58" s="90">
        <f t="shared" si="4"/>
        <v>0</v>
      </c>
      <c r="O58" s="79"/>
      <c r="P58" s="79"/>
      <c r="Q58" s="10">
        <f t="shared" si="5"/>
        <v>0</v>
      </c>
    </row>
    <row r="59" spans="2:17" ht="13" x14ac:dyDescent="0.3">
      <c r="B59" s="295"/>
      <c r="C59" s="15" t="s">
        <v>56</v>
      </c>
      <c r="D59" s="15"/>
      <c r="E59" s="16"/>
      <c r="F59" s="17"/>
      <c r="G59" s="11">
        <f t="shared" ref="G59:L59" si="6">SUM(G15:G58)</f>
        <v>0</v>
      </c>
      <c r="H59" s="11">
        <f t="shared" si="6"/>
        <v>93925307.100000009</v>
      </c>
      <c r="I59" s="11">
        <f t="shared" si="6"/>
        <v>1</v>
      </c>
      <c r="J59" s="11">
        <f t="shared" si="6"/>
        <v>0</v>
      </c>
      <c r="K59" s="11">
        <f t="shared" si="6"/>
        <v>0</v>
      </c>
      <c r="L59" s="11">
        <f t="shared" si="6"/>
        <v>93925308.100000009</v>
      </c>
      <c r="M59" s="142"/>
      <c r="N59" s="142">
        <f>SUM(N15:N58)</f>
        <v>93925308.100000009</v>
      </c>
      <c r="O59" s="11">
        <f>SUM(O15:O58)</f>
        <v>-43016812.120000012</v>
      </c>
      <c r="P59" s="11">
        <f>SUM(P15:P58)</f>
        <v>-4246003.2299999995</v>
      </c>
      <c r="Q59" s="11">
        <f>SUM(Q15:Q58)</f>
        <v>46662492.75</v>
      </c>
    </row>
    <row r="62" spans="2:17" ht="15.5" x14ac:dyDescent="0.35">
      <c r="B62" s="197" t="s">
        <v>435</v>
      </c>
    </row>
    <row r="64" spans="2:17" ht="46.5" customHeight="1" x14ac:dyDescent="0.25">
      <c r="B64" s="50" t="s">
        <v>307</v>
      </c>
      <c r="C64" s="51" t="s">
        <v>13</v>
      </c>
      <c r="D64" s="51" t="s">
        <v>0</v>
      </c>
      <c r="E64" s="51" t="s">
        <v>49</v>
      </c>
      <c r="F64" s="51" t="s">
        <v>50</v>
      </c>
      <c r="G64" s="52" t="s">
        <v>374</v>
      </c>
      <c r="H64" s="52" t="s">
        <v>375</v>
      </c>
      <c r="I64" s="52" t="s">
        <v>447</v>
      </c>
      <c r="J64" s="52" t="s">
        <v>376</v>
      </c>
      <c r="K64" s="52" t="s">
        <v>53</v>
      </c>
      <c r="L64" s="51" t="s">
        <v>191</v>
      </c>
      <c r="M64" s="51" t="s">
        <v>192</v>
      </c>
      <c r="N64" s="52" t="s">
        <v>141</v>
      </c>
      <c r="O64" s="52" t="s">
        <v>175</v>
      </c>
      <c r="P64" s="30" t="s">
        <v>54</v>
      </c>
    </row>
    <row r="65" spans="2:16" x14ac:dyDescent="0.25">
      <c r="B65" s="61"/>
      <c r="C65" s="53"/>
      <c r="D65" s="53"/>
      <c r="E65" s="53"/>
      <c r="F65" s="53" t="s">
        <v>55</v>
      </c>
      <c r="G65" s="53" t="s">
        <v>110</v>
      </c>
      <c r="H65" s="53" t="s">
        <v>110</v>
      </c>
      <c r="I65" s="53" t="s">
        <v>110</v>
      </c>
      <c r="J65" s="53" t="s">
        <v>110</v>
      </c>
      <c r="K65" s="53" t="s">
        <v>110</v>
      </c>
      <c r="L65" s="53"/>
      <c r="M65" s="53" t="s">
        <v>110</v>
      </c>
      <c r="N65" s="53" t="s">
        <v>110</v>
      </c>
      <c r="O65" s="53" t="s">
        <v>110</v>
      </c>
      <c r="P65" s="53" t="s">
        <v>110</v>
      </c>
    </row>
    <row r="66" spans="2:16" x14ac:dyDescent="0.25">
      <c r="B66" s="327" t="s">
        <v>521</v>
      </c>
      <c r="C66" s="328" t="s">
        <v>495</v>
      </c>
      <c r="D66" s="76" t="s">
        <v>153</v>
      </c>
      <c r="E66" s="308" t="str">
        <f>'3.3 Asset useful life'!D28</f>
        <v>22/4/2010 to 30/6/2025</v>
      </c>
      <c r="F66" s="78">
        <f>'3.3 Asset useful life'!E28</f>
        <v>3.4323791017076388</v>
      </c>
      <c r="G66" s="79">
        <v>4440433.5500092711</v>
      </c>
      <c r="H66" s="79">
        <v>1071429.5727584129</v>
      </c>
      <c r="I66" s="79"/>
      <c r="J66" s="79">
        <v>-11771.380640326161</v>
      </c>
      <c r="K66" s="14">
        <f>SUM(G66:J66)</f>
        <v>5500091.742127358</v>
      </c>
      <c r="L66" s="72">
        <v>1</v>
      </c>
      <c r="M66" s="90">
        <f>K66*L66</f>
        <v>5500091.742127358</v>
      </c>
      <c r="N66" s="79">
        <v>-3329786.7118250253</v>
      </c>
      <c r="O66" s="79">
        <v>-611418.39536343201</v>
      </c>
      <c r="P66" s="10">
        <f>SUM(M66:O66)</f>
        <v>1558886.6349389008</v>
      </c>
    </row>
    <row r="67" spans="2:16" x14ac:dyDescent="0.25">
      <c r="B67" s="327" t="s">
        <v>521</v>
      </c>
      <c r="C67" s="328" t="s">
        <v>145</v>
      </c>
      <c r="D67" s="76" t="s">
        <v>145</v>
      </c>
      <c r="E67" s="308" t="str">
        <f>'3.3 Asset useful life'!D34</f>
        <v>1/7/2019 to 30/6/2025</v>
      </c>
      <c r="F67" s="78" t="str">
        <f>'3.3 Asset useful life'!E34</f>
        <v>Various</v>
      </c>
      <c r="G67" s="79">
        <v>895199.41923408967</v>
      </c>
      <c r="H67" s="79">
        <v>143818.1267610543</v>
      </c>
      <c r="I67" s="79"/>
      <c r="J67" s="79">
        <v>-3249.5405041380545</v>
      </c>
      <c r="K67" s="14">
        <f t="shared" ref="K67:K83" si="7">SUM(G67:J67)</f>
        <v>1035768.0054910058</v>
      </c>
      <c r="L67" s="72">
        <v>1</v>
      </c>
      <c r="M67" s="90">
        <f t="shared" ref="M67:M83" si="8">K67*L67</f>
        <v>1035768.0054910058</v>
      </c>
      <c r="N67" s="79">
        <v>-461914.54053907207</v>
      </c>
      <c r="O67" s="79">
        <v>-137150.39199672296</v>
      </c>
      <c r="P67" s="10">
        <f t="shared" ref="P67:P82" si="9">SUM(M67:O67)</f>
        <v>436703.07295521087</v>
      </c>
    </row>
    <row r="68" spans="2:16" x14ac:dyDescent="0.25">
      <c r="B68" s="161"/>
      <c r="C68" s="76"/>
      <c r="D68" s="76"/>
      <c r="E68" s="77"/>
      <c r="F68" s="78"/>
      <c r="G68" s="79"/>
      <c r="H68" s="79"/>
      <c r="I68" s="79"/>
      <c r="J68" s="79"/>
      <c r="K68" s="14">
        <f t="shared" si="7"/>
        <v>0</v>
      </c>
      <c r="L68" s="72">
        <v>1</v>
      </c>
      <c r="M68" s="90">
        <f t="shared" si="8"/>
        <v>0</v>
      </c>
      <c r="N68" s="79"/>
      <c r="O68" s="79"/>
      <c r="P68" s="10">
        <f t="shared" si="9"/>
        <v>0</v>
      </c>
    </row>
    <row r="69" spans="2:16" x14ac:dyDescent="0.25">
      <c r="B69" s="161"/>
      <c r="C69" s="76"/>
      <c r="D69" s="76"/>
      <c r="E69" s="77"/>
      <c r="F69" s="78"/>
      <c r="G69" s="79"/>
      <c r="H69" s="79"/>
      <c r="I69" s="79"/>
      <c r="J69" s="79"/>
      <c r="K69" s="14">
        <f t="shared" si="7"/>
        <v>0</v>
      </c>
      <c r="L69" s="72">
        <v>1</v>
      </c>
      <c r="M69" s="90">
        <f t="shared" si="8"/>
        <v>0</v>
      </c>
      <c r="N69" s="79"/>
      <c r="O69" s="79"/>
      <c r="P69" s="10">
        <f t="shared" si="9"/>
        <v>0</v>
      </c>
    </row>
    <row r="70" spans="2:16" x14ac:dyDescent="0.25">
      <c r="B70" s="161"/>
      <c r="C70" s="76"/>
      <c r="D70" s="76"/>
      <c r="E70" s="77"/>
      <c r="F70" s="78"/>
      <c r="G70" s="79"/>
      <c r="H70" s="79"/>
      <c r="I70" s="79"/>
      <c r="J70" s="79"/>
      <c r="K70" s="14">
        <f t="shared" si="7"/>
        <v>0</v>
      </c>
      <c r="L70" s="72">
        <v>1</v>
      </c>
      <c r="M70" s="90">
        <f t="shared" si="8"/>
        <v>0</v>
      </c>
      <c r="N70" s="79"/>
      <c r="O70" s="79"/>
      <c r="P70" s="10">
        <f t="shared" si="9"/>
        <v>0</v>
      </c>
    </row>
    <row r="71" spans="2:16" x14ac:dyDescent="0.25">
      <c r="B71" s="161"/>
      <c r="C71" s="76"/>
      <c r="D71" s="76"/>
      <c r="E71" s="77"/>
      <c r="F71" s="78"/>
      <c r="G71" s="79"/>
      <c r="H71" s="79"/>
      <c r="I71" s="79"/>
      <c r="J71" s="79"/>
      <c r="K71" s="14">
        <f t="shared" si="7"/>
        <v>0</v>
      </c>
      <c r="L71" s="72">
        <v>1</v>
      </c>
      <c r="M71" s="90">
        <f t="shared" si="8"/>
        <v>0</v>
      </c>
      <c r="N71" s="79"/>
      <c r="O71" s="79"/>
      <c r="P71" s="10">
        <f t="shared" si="9"/>
        <v>0</v>
      </c>
    </row>
    <row r="72" spans="2:16" x14ac:dyDescent="0.25">
      <c r="B72" s="161"/>
      <c r="C72" s="76"/>
      <c r="D72" s="76"/>
      <c r="E72" s="77"/>
      <c r="F72" s="78"/>
      <c r="G72" s="79"/>
      <c r="H72" s="79"/>
      <c r="I72" s="79"/>
      <c r="J72" s="79"/>
      <c r="K72" s="14">
        <f t="shared" si="7"/>
        <v>0</v>
      </c>
      <c r="L72" s="72">
        <v>1</v>
      </c>
      <c r="M72" s="90">
        <f t="shared" si="8"/>
        <v>0</v>
      </c>
      <c r="N72" s="79"/>
      <c r="O72" s="79"/>
      <c r="P72" s="10">
        <f t="shared" si="9"/>
        <v>0</v>
      </c>
    </row>
    <row r="73" spans="2:16" x14ac:dyDescent="0.25">
      <c r="B73" s="161"/>
      <c r="C73" s="76"/>
      <c r="D73" s="76"/>
      <c r="E73" s="77"/>
      <c r="F73" s="78"/>
      <c r="G73" s="79"/>
      <c r="H73" s="79"/>
      <c r="I73" s="79"/>
      <c r="J73" s="79"/>
      <c r="K73" s="14">
        <f t="shared" si="7"/>
        <v>0</v>
      </c>
      <c r="L73" s="72">
        <v>1</v>
      </c>
      <c r="M73" s="90">
        <f t="shared" si="8"/>
        <v>0</v>
      </c>
      <c r="N73" s="79"/>
      <c r="O73" s="79"/>
      <c r="P73" s="10">
        <f t="shared" si="9"/>
        <v>0</v>
      </c>
    </row>
    <row r="74" spans="2:16" x14ac:dyDescent="0.25">
      <c r="B74" s="161"/>
      <c r="C74" s="76"/>
      <c r="D74" s="76"/>
      <c r="E74" s="77"/>
      <c r="F74" s="78"/>
      <c r="G74" s="79"/>
      <c r="H74" s="79"/>
      <c r="I74" s="79"/>
      <c r="J74" s="79"/>
      <c r="K74" s="14">
        <f t="shared" si="7"/>
        <v>0</v>
      </c>
      <c r="L74" s="72">
        <v>1</v>
      </c>
      <c r="M74" s="90">
        <f t="shared" si="8"/>
        <v>0</v>
      </c>
      <c r="N74" s="79"/>
      <c r="O74" s="79"/>
      <c r="P74" s="10">
        <f t="shared" si="9"/>
        <v>0</v>
      </c>
    </row>
    <row r="75" spans="2:16" x14ac:dyDescent="0.25">
      <c r="B75" s="161"/>
      <c r="C75" s="76"/>
      <c r="D75" s="76"/>
      <c r="E75" s="77"/>
      <c r="F75" s="78"/>
      <c r="G75" s="79"/>
      <c r="H75" s="79"/>
      <c r="I75" s="79"/>
      <c r="J75" s="79"/>
      <c r="K75" s="14">
        <f t="shared" si="7"/>
        <v>0</v>
      </c>
      <c r="L75" s="72">
        <v>1</v>
      </c>
      <c r="M75" s="90">
        <f t="shared" si="8"/>
        <v>0</v>
      </c>
      <c r="N75" s="79"/>
      <c r="O75" s="79"/>
      <c r="P75" s="10">
        <f t="shared" si="9"/>
        <v>0</v>
      </c>
    </row>
    <row r="76" spans="2:16" x14ac:dyDescent="0.25">
      <c r="B76" s="161"/>
      <c r="C76" s="76"/>
      <c r="D76" s="76"/>
      <c r="E76" s="77"/>
      <c r="F76" s="78"/>
      <c r="G76" s="79"/>
      <c r="H76" s="79"/>
      <c r="I76" s="79"/>
      <c r="J76" s="79"/>
      <c r="K76" s="14">
        <f t="shared" si="7"/>
        <v>0</v>
      </c>
      <c r="L76" s="72">
        <v>1</v>
      </c>
      <c r="M76" s="90">
        <f t="shared" si="8"/>
        <v>0</v>
      </c>
      <c r="N76" s="79"/>
      <c r="O76" s="79"/>
      <c r="P76" s="10">
        <f t="shared" si="9"/>
        <v>0</v>
      </c>
    </row>
    <row r="77" spans="2:16" x14ac:dyDescent="0.25">
      <c r="B77" s="161"/>
      <c r="C77" s="76"/>
      <c r="D77" s="76"/>
      <c r="E77" s="77"/>
      <c r="F77" s="78"/>
      <c r="G77" s="79"/>
      <c r="H77" s="79"/>
      <c r="I77" s="79"/>
      <c r="J77" s="79"/>
      <c r="K77" s="14">
        <f t="shared" si="7"/>
        <v>0</v>
      </c>
      <c r="L77" s="72">
        <v>1</v>
      </c>
      <c r="M77" s="90">
        <f t="shared" si="8"/>
        <v>0</v>
      </c>
      <c r="N77" s="79"/>
      <c r="O77" s="79"/>
      <c r="P77" s="10">
        <f t="shared" si="9"/>
        <v>0</v>
      </c>
    </row>
    <row r="78" spans="2:16" x14ac:dyDescent="0.25">
      <c r="B78" s="161"/>
      <c r="C78" s="76"/>
      <c r="D78" s="76"/>
      <c r="E78" s="77"/>
      <c r="F78" s="78"/>
      <c r="G78" s="79"/>
      <c r="H78" s="79"/>
      <c r="I78" s="79"/>
      <c r="J78" s="79"/>
      <c r="K78" s="14">
        <f t="shared" si="7"/>
        <v>0</v>
      </c>
      <c r="L78" s="72">
        <v>1</v>
      </c>
      <c r="M78" s="90">
        <f t="shared" si="8"/>
        <v>0</v>
      </c>
      <c r="N78" s="79"/>
      <c r="O78" s="79"/>
      <c r="P78" s="10">
        <f t="shared" si="9"/>
        <v>0</v>
      </c>
    </row>
    <row r="79" spans="2:16" x14ac:dyDescent="0.25">
      <c r="B79" s="161"/>
      <c r="C79" s="76"/>
      <c r="D79" s="76"/>
      <c r="E79" s="77"/>
      <c r="F79" s="78"/>
      <c r="G79" s="79"/>
      <c r="H79" s="79"/>
      <c r="I79" s="79"/>
      <c r="J79" s="79"/>
      <c r="K79" s="14">
        <f t="shared" si="7"/>
        <v>0</v>
      </c>
      <c r="L79" s="72">
        <v>1</v>
      </c>
      <c r="M79" s="90">
        <f t="shared" si="8"/>
        <v>0</v>
      </c>
      <c r="N79" s="79"/>
      <c r="O79" s="79"/>
      <c r="P79" s="10">
        <f t="shared" si="9"/>
        <v>0</v>
      </c>
    </row>
    <row r="80" spans="2:16" x14ac:dyDescent="0.25">
      <c r="B80" s="161"/>
      <c r="C80" s="76"/>
      <c r="D80" s="76"/>
      <c r="E80" s="77"/>
      <c r="F80" s="78"/>
      <c r="G80" s="79"/>
      <c r="H80" s="79"/>
      <c r="I80" s="79"/>
      <c r="J80" s="79"/>
      <c r="K80" s="14">
        <f t="shared" si="7"/>
        <v>0</v>
      </c>
      <c r="L80" s="72">
        <v>1</v>
      </c>
      <c r="M80" s="90">
        <f t="shared" si="8"/>
        <v>0</v>
      </c>
      <c r="N80" s="79"/>
      <c r="O80" s="79"/>
      <c r="P80" s="10">
        <f t="shared" si="9"/>
        <v>0</v>
      </c>
    </row>
    <row r="81" spans="2:16" x14ac:dyDescent="0.25">
      <c r="B81" s="161"/>
      <c r="C81" s="76"/>
      <c r="D81" s="76"/>
      <c r="E81" s="77"/>
      <c r="F81" s="78"/>
      <c r="G81" s="79"/>
      <c r="H81" s="79"/>
      <c r="I81" s="79"/>
      <c r="J81" s="79"/>
      <c r="K81" s="14">
        <f t="shared" si="7"/>
        <v>0</v>
      </c>
      <c r="L81" s="72">
        <v>1</v>
      </c>
      <c r="M81" s="90">
        <f t="shared" si="8"/>
        <v>0</v>
      </c>
      <c r="N81" s="79"/>
      <c r="O81" s="79"/>
      <c r="P81" s="10">
        <f t="shared" si="9"/>
        <v>0</v>
      </c>
    </row>
    <row r="82" spans="2:16" x14ac:dyDescent="0.25">
      <c r="B82" s="161"/>
      <c r="C82" s="76"/>
      <c r="D82" s="76"/>
      <c r="E82" s="77"/>
      <c r="F82" s="78"/>
      <c r="G82" s="79"/>
      <c r="H82" s="79"/>
      <c r="I82" s="79"/>
      <c r="J82" s="79"/>
      <c r="K82" s="14">
        <f t="shared" si="7"/>
        <v>0</v>
      </c>
      <c r="L82" s="72">
        <v>1</v>
      </c>
      <c r="M82" s="90">
        <f t="shared" si="8"/>
        <v>0</v>
      </c>
      <c r="N82" s="79"/>
      <c r="O82" s="79"/>
      <c r="P82" s="10">
        <f t="shared" si="9"/>
        <v>0</v>
      </c>
    </row>
    <row r="83" spans="2:16" x14ac:dyDescent="0.25">
      <c r="B83" s="161"/>
      <c r="C83" s="76"/>
      <c r="D83" s="76"/>
      <c r="E83" s="77"/>
      <c r="F83" s="78"/>
      <c r="G83" s="79"/>
      <c r="H83" s="79"/>
      <c r="I83" s="79"/>
      <c r="J83" s="79"/>
      <c r="K83" s="14">
        <f t="shared" si="7"/>
        <v>0</v>
      </c>
      <c r="L83" s="72">
        <v>1</v>
      </c>
      <c r="M83" s="90">
        <f t="shared" si="8"/>
        <v>0</v>
      </c>
      <c r="N83" s="79"/>
      <c r="O83" s="79"/>
      <c r="P83" s="10">
        <f>SUM(M83:O83)</f>
        <v>0</v>
      </c>
    </row>
    <row r="84" spans="2:16" ht="13" x14ac:dyDescent="0.3">
      <c r="B84" s="274"/>
      <c r="C84" s="15" t="s">
        <v>19</v>
      </c>
      <c r="D84" s="15"/>
      <c r="E84" s="18"/>
      <c r="F84" s="18"/>
      <c r="G84" s="11">
        <f>SUM(G66:G83)</f>
        <v>5335632.9692433607</v>
      </c>
      <c r="H84" s="11">
        <f>SUM(H66:H83)</f>
        <v>1215247.6995194673</v>
      </c>
      <c r="I84" s="11">
        <f>SUM(I66:I83)</f>
        <v>0</v>
      </c>
      <c r="J84" s="11">
        <f>SUM(J66:J83)</f>
        <v>-15020.921144464215</v>
      </c>
      <c r="K84" s="11">
        <f>SUM(K66:K83)</f>
        <v>6535859.7476183642</v>
      </c>
      <c r="L84" s="142"/>
      <c r="M84" s="142">
        <f>SUM(M66:M83)</f>
        <v>6535859.7476183642</v>
      </c>
      <c r="N84" s="11">
        <f>SUM(N66:N83)</f>
        <v>-3791701.2523640972</v>
      </c>
      <c r="O84" s="11">
        <f>SUM(O66:O83)</f>
        <v>-748568.78736015502</v>
      </c>
      <c r="P84" s="11">
        <f>SUM(P66:P83)</f>
        <v>1995589.7078941118</v>
      </c>
    </row>
  </sheetData>
  <sheetProtection sheet="1" insertRows="0" deleteRows="0"/>
  <mergeCells count="1">
    <mergeCell ref="B6:E8"/>
  </mergeCells>
  <phoneticPr fontId="30" type="noConversion"/>
  <dataValidations count="2">
    <dataValidation type="list" allowBlank="1" showInputMessage="1" showErrorMessage="1" sqref="G8:G9 D15:D58" xr:uid="{00C116A7-BAAB-483F-B965-11B7FECFA072}">
      <formula1>rPipelineAssets</formula1>
    </dataValidation>
    <dataValidation type="list" allowBlank="1" showInputMessage="1" showErrorMessage="1" sqref="D66:D83" xr:uid="{B7915664-DEF6-45F8-ADD8-A79802F9CEC7}">
      <formula1>rSharedAssets</formula1>
    </dataValidation>
  </dataValidations>
  <pageMargins left="0.75" right="0.75" top="1" bottom="1" header="0.5" footer="0.5"/>
  <pageSetup paperSize="9" scale="27" orientation="landscape" r:id="rId1"/>
  <headerFooter alignWithMargins="0">
    <oddFooter>&amp;C_x000D_&amp;1#&amp;"Calibri"&amp;10&amp;K008000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EA116-7E4C-4A98-8986-A95DBBFBB179}">
  <sheetPr codeName="Sheet15">
    <tabColor rgb="FF17415D"/>
  </sheetPr>
  <dimension ref="B1:I47"/>
  <sheetViews>
    <sheetView workbookViewId="0">
      <pane xSplit="1" ySplit="8" topLeftCell="B9" activePane="bottomRight" state="frozen"/>
      <selection pane="topRight" activeCell="B1" sqref="B1"/>
      <selection pane="bottomLeft" activeCell="A9" sqref="A9"/>
      <selection pane="bottomRight"/>
    </sheetView>
  </sheetViews>
  <sheetFormatPr defaultColWidth="9.453125" defaultRowHeight="12.5" x14ac:dyDescent="0.25"/>
  <cols>
    <col min="1" max="1" width="12.453125" style="205" customWidth="1"/>
    <col min="2" max="2" width="22.453125" style="205" customWidth="1"/>
    <col min="3" max="3" width="42.453125" style="205" customWidth="1"/>
    <col min="4" max="4" width="28.54296875" style="205" customWidth="1"/>
    <col min="5" max="5" width="22.54296875" style="205" customWidth="1"/>
    <col min="6" max="6" width="20.54296875" style="205" customWidth="1"/>
    <col min="7" max="7" width="22.54296875" style="205" customWidth="1"/>
    <col min="8" max="8" width="37.453125" style="205" customWidth="1"/>
    <col min="9" max="9" width="25.453125" style="205" customWidth="1"/>
    <col min="10" max="16384" width="9.453125" style="205"/>
  </cols>
  <sheetData>
    <row r="1" spans="2:9" ht="20.25" customHeight="1" x14ac:dyDescent="0.4">
      <c r="B1" s="135" t="s">
        <v>302</v>
      </c>
      <c r="C1" s="135"/>
      <c r="D1" s="204"/>
      <c r="E1" s="204"/>
      <c r="F1" s="204"/>
      <c r="G1" s="204"/>
    </row>
    <row r="2" spans="2:9" ht="20.25" customHeight="1" x14ac:dyDescent="0.4">
      <c r="B2" s="135" t="str">
        <f>IF(Tradingname=0," ",Tradingname)</f>
        <v>APA Pipelines Investments (BWP) Pty Limited</v>
      </c>
      <c r="C2" s="135"/>
      <c r="D2" s="206"/>
    </row>
    <row r="3" spans="2:9" ht="20.25" customHeight="1" x14ac:dyDescent="0.4">
      <c r="B3" s="135" t="s">
        <v>109</v>
      </c>
      <c r="C3" s="99">
        <f>IF(Yearending=0, "01/01/2000", Yearending)</f>
        <v>45838</v>
      </c>
    </row>
    <row r="4" spans="2:9" ht="20" x14ac:dyDescent="0.25">
      <c r="B4" s="91" t="s">
        <v>69</v>
      </c>
      <c r="C4" s="91"/>
    </row>
    <row r="6" spans="2:9" x14ac:dyDescent="0.25">
      <c r="B6" s="401" t="s">
        <v>446</v>
      </c>
      <c r="C6" s="401"/>
      <c r="D6" s="401"/>
    </row>
    <row r="7" spans="2:9" ht="15.75" customHeight="1" x14ac:dyDescent="0.25">
      <c r="B7" s="401"/>
      <c r="C7" s="401"/>
      <c r="D7" s="401"/>
    </row>
    <row r="8" spans="2:9" ht="15.75" customHeight="1" x14ac:dyDescent="0.25">
      <c r="B8" s="401"/>
      <c r="C8" s="401"/>
      <c r="D8" s="401"/>
    </row>
    <row r="11" spans="2:9" ht="15.5" x14ac:dyDescent="0.35">
      <c r="B11" s="207" t="s">
        <v>434</v>
      </c>
      <c r="C11" s="208"/>
      <c r="D11" s="208"/>
      <c r="E11" s="208"/>
      <c r="F11" s="211"/>
      <c r="G11" s="208"/>
    </row>
    <row r="12" spans="2:9" ht="15.5" x14ac:dyDescent="0.35">
      <c r="B12" s="207"/>
      <c r="C12" s="208"/>
      <c r="D12" s="208"/>
      <c r="E12" s="208"/>
      <c r="F12" s="211"/>
      <c r="G12" s="208"/>
    </row>
    <row r="13" spans="2:9" ht="26" x14ac:dyDescent="0.25">
      <c r="B13" s="37" t="s">
        <v>307</v>
      </c>
      <c r="C13" s="37" t="s">
        <v>104</v>
      </c>
      <c r="D13" s="37" t="s">
        <v>105</v>
      </c>
      <c r="E13" s="49" t="s">
        <v>106</v>
      </c>
      <c r="F13" s="49" t="s">
        <v>47</v>
      </c>
      <c r="G13" s="49" t="s">
        <v>84</v>
      </c>
    </row>
    <row r="14" spans="2:9" ht="13" x14ac:dyDescent="0.3">
      <c r="B14" s="39"/>
      <c r="C14" s="39"/>
      <c r="D14" s="42"/>
      <c r="E14" s="53" t="s">
        <v>110</v>
      </c>
      <c r="F14" s="53"/>
      <c r="G14" s="53" t="s">
        <v>110</v>
      </c>
    </row>
    <row r="15" spans="2:9" x14ac:dyDescent="0.25">
      <c r="B15" s="318" t="s">
        <v>512</v>
      </c>
      <c r="C15" s="70" t="s">
        <v>495</v>
      </c>
      <c r="D15" s="70" t="s">
        <v>153</v>
      </c>
      <c r="E15" s="71">
        <v>501746970.59000003</v>
      </c>
      <c r="F15" s="72">
        <v>1.0961883308751912E-2</v>
      </c>
      <c r="G15" s="10">
        <f>E15*F15</f>
        <v>5500091.742127358</v>
      </c>
      <c r="H15" s="273"/>
    </row>
    <row r="16" spans="2:9" ht="13" x14ac:dyDescent="0.3">
      <c r="B16" s="324" t="s">
        <v>512</v>
      </c>
      <c r="C16" s="70" t="s">
        <v>145</v>
      </c>
      <c r="D16" s="70" t="s">
        <v>145</v>
      </c>
      <c r="E16" s="71">
        <v>86146034.939643428</v>
      </c>
      <c r="F16" s="72">
        <v>1.2023397318480147E-2</v>
      </c>
      <c r="G16" s="10">
        <f t="shared" ref="G16:G45" si="0">E16*F16</f>
        <v>1035768.0054910058</v>
      </c>
      <c r="H16" s="276"/>
      <c r="I16" s="276"/>
    </row>
    <row r="17" spans="2:9" x14ac:dyDescent="0.25">
      <c r="B17" s="288"/>
      <c r="C17" s="70"/>
      <c r="D17" s="70"/>
      <c r="E17" s="71"/>
      <c r="F17" s="72"/>
      <c r="G17" s="10">
        <f t="shared" si="0"/>
        <v>0</v>
      </c>
      <c r="H17" s="277"/>
      <c r="I17" s="277"/>
    </row>
    <row r="18" spans="2:9" x14ac:dyDescent="0.25">
      <c r="B18" s="288"/>
      <c r="C18" s="70"/>
      <c r="D18" s="70"/>
      <c r="E18" s="71"/>
      <c r="F18" s="72"/>
      <c r="G18" s="10">
        <f t="shared" si="0"/>
        <v>0</v>
      </c>
      <c r="H18" s="277"/>
      <c r="I18" s="277"/>
    </row>
    <row r="19" spans="2:9" ht="13" x14ac:dyDescent="0.3">
      <c r="B19" s="288"/>
      <c r="C19" s="70"/>
      <c r="D19" s="70"/>
      <c r="E19" s="71"/>
      <c r="F19" s="72"/>
      <c r="G19" s="10">
        <f t="shared" si="0"/>
        <v>0</v>
      </c>
      <c r="H19" s="276"/>
      <c r="I19" s="276"/>
    </row>
    <row r="20" spans="2:9" x14ac:dyDescent="0.25">
      <c r="B20" s="288"/>
      <c r="C20" s="70"/>
      <c r="D20" s="70"/>
      <c r="E20" s="71"/>
      <c r="F20" s="72"/>
      <c r="G20" s="10">
        <f t="shared" si="0"/>
        <v>0</v>
      </c>
      <c r="H20" s="277"/>
      <c r="I20" s="277"/>
    </row>
    <row r="21" spans="2:9" x14ac:dyDescent="0.25">
      <c r="B21" s="288"/>
      <c r="C21" s="70"/>
      <c r="D21" s="70"/>
      <c r="E21" s="71"/>
      <c r="F21" s="72"/>
      <c r="G21" s="10">
        <f t="shared" si="0"/>
        <v>0</v>
      </c>
    </row>
    <row r="22" spans="2:9" x14ac:dyDescent="0.25">
      <c r="B22" s="288"/>
      <c r="C22" s="70"/>
      <c r="D22" s="70"/>
      <c r="E22" s="71"/>
      <c r="F22" s="72"/>
      <c r="G22" s="10">
        <f t="shared" si="0"/>
        <v>0</v>
      </c>
    </row>
    <row r="23" spans="2:9" x14ac:dyDescent="0.25">
      <c r="B23" s="288"/>
      <c r="C23" s="70"/>
      <c r="D23" s="70"/>
      <c r="E23" s="71"/>
      <c r="F23" s="72"/>
      <c r="G23" s="10">
        <f t="shared" si="0"/>
        <v>0</v>
      </c>
    </row>
    <row r="24" spans="2:9" x14ac:dyDescent="0.25">
      <c r="B24" s="288"/>
      <c r="C24" s="70"/>
      <c r="D24" s="70"/>
      <c r="E24" s="71"/>
      <c r="F24" s="72"/>
      <c r="G24" s="10">
        <f t="shared" si="0"/>
        <v>0</v>
      </c>
    </row>
    <row r="25" spans="2:9" x14ac:dyDescent="0.25">
      <c r="B25" s="288"/>
      <c r="C25" s="70"/>
      <c r="D25" s="70"/>
      <c r="E25" s="71"/>
      <c r="F25" s="72"/>
      <c r="G25" s="10">
        <f t="shared" si="0"/>
        <v>0</v>
      </c>
    </row>
    <row r="26" spans="2:9" x14ac:dyDescent="0.25">
      <c r="B26" s="288"/>
      <c r="C26" s="70"/>
      <c r="D26" s="70"/>
      <c r="E26" s="71"/>
      <c r="F26" s="72"/>
      <c r="G26" s="10">
        <f t="shared" si="0"/>
        <v>0</v>
      </c>
    </row>
    <row r="27" spans="2:9" x14ac:dyDescent="0.25">
      <c r="B27" s="288"/>
      <c r="C27" s="70"/>
      <c r="D27" s="70"/>
      <c r="E27" s="71"/>
      <c r="F27" s="72"/>
      <c r="G27" s="10">
        <f t="shared" si="0"/>
        <v>0</v>
      </c>
    </row>
    <row r="28" spans="2:9" x14ac:dyDescent="0.25">
      <c r="B28" s="288"/>
      <c r="C28" s="70"/>
      <c r="D28" s="70"/>
      <c r="E28" s="71"/>
      <c r="F28" s="72"/>
      <c r="G28" s="10">
        <f t="shared" si="0"/>
        <v>0</v>
      </c>
    </row>
    <row r="29" spans="2:9" x14ac:dyDescent="0.25">
      <c r="B29" s="288"/>
      <c r="C29" s="70"/>
      <c r="D29" s="70"/>
      <c r="E29" s="71"/>
      <c r="F29" s="72"/>
      <c r="G29" s="10">
        <f t="shared" si="0"/>
        <v>0</v>
      </c>
    </row>
    <row r="30" spans="2:9" x14ac:dyDescent="0.25">
      <c r="B30" s="288"/>
      <c r="C30" s="70"/>
      <c r="D30" s="70"/>
      <c r="E30" s="71"/>
      <c r="F30" s="72"/>
      <c r="G30" s="10">
        <f t="shared" si="0"/>
        <v>0</v>
      </c>
    </row>
    <row r="31" spans="2:9" x14ac:dyDescent="0.25">
      <c r="B31" s="288"/>
      <c r="C31" s="70"/>
      <c r="D31" s="70"/>
      <c r="E31" s="71"/>
      <c r="F31" s="72"/>
      <c r="G31" s="10">
        <f t="shared" si="0"/>
        <v>0</v>
      </c>
    </row>
    <row r="32" spans="2:9" x14ac:dyDescent="0.25">
      <c r="B32" s="288"/>
      <c r="C32" s="70"/>
      <c r="D32" s="70"/>
      <c r="E32" s="71"/>
      <c r="F32" s="72"/>
      <c r="G32" s="10">
        <f t="shared" si="0"/>
        <v>0</v>
      </c>
    </row>
    <row r="33" spans="2:9" x14ac:dyDescent="0.25">
      <c r="B33" s="288"/>
      <c r="C33" s="70"/>
      <c r="D33" s="70"/>
      <c r="E33" s="71"/>
      <c r="F33" s="72"/>
      <c r="G33" s="10">
        <f t="shared" si="0"/>
        <v>0</v>
      </c>
    </row>
    <row r="34" spans="2:9" x14ac:dyDescent="0.25">
      <c r="B34" s="288"/>
      <c r="C34" s="70"/>
      <c r="D34" s="70"/>
      <c r="E34" s="71"/>
      <c r="F34" s="72"/>
      <c r="G34" s="10">
        <f t="shared" si="0"/>
        <v>0</v>
      </c>
    </row>
    <row r="35" spans="2:9" x14ac:dyDescent="0.25">
      <c r="B35" s="288"/>
      <c r="C35" s="70"/>
      <c r="D35" s="70"/>
      <c r="E35" s="71"/>
      <c r="F35" s="72"/>
      <c r="G35" s="10">
        <f t="shared" si="0"/>
        <v>0</v>
      </c>
      <c r="I35" s="278"/>
    </row>
    <row r="36" spans="2:9" x14ac:dyDescent="0.25">
      <c r="B36" s="288"/>
      <c r="C36" s="70"/>
      <c r="D36" s="70"/>
      <c r="E36" s="71"/>
      <c r="F36" s="72"/>
      <c r="G36" s="10">
        <f t="shared" si="0"/>
        <v>0</v>
      </c>
      <c r="I36" s="278"/>
    </row>
    <row r="37" spans="2:9" x14ac:dyDescent="0.25">
      <c r="B37" s="288"/>
      <c r="C37" s="70"/>
      <c r="D37" s="70"/>
      <c r="E37" s="71"/>
      <c r="F37" s="72"/>
      <c r="G37" s="10">
        <f t="shared" si="0"/>
        <v>0</v>
      </c>
      <c r="H37" s="278"/>
      <c r="I37" s="278"/>
    </row>
    <row r="38" spans="2:9" x14ac:dyDescent="0.25">
      <c r="B38" s="288"/>
      <c r="C38" s="70"/>
      <c r="D38" s="70"/>
      <c r="E38" s="71"/>
      <c r="F38" s="72"/>
      <c r="G38" s="10">
        <f t="shared" si="0"/>
        <v>0</v>
      </c>
      <c r="H38" s="278"/>
      <c r="I38" s="278"/>
    </row>
    <row r="39" spans="2:9" x14ac:dyDescent="0.25">
      <c r="B39" s="288"/>
      <c r="C39" s="70"/>
      <c r="D39" s="70"/>
      <c r="E39" s="71"/>
      <c r="F39" s="72"/>
      <c r="G39" s="10">
        <f t="shared" si="0"/>
        <v>0</v>
      </c>
      <c r="H39" s="278"/>
      <c r="I39" s="278"/>
    </row>
    <row r="40" spans="2:9" x14ac:dyDescent="0.25">
      <c r="B40" s="288"/>
      <c r="C40" s="70"/>
      <c r="D40" s="70"/>
      <c r="E40" s="71"/>
      <c r="F40" s="72"/>
      <c r="G40" s="10">
        <f t="shared" si="0"/>
        <v>0</v>
      </c>
      <c r="H40" s="278"/>
      <c r="I40" s="278"/>
    </row>
    <row r="41" spans="2:9" x14ac:dyDescent="0.25">
      <c r="B41" s="288"/>
      <c r="C41" s="70"/>
      <c r="D41" s="70"/>
      <c r="E41" s="71"/>
      <c r="F41" s="72"/>
      <c r="G41" s="10">
        <f t="shared" si="0"/>
        <v>0</v>
      </c>
      <c r="H41" s="278"/>
    </row>
    <row r="42" spans="2:9" x14ac:dyDescent="0.25">
      <c r="B42" s="288"/>
      <c r="C42" s="70"/>
      <c r="D42" s="70"/>
      <c r="E42" s="71"/>
      <c r="F42" s="72"/>
      <c r="G42" s="10">
        <f t="shared" si="0"/>
        <v>0</v>
      </c>
      <c r="H42" s="278"/>
    </row>
    <row r="43" spans="2:9" x14ac:dyDescent="0.25">
      <c r="B43" s="288"/>
      <c r="C43" s="70"/>
      <c r="D43" s="70"/>
      <c r="E43" s="71"/>
      <c r="F43" s="72"/>
      <c r="G43" s="10">
        <f t="shared" si="0"/>
        <v>0</v>
      </c>
    </row>
    <row r="44" spans="2:9" x14ac:dyDescent="0.25">
      <c r="B44" s="288"/>
      <c r="C44" s="70"/>
      <c r="D44" s="70"/>
      <c r="E44" s="71"/>
      <c r="F44" s="72"/>
      <c r="G44" s="10">
        <f t="shared" si="0"/>
        <v>0</v>
      </c>
    </row>
    <row r="45" spans="2:9" x14ac:dyDescent="0.25">
      <c r="B45" s="288"/>
      <c r="C45" s="70"/>
      <c r="D45" s="70"/>
      <c r="E45" s="71"/>
      <c r="F45" s="72"/>
      <c r="G45" s="10">
        <f t="shared" si="0"/>
        <v>0</v>
      </c>
    </row>
    <row r="46" spans="2:9" x14ac:dyDescent="0.25">
      <c r="B46" s="288"/>
      <c r="C46" s="70"/>
      <c r="D46" s="70"/>
      <c r="E46" s="71"/>
      <c r="F46" s="72"/>
      <c r="G46" s="10">
        <f>E46*F46</f>
        <v>0</v>
      </c>
    </row>
    <row r="47" spans="2:9" ht="13" x14ac:dyDescent="0.3">
      <c r="B47" s="279" t="s">
        <v>18</v>
      </c>
      <c r="C47" s="408"/>
      <c r="D47" s="409"/>
      <c r="E47" s="10">
        <f>SUM(E15:E46)</f>
        <v>587893005.52964342</v>
      </c>
      <c r="F47" s="12"/>
      <c r="G47" s="10">
        <f>SUM(G15:G46)</f>
        <v>6535859.7476183642</v>
      </c>
    </row>
  </sheetData>
  <sheetProtection sheet="1" insertRows="0" deleteRows="0"/>
  <mergeCells count="2">
    <mergeCell ref="C47:D47"/>
    <mergeCell ref="B6:D8"/>
  </mergeCells>
  <dataValidations disablePrompts="1" count="1">
    <dataValidation type="list" allowBlank="1" showInputMessage="1" showErrorMessage="1" sqref="D15:D46" xr:uid="{8E36EDEE-AA80-42A8-83D6-1D0F97360410}">
      <formula1>rSharedAssets</formula1>
    </dataValidation>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83D74-5775-4EDC-B3BC-31B6DA128F7F}">
  <sheetPr>
    <tabColor theme="9" tint="0.79998168889431442"/>
  </sheetPr>
  <dimension ref="A1"/>
  <sheetViews>
    <sheetView showGridLines="0" workbookViewId="0"/>
  </sheetViews>
  <sheetFormatPr defaultRowHeight="12.5" x14ac:dyDescent="0.25"/>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8F649-ED1C-4B3F-91BF-E8EF342FFB3B}">
  <sheetPr codeName="Sheet16">
    <tabColor rgb="FF17415D"/>
  </sheetPr>
  <dimension ref="B1:BJ50"/>
  <sheetViews>
    <sheetView showGridLines="0" zoomScaleNormal="100" workbookViewId="0"/>
  </sheetViews>
  <sheetFormatPr defaultColWidth="8.54296875" defaultRowHeight="12.5" x14ac:dyDescent="0.25"/>
  <cols>
    <col min="1" max="1" width="11.453125" customWidth="1"/>
    <col min="2" max="2" width="22.453125" customWidth="1"/>
    <col min="3" max="3" width="47.54296875" customWidth="1"/>
    <col min="4" max="4" width="50.54296875" customWidth="1"/>
    <col min="5" max="5" width="23.54296875" customWidth="1"/>
    <col min="6" max="9" width="11.1796875" bestFit="1" customWidth="1"/>
    <col min="10" max="12" width="12.1796875" bestFit="1" customWidth="1"/>
    <col min="13" max="13" width="11.81640625" bestFit="1" customWidth="1"/>
    <col min="14" max="22" width="11.1796875" bestFit="1" customWidth="1"/>
    <col min="29" max="29" width="9.453125" customWidth="1"/>
    <col min="46" max="46" width="9.453125" customWidth="1"/>
    <col min="61" max="61" width="13.54296875" customWidth="1"/>
  </cols>
  <sheetData>
    <row r="1" spans="2:61" ht="20.25" customHeight="1" x14ac:dyDescent="0.25">
      <c r="B1" s="135" t="s">
        <v>302</v>
      </c>
      <c r="C1" s="135"/>
    </row>
    <row r="2" spans="2:61" ht="20" x14ac:dyDescent="0.25">
      <c r="B2" s="135" t="str">
        <f>IF(Tradingname=0," ",Tradingname)</f>
        <v>APA Pipelines Investments (BWP) Pty Limited</v>
      </c>
      <c r="C2" s="135"/>
    </row>
    <row r="3" spans="2:61" ht="19.5" customHeight="1" x14ac:dyDescent="0.4">
      <c r="B3" s="135" t="s">
        <v>109</v>
      </c>
      <c r="C3" s="99">
        <f>IF(Yearending=0, "01/01/2000", Yearending)</f>
        <v>45838</v>
      </c>
    </row>
    <row r="4" spans="2:61" ht="20" x14ac:dyDescent="0.25">
      <c r="B4" s="91" t="s">
        <v>303</v>
      </c>
      <c r="C4" s="91"/>
    </row>
    <row r="6" spans="2:61" ht="15.75" customHeight="1" x14ac:dyDescent="0.25">
      <c r="B6" s="401" t="s">
        <v>467</v>
      </c>
      <c r="C6" s="401"/>
      <c r="D6" s="401"/>
    </row>
    <row r="7" spans="2:61" ht="15.75" customHeight="1" x14ac:dyDescent="0.25">
      <c r="B7" s="401"/>
      <c r="C7" s="401"/>
      <c r="D7" s="401"/>
    </row>
    <row r="9" spans="2:61" ht="15.5" x14ac:dyDescent="0.35">
      <c r="B9" s="197" t="s">
        <v>436</v>
      </c>
    </row>
    <row r="11" spans="2:61" ht="45" customHeight="1" x14ac:dyDescent="0.25">
      <c r="B11" s="50" t="s">
        <v>307</v>
      </c>
      <c r="C11" s="412" t="s">
        <v>59</v>
      </c>
      <c r="D11" s="413"/>
      <c r="E11" s="221" t="s">
        <v>18</v>
      </c>
      <c r="F11" s="410" t="s">
        <v>58</v>
      </c>
      <c r="G11" s="411"/>
      <c r="H11" s="411"/>
      <c r="I11" s="411"/>
      <c r="J11" s="411"/>
      <c r="K11" s="411"/>
      <c r="L11" s="411"/>
      <c r="M11" s="411"/>
      <c r="N11" s="411"/>
      <c r="O11" s="411"/>
      <c r="P11" s="411"/>
      <c r="Q11" s="411"/>
      <c r="R11" s="411"/>
      <c r="S11" s="411"/>
      <c r="T11" s="411"/>
      <c r="U11" s="411"/>
      <c r="V11" s="411"/>
      <c r="W11" s="411"/>
      <c r="X11" s="411"/>
      <c r="Y11" s="411"/>
      <c r="Z11" s="411"/>
      <c r="AA11" s="411"/>
      <c r="AB11" s="411"/>
      <c r="AC11" s="411"/>
      <c r="AD11" s="411"/>
      <c r="AE11" s="411"/>
      <c r="AF11" s="411"/>
      <c r="AG11" s="411"/>
      <c r="AH11" s="411"/>
      <c r="AI11" s="411"/>
      <c r="AJ11" s="411"/>
      <c r="AK11" s="411"/>
      <c r="AL11" s="411"/>
      <c r="AM11" s="411"/>
      <c r="AN11" s="411"/>
      <c r="AO11" s="411"/>
      <c r="AP11" s="411"/>
      <c r="AQ11" s="411"/>
      <c r="AR11" s="411"/>
      <c r="AS11" s="411"/>
      <c r="AT11" s="411"/>
      <c r="AU11" s="411"/>
      <c r="AV11" s="411"/>
      <c r="AW11" s="411"/>
      <c r="AX11" s="411"/>
      <c r="AY11" s="411"/>
      <c r="AZ11" s="411"/>
      <c r="BA11" s="411"/>
      <c r="BB11" s="411"/>
      <c r="BC11" s="411"/>
      <c r="BD11" s="411"/>
      <c r="BE11" s="411"/>
      <c r="BF11" s="411"/>
      <c r="BG11" s="411"/>
      <c r="BH11" s="411"/>
      <c r="BI11" s="222" t="s">
        <v>119</v>
      </c>
    </row>
    <row r="12" spans="2:61" x14ac:dyDescent="0.25">
      <c r="B12" s="296"/>
      <c r="C12" s="53"/>
      <c r="D12" s="53"/>
      <c r="E12" s="53"/>
      <c r="F12" s="55" t="str">
        <f>RIGHT(TEXT(C43,"dd/mm/yyyy"),4)</f>
        <v>2009</v>
      </c>
      <c r="G12" s="56">
        <f>F12+1</f>
        <v>2010</v>
      </c>
      <c r="H12" s="56">
        <f t="shared" ref="H12:BG12" si="0">G12+1</f>
        <v>2011</v>
      </c>
      <c r="I12" s="56">
        <f t="shared" si="0"/>
        <v>2012</v>
      </c>
      <c r="J12" s="56">
        <f t="shared" si="0"/>
        <v>2013</v>
      </c>
      <c r="K12" s="56">
        <f t="shared" si="0"/>
        <v>2014</v>
      </c>
      <c r="L12" s="56">
        <f t="shared" si="0"/>
        <v>2015</v>
      </c>
      <c r="M12" s="56">
        <f t="shared" si="0"/>
        <v>2016</v>
      </c>
      <c r="N12" s="56">
        <f t="shared" si="0"/>
        <v>2017</v>
      </c>
      <c r="O12" s="56">
        <f t="shared" si="0"/>
        <v>2018</v>
      </c>
      <c r="P12" s="56">
        <f t="shared" si="0"/>
        <v>2019</v>
      </c>
      <c r="Q12" s="56">
        <f t="shared" si="0"/>
        <v>2020</v>
      </c>
      <c r="R12" s="56">
        <f t="shared" si="0"/>
        <v>2021</v>
      </c>
      <c r="S12" s="56">
        <f t="shared" si="0"/>
        <v>2022</v>
      </c>
      <c r="T12" s="56">
        <f t="shared" si="0"/>
        <v>2023</v>
      </c>
      <c r="U12" s="56">
        <f t="shared" si="0"/>
        <v>2024</v>
      </c>
      <c r="V12" s="56">
        <f t="shared" si="0"/>
        <v>2025</v>
      </c>
      <c r="W12" s="56">
        <f t="shared" si="0"/>
        <v>2026</v>
      </c>
      <c r="X12" s="56">
        <f t="shared" si="0"/>
        <v>2027</v>
      </c>
      <c r="Y12" s="56">
        <f t="shared" si="0"/>
        <v>2028</v>
      </c>
      <c r="Z12" s="56">
        <f t="shared" si="0"/>
        <v>2029</v>
      </c>
      <c r="AA12" s="56">
        <f t="shared" si="0"/>
        <v>2030</v>
      </c>
      <c r="AB12" s="56">
        <f t="shared" si="0"/>
        <v>2031</v>
      </c>
      <c r="AC12" s="56">
        <f t="shared" si="0"/>
        <v>2032</v>
      </c>
      <c r="AD12" s="56">
        <f t="shared" si="0"/>
        <v>2033</v>
      </c>
      <c r="AE12" s="56">
        <f t="shared" si="0"/>
        <v>2034</v>
      </c>
      <c r="AF12" s="56">
        <f t="shared" si="0"/>
        <v>2035</v>
      </c>
      <c r="AG12" s="56">
        <f t="shared" si="0"/>
        <v>2036</v>
      </c>
      <c r="AH12" s="56">
        <f t="shared" si="0"/>
        <v>2037</v>
      </c>
      <c r="AI12" s="56">
        <f t="shared" si="0"/>
        <v>2038</v>
      </c>
      <c r="AJ12" s="56">
        <f t="shared" si="0"/>
        <v>2039</v>
      </c>
      <c r="AK12" s="56">
        <f t="shared" si="0"/>
        <v>2040</v>
      </c>
      <c r="AL12" s="56">
        <f t="shared" si="0"/>
        <v>2041</v>
      </c>
      <c r="AM12" s="56">
        <f t="shared" si="0"/>
        <v>2042</v>
      </c>
      <c r="AN12" s="56">
        <f t="shared" si="0"/>
        <v>2043</v>
      </c>
      <c r="AO12" s="56">
        <f t="shared" si="0"/>
        <v>2044</v>
      </c>
      <c r="AP12" s="56">
        <f t="shared" si="0"/>
        <v>2045</v>
      </c>
      <c r="AQ12" s="56">
        <f t="shared" si="0"/>
        <v>2046</v>
      </c>
      <c r="AR12" s="56">
        <f t="shared" si="0"/>
        <v>2047</v>
      </c>
      <c r="AS12" s="56">
        <f t="shared" si="0"/>
        <v>2048</v>
      </c>
      <c r="AT12" s="56">
        <f t="shared" si="0"/>
        <v>2049</v>
      </c>
      <c r="AU12" s="56">
        <f t="shared" si="0"/>
        <v>2050</v>
      </c>
      <c r="AV12" s="56">
        <f t="shared" si="0"/>
        <v>2051</v>
      </c>
      <c r="AW12" s="56">
        <f t="shared" si="0"/>
        <v>2052</v>
      </c>
      <c r="AX12" s="56">
        <f t="shared" si="0"/>
        <v>2053</v>
      </c>
      <c r="AY12" s="56">
        <f t="shared" si="0"/>
        <v>2054</v>
      </c>
      <c r="AZ12" s="56">
        <f t="shared" si="0"/>
        <v>2055</v>
      </c>
      <c r="BA12" s="56">
        <f t="shared" si="0"/>
        <v>2056</v>
      </c>
      <c r="BB12" s="56">
        <f t="shared" si="0"/>
        <v>2057</v>
      </c>
      <c r="BC12" s="56">
        <f t="shared" si="0"/>
        <v>2058</v>
      </c>
      <c r="BD12" s="56">
        <f t="shared" si="0"/>
        <v>2059</v>
      </c>
      <c r="BE12" s="56">
        <f t="shared" si="0"/>
        <v>2060</v>
      </c>
      <c r="BF12" s="56">
        <f t="shared" si="0"/>
        <v>2061</v>
      </c>
      <c r="BG12" s="56">
        <f t="shared" si="0"/>
        <v>2062</v>
      </c>
      <c r="BH12" s="56">
        <f>BG12+1</f>
        <v>2063</v>
      </c>
    </row>
    <row r="13" spans="2:61" ht="13" x14ac:dyDescent="0.25">
      <c r="B13" s="321" t="s">
        <v>513</v>
      </c>
      <c r="C13" s="57" t="s">
        <v>46</v>
      </c>
      <c r="D13" s="58"/>
      <c r="E13" s="10"/>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row>
    <row r="14" spans="2:61" ht="13" x14ac:dyDescent="0.25">
      <c r="B14" s="297"/>
      <c r="C14" s="57"/>
      <c r="D14" s="58" t="s">
        <v>51</v>
      </c>
      <c r="E14" s="10">
        <f t="shared" ref="E14:E20" si="1">SUM(F14:BH14)</f>
        <v>83155104.297044858</v>
      </c>
      <c r="F14" s="66">
        <v>83155104.297044858</v>
      </c>
      <c r="G14" s="66">
        <v>0</v>
      </c>
      <c r="H14" s="66">
        <v>0</v>
      </c>
      <c r="I14" s="66">
        <v>0</v>
      </c>
      <c r="J14" s="66">
        <v>0</v>
      </c>
      <c r="K14" s="66">
        <v>0</v>
      </c>
      <c r="L14" s="66">
        <v>0</v>
      </c>
      <c r="M14" s="66">
        <v>0</v>
      </c>
      <c r="N14" s="66">
        <v>0</v>
      </c>
      <c r="O14" s="66">
        <v>0</v>
      </c>
      <c r="P14" s="66">
        <v>0</v>
      </c>
      <c r="Q14" s="66">
        <v>0</v>
      </c>
      <c r="R14" s="66">
        <v>0</v>
      </c>
      <c r="S14" s="66">
        <v>0</v>
      </c>
      <c r="T14" s="66">
        <v>0</v>
      </c>
      <c r="U14" s="66">
        <v>0</v>
      </c>
      <c r="V14" s="66">
        <v>0</v>
      </c>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row>
    <row r="15" spans="2:61" ht="13" x14ac:dyDescent="0.25">
      <c r="B15" s="297"/>
      <c r="C15" s="57"/>
      <c r="D15" s="58" t="s">
        <v>455</v>
      </c>
      <c r="E15" s="10">
        <f t="shared" si="1"/>
        <v>2558487.2235307656</v>
      </c>
      <c r="F15" s="66">
        <v>321949.89561586641</v>
      </c>
      <c r="G15" s="66">
        <v>10050.104384133592</v>
      </c>
      <c r="H15" s="66">
        <v>8299.9999999999418</v>
      </c>
      <c r="I15" s="66">
        <v>8507.5000000000582</v>
      </c>
      <c r="J15" s="66">
        <v>8720.1874999999418</v>
      </c>
      <c r="K15" s="66">
        <v>8938.1921874999534</v>
      </c>
      <c r="L15" s="66">
        <v>9161.6469921874814</v>
      </c>
      <c r="M15" s="66">
        <v>9390.6881669921568</v>
      </c>
      <c r="N15" s="66">
        <v>9625.4553711669869</v>
      </c>
      <c r="O15" s="66">
        <v>9866.091755446163</v>
      </c>
      <c r="P15" s="66">
        <v>10112.744049332221</v>
      </c>
      <c r="Q15" s="66">
        <v>10365.56265056564</v>
      </c>
      <c r="R15" s="66">
        <v>10624.70171682979</v>
      </c>
      <c r="S15" s="66">
        <v>26767.451379184728</v>
      </c>
      <c r="T15" s="66">
        <v>27867.483627644426</v>
      </c>
      <c r="U15" s="66">
        <v>2015878.1000094337</v>
      </c>
      <c r="V15" s="66">
        <v>52361.418124482501</v>
      </c>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row>
    <row r="16" spans="2:61" ht="13" x14ac:dyDescent="0.25">
      <c r="B16" s="297"/>
      <c r="C16" s="57"/>
      <c r="D16" s="58" t="s">
        <v>52</v>
      </c>
      <c r="E16" s="10">
        <f t="shared" si="1"/>
        <v>4807461.4484845446</v>
      </c>
      <c r="F16" s="66">
        <v>0</v>
      </c>
      <c r="G16" s="66">
        <v>102355.02886585217</v>
      </c>
      <c r="H16" s="66">
        <v>0</v>
      </c>
      <c r="I16" s="66">
        <v>3997199.4627947751</v>
      </c>
      <c r="J16" s="66">
        <v>3830.0590035548439</v>
      </c>
      <c r="K16" s="66">
        <v>18612.404158488167</v>
      </c>
      <c r="L16" s="66">
        <v>2599.7978463461945</v>
      </c>
      <c r="M16" s="66">
        <v>77875.814230805452</v>
      </c>
      <c r="N16" s="66">
        <v>277187.65324408445</v>
      </c>
      <c r="O16" s="66">
        <v>103875.88440283433</v>
      </c>
      <c r="P16" s="66">
        <v>74474.412799360551</v>
      </c>
      <c r="Q16" s="66">
        <v>149115.11762128302</v>
      </c>
      <c r="R16" s="66">
        <v>0</v>
      </c>
      <c r="S16" s="66">
        <v>0</v>
      </c>
      <c r="T16" s="66">
        <v>335.81351716029616</v>
      </c>
      <c r="U16" s="66">
        <v>0</v>
      </c>
      <c r="V16" s="66">
        <v>0</v>
      </c>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row>
    <row r="17" spans="2:62" ht="13" x14ac:dyDescent="0.25">
      <c r="B17" s="297"/>
      <c r="C17" s="57"/>
      <c r="D17" s="58" t="s">
        <v>72</v>
      </c>
      <c r="E17" s="10">
        <f t="shared" si="1"/>
        <v>463991.3009618065</v>
      </c>
      <c r="F17" s="66">
        <v>0</v>
      </c>
      <c r="G17" s="66">
        <v>0</v>
      </c>
      <c r="H17" s="66">
        <v>0</v>
      </c>
      <c r="I17" s="66">
        <v>0</v>
      </c>
      <c r="J17" s="66">
        <v>0</v>
      </c>
      <c r="K17" s="66">
        <v>0</v>
      </c>
      <c r="L17" s="66">
        <v>0</v>
      </c>
      <c r="M17" s="66">
        <v>0</v>
      </c>
      <c r="N17" s="66">
        <v>0</v>
      </c>
      <c r="O17" s="66">
        <v>0</v>
      </c>
      <c r="P17" s="66">
        <v>0</v>
      </c>
      <c r="Q17" s="66">
        <v>463991.3009618065</v>
      </c>
      <c r="R17" s="66">
        <v>0</v>
      </c>
      <c r="S17" s="66">
        <v>0</v>
      </c>
      <c r="T17" s="66">
        <v>0</v>
      </c>
      <c r="U17" s="66">
        <v>0</v>
      </c>
      <c r="V17" s="66">
        <v>0</v>
      </c>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row>
    <row r="18" spans="2:62" ht="13" x14ac:dyDescent="0.25">
      <c r="B18" s="297"/>
      <c r="C18" s="57"/>
      <c r="D18" s="58" t="s">
        <v>57</v>
      </c>
      <c r="E18" s="10">
        <f t="shared" si="1"/>
        <v>-316.0275337272912</v>
      </c>
      <c r="F18" s="66">
        <v>0</v>
      </c>
      <c r="G18" s="66">
        <v>0</v>
      </c>
      <c r="H18" s="66">
        <v>0</v>
      </c>
      <c r="I18" s="66">
        <v>0</v>
      </c>
      <c r="J18" s="66">
        <v>0</v>
      </c>
      <c r="K18" s="66">
        <v>0</v>
      </c>
      <c r="L18" s="66">
        <v>0</v>
      </c>
      <c r="M18" s="66">
        <v>0</v>
      </c>
      <c r="N18" s="66">
        <v>0</v>
      </c>
      <c r="O18" s="66">
        <v>0</v>
      </c>
      <c r="P18" s="66">
        <v>0</v>
      </c>
      <c r="Q18" s="66">
        <v>0</v>
      </c>
      <c r="R18" s="66">
        <v>0</v>
      </c>
      <c r="S18" s="66">
        <v>0</v>
      </c>
      <c r="T18" s="66">
        <v>0</v>
      </c>
      <c r="U18" s="66">
        <v>-316.0275337272912</v>
      </c>
      <c r="V18" s="66">
        <v>0</v>
      </c>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row>
    <row r="19" spans="2:62" ht="13" x14ac:dyDescent="0.25">
      <c r="B19" s="297"/>
      <c r="C19" s="57"/>
      <c r="D19" s="58" t="s">
        <v>146</v>
      </c>
      <c r="E19" s="10">
        <f t="shared" si="1"/>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66">
        <v>0</v>
      </c>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row>
    <row r="20" spans="2:62" ht="13" x14ac:dyDescent="0.3">
      <c r="B20" s="297"/>
      <c r="C20" s="57"/>
      <c r="D20" s="212" t="s">
        <v>168</v>
      </c>
      <c r="E20" s="10">
        <f t="shared" si="1"/>
        <v>90984728.242488235</v>
      </c>
      <c r="F20" s="11">
        <f t="shared" ref="F20:AK20" si="2">SUM(F13:F19)</f>
        <v>83477054.192660719</v>
      </c>
      <c r="G20" s="11">
        <f t="shared" si="2"/>
        <v>112405.13324998577</v>
      </c>
      <c r="H20" s="11">
        <f t="shared" si="2"/>
        <v>8299.9999999999418</v>
      </c>
      <c r="I20" s="11">
        <f t="shared" si="2"/>
        <v>4005706.9627947751</v>
      </c>
      <c r="J20" s="11">
        <f t="shared" si="2"/>
        <v>12550.246503554787</v>
      </c>
      <c r="K20" s="11">
        <f t="shared" si="2"/>
        <v>27550.59634598812</v>
      </c>
      <c r="L20" s="11">
        <f t="shared" si="2"/>
        <v>11761.444838533676</v>
      </c>
      <c r="M20" s="11">
        <f t="shared" si="2"/>
        <v>87266.502397797609</v>
      </c>
      <c r="N20" s="11">
        <f t="shared" si="2"/>
        <v>286813.10861525143</v>
      </c>
      <c r="O20" s="11">
        <f t="shared" si="2"/>
        <v>113741.97615828049</v>
      </c>
      <c r="P20" s="11">
        <f t="shared" si="2"/>
        <v>84587.156848692772</v>
      </c>
      <c r="Q20" s="11">
        <f t="shared" si="2"/>
        <v>623471.98123365513</v>
      </c>
      <c r="R20" s="11">
        <f t="shared" si="2"/>
        <v>10624.70171682979</v>
      </c>
      <c r="S20" s="11">
        <f t="shared" si="2"/>
        <v>26767.451379184728</v>
      </c>
      <c r="T20" s="11">
        <f t="shared" si="2"/>
        <v>28203.297144804721</v>
      </c>
      <c r="U20" s="11">
        <f t="shared" si="2"/>
        <v>2015562.0724757065</v>
      </c>
      <c r="V20" s="11">
        <f t="shared" si="2"/>
        <v>52361.418124482501</v>
      </c>
      <c r="W20" s="11">
        <f t="shared" si="2"/>
        <v>0</v>
      </c>
      <c r="X20" s="11">
        <f t="shared" si="2"/>
        <v>0</v>
      </c>
      <c r="Y20" s="11">
        <f t="shared" si="2"/>
        <v>0</v>
      </c>
      <c r="Z20" s="11">
        <f t="shared" si="2"/>
        <v>0</v>
      </c>
      <c r="AA20" s="11">
        <f t="shared" si="2"/>
        <v>0</v>
      </c>
      <c r="AB20" s="11">
        <f t="shared" si="2"/>
        <v>0</v>
      </c>
      <c r="AC20" s="11">
        <f t="shared" si="2"/>
        <v>0</v>
      </c>
      <c r="AD20" s="11">
        <f t="shared" si="2"/>
        <v>0</v>
      </c>
      <c r="AE20" s="11">
        <f t="shared" si="2"/>
        <v>0</v>
      </c>
      <c r="AF20" s="11">
        <f t="shared" si="2"/>
        <v>0</v>
      </c>
      <c r="AG20" s="11">
        <f t="shared" si="2"/>
        <v>0</v>
      </c>
      <c r="AH20" s="11">
        <f t="shared" si="2"/>
        <v>0</v>
      </c>
      <c r="AI20" s="11">
        <f t="shared" si="2"/>
        <v>0</v>
      </c>
      <c r="AJ20" s="11">
        <f t="shared" si="2"/>
        <v>0</v>
      </c>
      <c r="AK20" s="11">
        <f t="shared" si="2"/>
        <v>0</v>
      </c>
      <c r="AL20" s="11">
        <f t="shared" ref="AL20:BH20" si="3">SUM(AL13:AL19)</f>
        <v>0</v>
      </c>
      <c r="AM20" s="11">
        <f t="shared" si="3"/>
        <v>0</v>
      </c>
      <c r="AN20" s="11">
        <f t="shared" si="3"/>
        <v>0</v>
      </c>
      <c r="AO20" s="11">
        <f t="shared" si="3"/>
        <v>0</v>
      </c>
      <c r="AP20" s="11">
        <f t="shared" si="3"/>
        <v>0</v>
      </c>
      <c r="AQ20" s="11">
        <f t="shared" si="3"/>
        <v>0</v>
      </c>
      <c r="AR20" s="11">
        <f t="shared" si="3"/>
        <v>0</v>
      </c>
      <c r="AS20" s="11">
        <f t="shared" si="3"/>
        <v>0</v>
      </c>
      <c r="AT20" s="11">
        <f t="shared" si="3"/>
        <v>0</v>
      </c>
      <c r="AU20" s="11">
        <f t="shared" si="3"/>
        <v>0</v>
      </c>
      <c r="AV20" s="11">
        <f t="shared" si="3"/>
        <v>0</v>
      </c>
      <c r="AW20" s="11">
        <f t="shared" si="3"/>
        <v>0</v>
      </c>
      <c r="AX20" s="11">
        <f t="shared" si="3"/>
        <v>0</v>
      </c>
      <c r="AY20" s="11">
        <f t="shared" si="3"/>
        <v>0</v>
      </c>
      <c r="AZ20" s="11">
        <f t="shared" si="3"/>
        <v>0</v>
      </c>
      <c r="BA20" s="11">
        <f t="shared" si="3"/>
        <v>0</v>
      </c>
      <c r="BB20" s="11">
        <f t="shared" si="3"/>
        <v>0</v>
      </c>
      <c r="BC20" s="11">
        <f t="shared" si="3"/>
        <v>0</v>
      </c>
      <c r="BD20" s="11">
        <f t="shared" si="3"/>
        <v>0</v>
      </c>
      <c r="BE20" s="11">
        <f t="shared" si="3"/>
        <v>0</v>
      </c>
      <c r="BF20" s="11">
        <f t="shared" si="3"/>
        <v>0</v>
      </c>
      <c r="BG20" s="11">
        <f t="shared" si="3"/>
        <v>0</v>
      </c>
      <c r="BH20" s="11">
        <f t="shared" si="3"/>
        <v>0</v>
      </c>
    </row>
    <row r="21" spans="2:62" ht="13" x14ac:dyDescent="0.25">
      <c r="B21" s="297"/>
      <c r="C21" s="57" t="s">
        <v>99</v>
      </c>
      <c r="D21" s="57"/>
      <c r="E21" s="10"/>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row>
    <row r="22" spans="2:62" ht="25" x14ac:dyDescent="0.25">
      <c r="B22" s="297"/>
      <c r="C22" s="57"/>
      <c r="D22" s="58" t="s">
        <v>178</v>
      </c>
      <c r="E22" s="10">
        <f t="shared" ref="E22:E27" si="4">SUM(F22:BH22)</f>
        <v>0</v>
      </c>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row>
    <row r="23" spans="2:62" ht="13" x14ac:dyDescent="0.25">
      <c r="B23" s="297"/>
      <c r="C23" s="57"/>
      <c r="D23" s="58" t="s">
        <v>455</v>
      </c>
      <c r="E23" s="10">
        <f t="shared" si="4"/>
        <v>0</v>
      </c>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row>
    <row r="24" spans="2:62" ht="13" x14ac:dyDescent="0.25">
      <c r="B24" s="297"/>
      <c r="C24" s="57"/>
      <c r="D24" s="58" t="s">
        <v>52</v>
      </c>
      <c r="E24" s="10">
        <f t="shared" si="4"/>
        <v>6814873.7320031971</v>
      </c>
      <c r="F24" s="66">
        <v>45661.861864122635</v>
      </c>
      <c r="G24" s="66">
        <v>3239.4821263160657</v>
      </c>
      <c r="H24" s="66">
        <v>83057.567652420374</v>
      </c>
      <c r="I24" s="66">
        <v>41092.340016357353</v>
      </c>
      <c r="J24" s="66">
        <v>42504.146358563085</v>
      </c>
      <c r="K24" s="66">
        <v>39668.853649060846</v>
      </c>
      <c r="L24" s="66">
        <v>711204.72911577858</v>
      </c>
      <c r="M24" s="66">
        <v>645648.84343266475</v>
      </c>
      <c r="N24" s="66">
        <v>187144.3491410909</v>
      </c>
      <c r="O24" s="66">
        <v>297569.2032892686</v>
      </c>
      <c r="P24" s="66">
        <v>466893.7579280393</v>
      </c>
      <c r="Q24" s="66">
        <v>449055.72068552702</v>
      </c>
      <c r="R24" s="66">
        <v>285706.57765271247</v>
      </c>
      <c r="S24" s="66">
        <v>1394582.9989666855</v>
      </c>
      <c r="T24" s="66">
        <v>768758.44421303412</v>
      </c>
      <c r="U24" s="66">
        <v>245426.69496673212</v>
      </c>
      <c r="V24" s="66">
        <v>1107658.1609448222</v>
      </c>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row>
    <row r="25" spans="2:62" ht="13" x14ac:dyDescent="0.25">
      <c r="B25" s="297"/>
      <c r="C25" s="57"/>
      <c r="D25" s="58" t="s">
        <v>72</v>
      </c>
      <c r="E25" s="10">
        <f t="shared" si="4"/>
        <v>0</v>
      </c>
      <c r="F25" s="66">
        <v>0</v>
      </c>
      <c r="G25" s="66">
        <v>0</v>
      </c>
      <c r="H25" s="66">
        <v>0</v>
      </c>
      <c r="I25" s="66">
        <v>0</v>
      </c>
      <c r="J25" s="66">
        <v>0</v>
      </c>
      <c r="K25" s="66">
        <v>0</v>
      </c>
      <c r="L25" s="66">
        <v>0</v>
      </c>
      <c r="M25" s="66">
        <v>0</v>
      </c>
      <c r="N25" s="66">
        <v>0</v>
      </c>
      <c r="O25" s="66">
        <v>0</v>
      </c>
      <c r="P25" s="66">
        <v>0</v>
      </c>
      <c r="Q25" s="66">
        <v>0</v>
      </c>
      <c r="R25" s="66">
        <v>0</v>
      </c>
      <c r="S25" s="66">
        <v>0</v>
      </c>
      <c r="T25" s="66">
        <v>0</v>
      </c>
      <c r="U25" s="66">
        <v>0</v>
      </c>
      <c r="V25" s="66">
        <v>0</v>
      </c>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row>
    <row r="26" spans="2:62" ht="13" x14ac:dyDescent="0.25">
      <c r="B26" s="297"/>
      <c r="C26" s="57"/>
      <c r="D26" s="58" t="s">
        <v>57</v>
      </c>
      <c r="E26" s="10">
        <f t="shared" si="4"/>
        <v>-370571.47684747959</v>
      </c>
      <c r="F26" s="66">
        <v>0</v>
      </c>
      <c r="G26" s="66">
        <v>0</v>
      </c>
      <c r="H26" s="66">
        <v>0</v>
      </c>
      <c r="I26" s="66">
        <v>0</v>
      </c>
      <c r="J26" s="66">
        <v>0</v>
      </c>
      <c r="K26" s="66">
        <v>0</v>
      </c>
      <c r="L26" s="66">
        <v>0</v>
      </c>
      <c r="M26" s="66">
        <v>0</v>
      </c>
      <c r="N26" s="66">
        <v>0</v>
      </c>
      <c r="O26" s="66">
        <v>0</v>
      </c>
      <c r="P26" s="66">
        <v>0</v>
      </c>
      <c r="Q26" s="66">
        <v>-10036.298373858161</v>
      </c>
      <c r="R26" s="66">
        <v>-31078.07530022816</v>
      </c>
      <c r="S26" s="66">
        <v>-270665.61466704501</v>
      </c>
      <c r="T26" s="66">
        <v>-2921.5082648738626</v>
      </c>
      <c r="U26" s="66">
        <v>-40341.151923118814</v>
      </c>
      <c r="V26" s="66">
        <v>-15528.828318355545</v>
      </c>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row>
    <row r="27" spans="2:62" ht="13" x14ac:dyDescent="0.25">
      <c r="B27" s="297"/>
      <c r="C27" s="57"/>
      <c r="D27" s="58" t="s">
        <v>146</v>
      </c>
      <c r="E27" s="10">
        <f t="shared" si="4"/>
        <v>1098082.9942678988</v>
      </c>
      <c r="F27" s="66">
        <v>0</v>
      </c>
      <c r="G27" s="66">
        <v>0</v>
      </c>
      <c r="H27" s="66">
        <v>0</v>
      </c>
      <c r="I27" s="66">
        <v>0</v>
      </c>
      <c r="J27" s="66">
        <v>0</v>
      </c>
      <c r="K27" s="66">
        <v>0</v>
      </c>
      <c r="L27" s="66">
        <v>0</v>
      </c>
      <c r="M27" s="66">
        <v>0</v>
      </c>
      <c r="N27" s="66">
        <v>0</v>
      </c>
      <c r="O27" s="66">
        <v>0</v>
      </c>
      <c r="P27" s="66">
        <v>0</v>
      </c>
      <c r="Q27" s="66">
        <v>364082.99448010174</v>
      </c>
      <c r="R27" s="66">
        <v>90259.232391008874</v>
      </c>
      <c r="S27" s="66">
        <v>105448.48016770002</v>
      </c>
      <c r="T27" s="66">
        <v>181414.63023976324</v>
      </c>
      <c r="U27" s="66">
        <v>208196.56226412082</v>
      </c>
      <c r="V27" s="66">
        <v>148681.09472520425</v>
      </c>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row>
    <row r="28" spans="2:62" ht="13" x14ac:dyDescent="0.3">
      <c r="B28" s="297"/>
      <c r="C28" s="57"/>
      <c r="D28" s="212" t="s">
        <v>169</v>
      </c>
      <c r="E28" s="10">
        <f>SUM(F28:BH28)</f>
        <v>7542385.2494236138</v>
      </c>
      <c r="F28" s="11">
        <f>SUM(F22:F27)</f>
        <v>45661.861864122635</v>
      </c>
      <c r="G28" s="11">
        <f t="shared" ref="G28:BH28" si="5">SUM(G22:G27)</f>
        <v>3239.4821263160657</v>
      </c>
      <c r="H28" s="11">
        <f t="shared" si="5"/>
        <v>83057.567652420374</v>
      </c>
      <c r="I28" s="11">
        <f t="shared" si="5"/>
        <v>41092.340016357353</v>
      </c>
      <c r="J28" s="11">
        <f t="shared" si="5"/>
        <v>42504.146358563085</v>
      </c>
      <c r="K28" s="11">
        <f t="shared" si="5"/>
        <v>39668.853649060846</v>
      </c>
      <c r="L28" s="11">
        <f t="shared" si="5"/>
        <v>711204.72911577858</v>
      </c>
      <c r="M28" s="11">
        <f t="shared" si="5"/>
        <v>645648.84343266475</v>
      </c>
      <c r="N28" s="11">
        <f t="shared" si="5"/>
        <v>187144.3491410909</v>
      </c>
      <c r="O28" s="11">
        <f t="shared" si="5"/>
        <v>297569.2032892686</v>
      </c>
      <c r="P28" s="11">
        <f t="shared" si="5"/>
        <v>466893.7579280393</v>
      </c>
      <c r="Q28" s="11">
        <f t="shared" si="5"/>
        <v>803102.41679177061</v>
      </c>
      <c r="R28" s="11">
        <f t="shared" si="5"/>
        <v>344887.73474349314</v>
      </c>
      <c r="S28" s="11">
        <f t="shared" si="5"/>
        <v>1229365.8644673405</v>
      </c>
      <c r="T28" s="11">
        <f t="shared" si="5"/>
        <v>947251.56618792354</v>
      </c>
      <c r="U28" s="11">
        <f t="shared" si="5"/>
        <v>413282.10530773411</v>
      </c>
      <c r="V28" s="11">
        <f t="shared" si="5"/>
        <v>1240810.4273516708</v>
      </c>
      <c r="W28" s="11">
        <f t="shared" si="5"/>
        <v>0</v>
      </c>
      <c r="X28" s="11">
        <f t="shared" si="5"/>
        <v>0</v>
      </c>
      <c r="Y28" s="11">
        <f t="shared" si="5"/>
        <v>0</v>
      </c>
      <c r="Z28" s="11">
        <f t="shared" si="5"/>
        <v>0</v>
      </c>
      <c r="AA28" s="11">
        <f t="shared" si="5"/>
        <v>0</v>
      </c>
      <c r="AB28" s="11">
        <f t="shared" si="5"/>
        <v>0</v>
      </c>
      <c r="AC28" s="11">
        <f t="shared" si="5"/>
        <v>0</v>
      </c>
      <c r="AD28" s="11">
        <f t="shared" si="5"/>
        <v>0</v>
      </c>
      <c r="AE28" s="11">
        <f t="shared" si="5"/>
        <v>0</v>
      </c>
      <c r="AF28" s="11">
        <f t="shared" si="5"/>
        <v>0</v>
      </c>
      <c r="AG28" s="11">
        <f t="shared" si="5"/>
        <v>0</v>
      </c>
      <c r="AH28" s="11">
        <f t="shared" si="5"/>
        <v>0</v>
      </c>
      <c r="AI28" s="11">
        <f t="shared" si="5"/>
        <v>0</v>
      </c>
      <c r="AJ28" s="11">
        <f t="shared" si="5"/>
        <v>0</v>
      </c>
      <c r="AK28" s="11">
        <f t="shared" si="5"/>
        <v>0</v>
      </c>
      <c r="AL28" s="11">
        <f t="shared" si="5"/>
        <v>0</v>
      </c>
      <c r="AM28" s="11">
        <f t="shared" si="5"/>
        <v>0</v>
      </c>
      <c r="AN28" s="11">
        <f t="shared" si="5"/>
        <v>0</v>
      </c>
      <c r="AO28" s="11">
        <f t="shared" si="5"/>
        <v>0</v>
      </c>
      <c r="AP28" s="11">
        <f t="shared" si="5"/>
        <v>0</v>
      </c>
      <c r="AQ28" s="11">
        <f t="shared" si="5"/>
        <v>0</v>
      </c>
      <c r="AR28" s="11">
        <f t="shared" si="5"/>
        <v>0</v>
      </c>
      <c r="AS28" s="11">
        <f t="shared" si="5"/>
        <v>0</v>
      </c>
      <c r="AT28" s="11">
        <f t="shared" si="5"/>
        <v>0</v>
      </c>
      <c r="AU28" s="11">
        <f t="shared" si="5"/>
        <v>0</v>
      </c>
      <c r="AV28" s="11">
        <f t="shared" si="5"/>
        <v>0</v>
      </c>
      <c r="AW28" s="11">
        <f t="shared" si="5"/>
        <v>0</v>
      </c>
      <c r="AX28" s="11">
        <f t="shared" si="5"/>
        <v>0</v>
      </c>
      <c r="AY28" s="11">
        <f t="shared" si="5"/>
        <v>0</v>
      </c>
      <c r="AZ28" s="11">
        <f t="shared" si="5"/>
        <v>0</v>
      </c>
      <c r="BA28" s="11">
        <f t="shared" si="5"/>
        <v>0</v>
      </c>
      <c r="BB28" s="11">
        <f t="shared" si="5"/>
        <v>0</v>
      </c>
      <c r="BC28" s="11">
        <f t="shared" si="5"/>
        <v>0</v>
      </c>
      <c r="BD28" s="11">
        <f t="shared" si="5"/>
        <v>0</v>
      </c>
      <c r="BE28" s="11">
        <f t="shared" si="5"/>
        <v>0</v>
      </c>
      <c r="BF28" s="11">
        <f t="shared" si="5"/>
        <v>0</v>
      </c>
      <c r="BG28" s="11">
        <f t="shared" si="5"/>
        <v>0</v>
      </c>
      <c r="BH28" s="11">
        <f t="shared" si="5"/>
        <v>0</v>
      </c>
    </row>
    <row r="29" spans="2:62" ht="13" x14ac:dyDescent="0.25">
      <c r="B29" s="297"/>
      <c r="C29" s="57"/>
      <c r="D29" s="57" t="s">
        <v>64</v>
      </c>
      <c r="E29" s="10">
        <f>E20+E28</f>
        <v>98527113.491911843</v>
      </c>
      <c r="F29" s="10">
        <f>F20+F28</f>
        <v>83522716.054524839</v>
      </c>
      <c r="G29" s="10">
        <f t="shared" ref="G29:AJ29" si="6">G20+G28</f>
        <v>115644.61537630184</v>
      </c>
      <c r="H29" s="10">
        <f t="shared" si="6"/>
        <v>91357.567652420315</v>
      </c>
      <c r="I29" s="10">
        <f t="shared" si="6"/>
        <v>4046799.3028111323</v>
      </c>
      <c r="J29" s="10">
        <f t="shared" si="6"/>
        <v>55054.392862117871</v>
      </c>
      <c r="K29" s="10">
        <f t="shared" si="6"/>
        <v>67219.44999504897</v>
      </c>
      <c r="L29" s="10">
        <f t="shared" si="6"/>
        <v>722966.17395431222</v>
      </c>
      <c r="M29" s="10">
        <f t="shared" si="6"/>
        <v>732915.34583046241</v>
      </c>
      <c r="N29" s="10">
        <f t="shared" si="6"/>
        <v>473957.45775634237</v>
      </c>
      <c r="O29" s="10">
        <f t="shared" si="6"/>
        <v>411311.1794475491</v>
      </c>
      <c r="P29" s="10">
        <f t="shared" si="6"/>
        <v>551480.9147767321</v>
      </c>
      <c r="Q29" s="10">
        <f t="shared" si="6"/>
        <v>1426574.3980254256</v>
      </c>
      <c r="R29" s="10">
        <f t="shared" si="6"/>
        <v>355512.43646032293</v>
      </c>
      <c r="S29" s="10">
        <f t="shared" si="6"/>
        <v>1256133.3158465251</v>
      </c>
      <c r="T29" s="10">
        <f t="shared" si="6"/>
        <v>975454.86333272827</v>
      </c>
      <c r="U29" s="10">
        <f t="shared" si="6"/>
        <v>2428844.1777834408</v>
      </c>
      <c r="V29" s="10">
        <f t="shared" si="6"/>
        <v>1293171.8454761533</v>
      </c>
      <c r="W29" s="10">
        <f t="shared" si="6"/>
        <v>0</v>
      </c>
      <c r="X29" s="10">
        <f t="shared" si="6"/>
        <v>0</v>
      </c>
      <c r="Y29" s="10">
        <f t="shared" si="6"/>
        <v>0</v>
      </c>
      <c r="Z29" s="10">
        <f t="shared" si="6"/>
        <v>0</v>
      </c>
      <c r="AA29" s="10">
        <f t="shared" si="6"/>
        <v>0</v>
      </c>
      <c r="AB29" s="10">
        <f t="shared" si="6"/>
        <v>0</v>
      </c>
      <c r="AC29" s="10">
        <f t="shared" si="6"/>
        <v>0</v>
      </c>
      <c r="AD29" s="10">
        <f t="shared" si="6"/>
        <v>0</v>
      </c>
      <c r="AE29" s="10">
        <f t="shared" si="6"/>
        <v>0</v>
      </c>
      <c r="AF29" s="10">
        <f t="shared" si="6"/>
        <v>0</v>
      </c>
      <c r="AG29" s="10">
        <f t="shared" si="6"/>
        <v>0</v>
      </c>
      <c r="AH29" s="10">
        <f t="shared" si="6"/>
        <v>0</v>
      </c>
      <c r="AI29" s="10">
        <f t="shared" si="6"/>
        <v>0</v>
      </c>
      <c r="AJ29" s="10">
        <f t="shared" si="6"/>
        <v>0</v>
      </c>
      <c r="AK29" s="10">
        <f t="shared" ref="AK29:BH29" si="7">AK20+AK28</f>
        <v>0</v>
      </c>
      <c r="AL29" s="10">
        <f t="shared" si="7"/>
        <v>0</v>
      </c>
      <c r="AM29" s="10">
        <f t="shared" si="7"/>
        <v>0</v>
      </c>
      <c r="AN29" s="10">
        <f t="shared" si="7"/>
        <v>0</v>
      </c>
      <c r="AO29" s="10">
        <f t="shared" si="7"/>
        <v>0</v>
      </c>
      <c r="AP29" s="10">
        <f t="shared" si="7"/>
        <v>0</v>
      </c>
      <c r="AQ29" s="10">
        <f t="shared" si="7"/>
        <v>0</v>
      </c>
      <c r="AR29" s="10">
        <f t="shared" si="7"/>
        <v>0</v>
      </c>
      <c r="AS29" s="10">
        <f t="shared" si="7"/>
        <v>0</v>
      </c>
      <c r="AT29" s="10">
        <f t="shared" si="7"/>
        <v>0</v>
      </c>
      <c r="AU29" s="10">
        <f t="shared" si="7"/>
        <v>0</v>
      </c>
      <c r="AV29" s="10">
        <f t="shared" si="7"/>
        <v>0</v>
      </c>
      <c r="AW29" s="10">
        <f t="shared" si="7"/>
        <v>0</v>
      </c>
      <c r="AX29" s="10">
        <f t="shared" si="7"/>
        <v>0</v>
      </c>
      <c r="AY29" s="10">
        <f t="shared" si="7"/>
        <v>0</v>
      </c>
      <c r="AZ29" s="10">
        <f t="shared" si="7"/>
        <v>0</v>
      </c>
      <c r="BA29" s="10">
        <f t="shared" si="7"/>
        <v>0</v>
      </c>
      <c r="BB29" s="10">
        <f t="shared" si="7"/>
        <v>0</v>
      </c>
      <c r="BC29" s="10">
        <f t="shared" si="7"/>
        <v>0</v>
      </c>
      <c r="BD29" s="10">
        <f t="shared" si="7"/>
        <v>0</v>
      </c>
      <c r="BE29" s="10">
        <f t="shared" si="7"/>
        <v>0</v>
      </c>
      <c r="BF29" s="10">
        <f t="shared" si="7"/>
        <v>0</v>
      </c>
      <c r="BG29" s="10">
        <f t="shared" si="7"/>
        <v>0</v>
      </c>
      <c r="BH29" s="10">
        <f t="shared" si="7"/>
        <v>0</v>
      </c>
    </row>
    <row r="30" spans="2:62" ht="13" x14ac:dyDescent="0.25">
      <c r="B30" s="297"/>
      <c r="C30" s="57" t="s">
        <v>117</v>
      </c>
      <c r="D30" s="57"/>
      <c r="E30" s="10"/>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row>
    <row r="31" spans="2:62" ht="13" x14ac:dyDescent="0.25">
      <c r="B31" s="297"/>
      <c r="C31" s="57"/>
      <c r="D31" s="59" t="s">
        <v>66</v>
      </c>
      <c r="E31" s="10">
        <f t="shared" ref="E31:E37" si="8">SUM(F31:BH31)</f>
        <v>229337105.24370474</v>
      </c>
      <c r="F31" s="66">
        <v>693970.02608071675</v>
      </c>
      <c r="G31" s="66">
        <v>3127817.1360981567</v>
      </c>
      <c r="H31" s="66">
        <v>3219505.4400000004</v>
      </c>
      <c r="I31" s="66">
        <v>4665207.1399999997</v>
      </c>
      <c r="J31" s="66">
        <v>6342712.54</v>
      </c>
      <c r="K31" s="66">
        <v>8507251.1100000013</v>
      </c>
      <c r="L31" s="66">
        <v>21650427.039999999</v>
      </c>
      <c r="M31" s="66">
        <v>21506040.609999999</v>
      </c>
      <c r="N31" s="66">
        <v>14811350.35</v>
      </c>
      <c r="O31" s="66">
        <v>14149446.600000003</v>
      </c>
      <c r="P31" s="66">
        <v>15231984.953333328</v>
      </c>
      <c r="Q31" s="66">
        <v>17226185.77</v>
      </c>
      <c r="R31" s="66">
        <v>17561727.760000002</v>
      </c>
      <c r="S31" s="66">
        <v>19979266.359999999</v>
      </c>
      <c r="T31" s="66">
        <v>18943537.57</v>
      </c>
      <c r="U31" s="66">
        <v>20674023.009999998</v>
      </c>
      <c r="V31" s="66">
        <v>21046651.828192521</v>
      </c>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row>
    <row r="32" spans="2:62" ht="13" x14ac:dyDescent="0.25">
      <c r="B32" s="297"/>
      <c r="C32" s="57"/>
      <c r="D32" s="59" t="s">
        <v>67</v>
      </c>
      <c r="E32" s="10">
        <f t="shared" si="8"/>
        <v>-35830982.880505189</v>
      </c>
      <c r="F32" s="66">
        <v>-178023</v>
      </c>
      <c r="G32" s="66">
        <v>-685407.3660334046</v>
      </c>
      <c r="H32" s="66">
        <v>-969857.03305691003</v>
      </c>
      <c r="I32" s="66">
        <v>-798965.18282676593</v>
      </c>
      <c r="J32" s="66">
        <v>-1046343.3799999999</v>
      </c>
      <c r="K32" s="66">
        <v>-1248838.8800000004</v>
      </c>
      <c r="L32" s="66">
        <v>-2567091.8899999987</v>
      </c>
      <c r="M32" s="66">
        <v>-2356039.2457315112</v>
      </c>
      <c r="N32" s="66">
        <v>-2070146.5738236541</v>
      </c>
      <c r="O32" s="66">
        <v>-1943375.7750288765</v>
      </c>
      <c r="P32" s="66">
        <v>-2926188.4757687068</v>
      </c>
      <c r="Q32" s="66">
        <v>-2349288.2260570819</v>
      </c>
      <c r="R32" s="66">
        <v>-2424144.6808961378</v>
      </c>
      <c r="S32" s="66">
        <v>-2705766.1061214814</v>
      </c>
      <c r="T32" s="66">
        <v>-3696934.4146434874</v>
      </c>
      <c r="U32" s="66">
        <v>-4020905.2693695165</v>
      </c>
      <c r="V32" s="66">
        <v>-3843667.3811476538</v>
      </c>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J32" s="6"/>
    </row>
    <row r="33" spans="2:60" ht="13" x14ac:dyDescent="0.25">
      <c r="B33" s="297"/>
      <c r="C33" s="57"/>
      <c r="D33" s="59" t="s">
        <v>68</v>
      </c>
      <c r="E33" s="10">
        <f t="shared" si="8"/>
        <v>-23412850.996054403</v>
      </c>
      <c r="F33" s="66">
        <v>0</v>
      </c>
      <c r="G33" s="66">
        <v>0</v>
      </c>
      <c r="H33" s="66">
        <v>0</v>
      </c>
      <c r="I33" s="66">
        <v>0</v>
      </c>
      <c r="J33" s="66">
        <v>0</v>
      </c>
      <c r="K33" s="66">
        <v>0</v>
      </c>
      <c r="L33" s="66">
        <v>0</v>
      </c>
      <c r="M33" s="66">
        <v>-443230.47319283616</v>
      </c>
      <c r="N33" s="66">
        <v>-1721654.4835194424</v>
      </c>
      <c r="O33" s="66">
        <v>-1563521.9709503227</v>
      </c>
      <c r="P33" s="66">
        <v>-1682153.0105151755</v>
      </c>
      <c r="Q33" s="66">
        <v>-2515018.8985460452</v>
      </c>
      <c r="R33" s="66">
        <v>-2603135.8531803666</v>
      </c>
      <c r="S33" s="66">
        <v>-3363206.7145209364</v>
      </c>
      <c r="T33" s="66">
        <v>-2837242.8522446952</v>
      </c>
      <c r="U33" s="66">
        <v>-3257564.0779001559</v>
      </c>
      <c r="V33" s="66">
        <v>-3426122.6614844296</v>
      </c>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row>
    <row r="34" spans="2:60" ht="13" x14ac:dyDescent="0.25">
      <c r="B34" s="297"/>
      <c r="C34" s="57"/>
      <c r="D34" s="58" t="s">
        <v>147</v>
      </c>
      <c r="E34" s="10">
        <f t="shared" si="8"/>
        <v>-90335.822935958044</v>
      </c>
      <c r="F34" s="66">
        <v>0</v>
      </c>
      <c r="G34" s="66">
        <v>0</v>
      </c>
      <c r="H34" s="66">
        <v>0</v>
      </c>
      <c r="I34" s="66">
        <v>0</v>
      </c>
      <c r="J34" s="66">
        <v>0</v>
      </c>
      <c r="K34" s="66">
        <v>0</v>
      </c>
      <c r="L34" s="66">
        <v>0</v>
      </c>
      <c r="M34" s="66">
        <v>0</v>
      </c>
      <c r="N34" s="66">
        <v>0</v>
      </c>
      <c r="O34" s="66">
        <v>0</v>
      </c>
      <c r="P34" s="66">
        <v>0</v>
      </c>
      <c r="Q34" s="66">
        <v>-12528.789952982661</v>
      </c>
      <c r="R34" s="66">
        <v>-11096.857073307785</v>
      </c>
      <c r="S34" s="66">
        <v>-10056.449562991596</v>
      </c>
      <c r="T34" s="66">
        <v>-16343.209311790741</v>
      </c>
      <c r="U34" s="66">
        <v>-18825.775889273176</v>
      </c>
      <c r="V34" s="66">
        <v>-21484.741145612072</v>
      </c>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row>
    <row r="35" spans="2:60" ht="13" x14ac:dyDescent="0.25">
      <c r="B35" s="297"/>
      <c r="C35" s="57"/>
      <c r="D35" s="59" t="s">
        <v>100</v>
      </c>
      <c r="E35" s="10">
        <f t="shared" si="8"/>
        <v>-94722858.711411178</v>
      </c>
      <c r="F35" s="66">
        <v>0</v>
      </c>
      <c r="G35" s="66">
        <v>-7325939.56412978</v>
      </c>
      <c r="H35" s="66">
        <v>-8184711.8101419453</v>
      </c>
      <c r="I35" s="66">
        <v>-8433657.370252952</v>
      </c>
      <c r="J35" s="66">
        <v>-7899399.416980261</v>
      </c>
      <c r="K35" s="66">
        <v>-8539244.3303340655</v>
      </c>
      <c r="L35" s="66">
        <v>-8720476.8929504156</v>
      </c>
      <c r="M35" s="66">
        <v>-7252200.2196524069</v>
      </c>
      <c r="N35" s="66">
        <v>-6042993.3941764561</v>
      </c>
      <c r="O35" s="66">
        <v>-5955348.1546787638</v>
      </c>
      <c r="P35" s="66">
        <v>-5549087.770319758</v>
      </c>
      <c r="Q35" s="66">
        <v>-4500535.118183027</v>
      </c>
      <c r="R35" s="66">
        <v>-4043870.1597468508</v>
      </c>
      <c r="S35" s="66">
        <v>-3496709.6981853228</v>
      </c>
      <c r="T35" s="66">
        <v>-3357575.330121641</v>
      </c>
      <c r="U35" s="66">
        <v>-2940195.9737784555</v>
      </c>
      <c r="V35" s="66">
        <v>-2480913.5077790637</v>
      </c>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row>
    <row r="36" spans="2:60" ht="13" x14ac:dyDescent="0.3">
      <c r="B36" s="297"/>
      <c r="C36" s="57"/>
      <c r="D36" s="57" t="s">
        <v>101</v>
      </c>
      <c r="E36" s="10">
        <f t="shared" si="8"/>
        <v>75280076.832798004</v>
      </c>
      <c r="F36" s="11">
        <f>SUM(F31:F35)</f>
        <v>515947.02608071675</v>
      </c>
      <c r="G36" s="11">
        <f t="shared" ref="G36:AK36" si="9">SUM(G31:G35)</f>
        <v>-4883529.7940650284</v>
      </c>
      <c r="H36" s="11">
        <f t="shared" si="9"/>
        <v>-5935063.403198855</v>
      </c>
      <c r="I36" s="11">
        <f t="shared" si="9"/>
        <v>-4567415.4130797181</v>
      </c>
      <c r="J36" s="11">
        <f t="shared" si="9"/>
        <v>-2603030.2569802608</v>
      </c>
      <c r="K36" s="11">
        <f t="shared" si="9"/>
        <v>-1280832.100334065</v>
      </c>
      <c r="L36" s="11">
        <f t="shared" si="9"/>
        <v>10362858.257049583</v>
      </c>
      <c r="M36" s="11">
        <f t="shared" si="9"/>
        <v>11454570.671423245</v>
      </c>
      <c r="N36" s="11">
        <f t="shared" si="9"/>
        <v>4976555.8984804461</v>
      </c>
      <c r="O36" s="11">
        <f t="shared" si="9"/>
        <v>4687200.6993420403</v>
      </c>
      <c r="P36" s="11">
        <f t="shared" si="9"/>
        <v>5074555.696729688</v>
      </c>
      <c r="Q36" s="11">
        <f t="shared" si="9"/>
        <v>7848814.7372608623</v>
      </c>
      <c r="R36" s="11">
        <f t="shared" si="9"/>
        <v>8479480.2091033384</v>
      </c>
      <c r="S36" s="11">
        <f t="shared" si="9"/>
        <v>10403527.391609268</v>
      </c>
      <c r="T36" s="11">
        <f t="shared" si="9"/>
        <v>9035441.7636783868</v>
      </c>
      <c r="U36" s="11">
        <f t="shared" si="9"/>
        <v>10436531.913062595</v>
      </c>
      <c r="V36" s="11">
        <f t="shared" si="9"/>
        <v>11274463.536635762</v>
      </c>
      <c r="W36" s="11">
        <f t="shared" si="9"/>
        <v>0</v>
      </c>
      <c r="X36" s="11">
        <f t="shared" si="9"/>
        <v>0</v>
      </c>
      <c r="Y36" s="11">
        <f t="shared" si="9"/>
        <v>0</v>
      </c>
      <c r="Z36" s="11">
        <f t="shared" si="9"/>
        <v>0</v>
      </c>
      <c r="AA36" s="11">
        <f t="shared" si="9"/>
        <v>0</v>
      </c>
      <c r="AB36" s="11">
        <f t="shared" si="9"/>
        <v>0</v>
      </c>
      <c r="AC36" s="11">
        <f t="shared" si="9"/>
        <v>0</v>
      </c>
      <c r="AD36" s="11">
        <f t="shared" si="9"/>
        <v>0</v>
      </c>
      <c r="AE36" s="11">
        <f t="shared" si="9"/>
        <v>0</v>
      </c>
      <c r="AF36" s="11">
        <f t="shared" si="9"/>
        <v>0</v>
      </c>
      <c r="AG36" s="11">
        <f t="shared" si="9"/>
        <v>0</v>
      </c>
      <c r="AH36" s="11">
        <f t="shared" si="9"/>
        <v>0</v>
      </c>
      <c r="AI36" s="11">
        <f t="shared" si="9"/>
        <v>0</v>
      </c>
      <c r="AJ36" s="11">
        <f t="shared" si="9"/>
        <v>0</v>
      </c>
      <c r="AK36" s="11">
        <f t="shared" si="9"/>
        <v>0</v>
      </c>
      <c r="AL36" s="11">
        <f t="shared" ref="AL36:BH36" si="10">SUM(AL31:AL35)</f>
        <v>0</v>
      </c>
      <c r="AM36" s="11">
        <f t="shared" si="10"/>
        <v>0</v>
      </c>
      <c r="AN36" s="11">
        <f t="shared" si="10"/>
        <v>0</v>
      </c>
      <c r="AO36" s="11">
        <f t="shared" si="10"/>
        <v>0</v>
      </c>
      <c r="AP36" s="11">
        <f t="shared" si="10"/>
        <v>0</v>
      </c>
      <c r="AQ36" s="11">
        <f t="shared" si="10"/>
        <v>0</v>
      </c>
      <c r="AR36" s="11">
        <f t="shared" si="10"/>
        <v>0</v>
      </c>
      <c r="AS36" s="11">
        <f t="shared" si="10"/>
        <v>0</v>
      </c>
      <c r="AT36" s="11">
        <f t="shared" si="10"/>
        <v>0</v>
      </c>
      <c r="AU36" s="11">
        <f t="shared" si="10"/>
        <v>0</v>
      </c>
      <c r="AV36" s="11">
        <f t="shared" si="10"/>
        <v>0</v>
      </c>
      <c r="AW36" s="11">
        <f t="shared" si="10"/>
        <v>0</v>
      </c>
      <c r="AX36" s="11">
        <f t="shared" si="10"/>
        <v>0</v>
      </c>
      <c r="AY36" s="11">
        <f t="shared" si="10"/>
        <v>0</v>
      </c>
      <c r="AZ36" s="11">
        <f t="shared" si="10"/>
        <v>0</v>
      </c>
      <c r="BA36" s="11">
        <f t="shared" si="10"/>
        <v>0</v>
      </c>
      <c r="BB36" s="11">
        <f t="shared" si="10"/>
        <v>0</v>
      </c>
      <c r="BC36" s="11">
        <f t="shared" si="10"/>
        <v>0</v>
      </c>
      <c r="BD36" s="11">
        <f t="shared" si="10"/>
        <v>0</v>
      </c>
      <c r="BE36" s="11">
        <f t="shared" si="10"/>
        <v>0</v>
      </c>
      <c r="BF36" s="11">
        <f t="shared" si="10"/>
        <v>0</v>
      </c>
      <c r="BG36" s="11">
        <f t="shared" si="10"/>
        <v>0</v>
      </c>
      <c r="BH36" s="11">
        <f t="shared" si="10"/>
        <v>0</v>
      </c>
    </row>
    <row r="37" spans="2:60" ht="23.25" customHeight="1" x14ac:dyDescent="0.3">
      <c r="B37" s="297"/>
      <c r="C37" s="88"/>
      <c r="D37" s="82" t="s">
        <v>118</v>
      </c>
      <c r="E37" s="90">
        <f t="shared" si="8"/>
        <v>23247036.659113854</v>
      </c>
      <c r="F37" s="11">
        <f>F20+F28-F36</f>
        <v>83006769.028444126</v>
      </c>
      <c r="G37" s="11">
        <f t="shared" ref="G37:AK37" si="11">G20+G28-G36</f>
        <v>4999174.4094413305</v>
      </c>
      <c r="H37" s="11">
        <f t="shared" si="11"/>
        <v>6026420.9708512751</v>
      </c>
      <c r="I37" s="11">
        <f t="shared" si="11"/>
        <v>8614214.7158908509</v>
      </c>
      <c r="J37" s="11">
        <f t="shared" si="11"/>
        <v>2658084.6498423787</v>
      </c>
      <c r="K37" s="11">
        <f t="shared" si="11"/>
        <v>1348051.5503291141</v>
      </c>
      <c r="L37" s="11">
        <f t="shared" si="11"/>
        <v>-9639892.0830952711</v>
      </c>
      <c r="M37" s="11">
        <f t="shared" si="11"/>
        <v>-10721655.325592782</v>
      </c>
      <c r="N37" s="11">
        <f t="shared" si="11"/>
        <v>-4502598.4407241037</v>
      </c>
      <c r="O37" s="11">
        <f t="shared" si="11"/>
        <v>-4275889.5198944909</v>
      </c>
      <c r="P37" s="11">
        <f t="shared" si="11"/>
        <v>-4523074.7819529558</v>
      </c>
      <c r="Q37" s="11">
        <f t="shared" si="11"/>
        <v>-6422240.3392354362</v>
      </c>
      <c r="R37" s="11">
        <f t="shared" si="11"/>
        <v>-8123967.7726430157</v>
      </c>
      <c r="S37" s="11">
        <f t="shared" si="11"/>
        <v>-9147394.0757627431</v>
      </c>
      <c r="T37" s="11">
        <f t="shared" si="11"/>
        <v>-8059986.9003456589</v>
      </c>
      <c r="U37" s="11">
        <f t="shared" si="11"/>
        <v>-8007687.735279154</v>
      </c>
      <c r="V37" s="11">
        <f t="shared" si="11"/>
        <v>-9981291.6911596097</v>
      </c>
      <c r="W37" s="11">
        <f t="shared" si="11"/>
        <v>0</v>
      </c>
      <c r="X37" s="11">
        <f t="shared" si="11"/>
        <v>0</v>
      </c>
      <c r="Y37" s="11">
        <f t="shared" si="11"/>
        <v>0</v>
      </c>
      <c r="Z37" s="11">
        <f t="shared" si="11"/>
        <v>0</v>
      </c>
      <c r="AA37" s="11">
        <f t="shared" si="11"/>
        <v>0</v>
      </c>
      <c r="AB37" s="11">
        <f t="shared" si="11"/>
        <v>0</v>
      </c>
      <c r="AC37" s="11">
        <f t="shared" si="11"/>
        <v>0</v>
      </c>
      <c r="AD37" s="11">
        <f t="shared" si="11"/>
        <v>0</v>
      </c>
      <c r="AE37" s="11">
        <f t="shared" si="11"/>
        <v>0</v>
      </c>
      <c r="AF37" s="11">
        <f t="shared" si="11"/>
        <v>0</v>
      </c>
      <c r="AG37" s="11">
        <f t="shared" si="11"/>
        <v>0</v>
      </c>
      <c r="AH37" s="11">
        <f t="shared" si="11"/>
        <v>0</v>
      </c>
      <c r="AI37" s="11">
        <f t="shared" si="11"/>
        <v>0</v>
      </c>
      <c r="AJ37" s="11">
        <f t="shared" si="11"/>
        <v>0</v>
      </c>
      <c r="AK37" s="11">
        <f t="shared" si="11"/>
        <v>0</v>
      </c>
      <c r="AL37" s="11">
        <f t="shared" ref="AL37:BH37" si="12">AL20+AL28-AL36</f>
        <v>0</v>
      </c>
      <c r="AM37" s="11">
        <f t="shared" si="12"/>
        <v>0</v>
      </c>
      <c r="AN37" s="11">
        <f t="shared" si="12"/>
        <v>0</v>
      </c>
      <c r="AO37" s="11">
        <f t="shared" si="12"/>
        <v>0</v>
      </c>
      <c r="AP37" s="11">
        <f t="shared" si="12"/>
        <v>0</v>
      </c>
      <c r="AQ37" s="11">
        <f t="shared" si="12"/>
        <v>0</v>
      </c>
      <c r="AR37" s="11">
        <f t="shared" si="12"/>
        <v>0</v>
      </c>
      <c r="AS37" s="11">
        <f t="shared" si="12"/>
        <v>0</v>
      </c>
      <c r="AT37" s="11">
        <f t="shared" si="12"/>
        <v>0</v>
      </c>
      <c r="AU37" s="11">
        <f t="shared" si="12"/>
        <v>0</v>
      </c>
      <c r="AV37" s="11">
        <f t="shared" si="12"/>
        <v>0</v>
      </c>
      <c r="AW37" s="11">
        <f t="shared" si="12"/>
        <v>0</v>
      </c>
      <c r="AX37" s="11">
        <f t="shared" si="12"/>
        <v>0</v>
      </c>
      <c r="AY37" s="11">
        <f t="shared" si="12"/>
        <v>0</v>
      </c>
      <c r="AZ37" s="11">
        <f t="shared" si="12"/>
        <v>0</v>
      </c>
      <c r="BA37" s="11">
        <f t="shared" si="12"/>
        <v>0</v>
      </c>
      <c r="BB37" s="11">
        <f t="shared" si="12"/>
        <v>0</v>
      </c>
      <c r="BC37" s="11">
        <f t="shared" si="12"/>
        <v>0</v>
      </c>
      <c r="BD37" s="11">
        <f t="shared" si="12"/>
        <v>0</v>
      </c>
      <c r="BE37" s="11">
        <f t="shared" si="12"/>
        <v>0</v>
      </c>
      <c r="BF37" s="11">
        <f t="shared" si="12"/>
        <v>0</v>
      </c>
      <c r="BG37" s="11">
        <f t="shared" si="12"/>
        <v>0</v>
      </c>
      <c r="BH37" s="11">
        <f t="shared" si="12"/>
        <v>0</v>
      </c>
    </row>
    <row r="38" spans="2:60" x14ac:dyDescent="0.25">
      <c r="B38" s="297"/>
      <c r="C38" s="88" t="s">
        <v>171</v>
      </c>
      <c r="D38" s="60" t="s">
        <v>155</v>
      </c>
      <c r="E38" s="10"/>
      <c r="F38" s="10"/>
      <c r="G38" s="10">
        <f>F29+F38-F36</f>
        <v>83006769.028444126</v>
      </c>
      <c r="H38" s="10">
        <f t="shared" ref="H38:AL38" si="13">G29+G38-G36</f>
        <v>88005943.437885463</v>
      </c>
      <c r="I38" s="10">
        <f t="shared" si="13"/>
        <v>94032364.408736736</v>
      </c>
      <c r="J38" s="10">
        <f t="shared" si="13"/>
        <v>102646579.12462759</v>
      </c>
      <c r="K38" s="10">
        <f t="shared" si="13"/>
        <v>105304663.77446996</v>
      </c>
      <c r="L38" s="10">
        <f t="shared" si="13"/>
        <v>106652715.32479908</v>
      </c>
      <c r="M38" s="10">
        <f t="shared" si="13"/>
        <v>97012823.241703808</v>
      </c>
      <c r="N38" s="10">
        <f t="shared" si="13"/>
        <v>86291167.916111022</v>
      </c>
      <c r="O38" s="10">
        <f t="shared" si="13"/>
        <v>81788569.475386918</v>
      </c>
      <c r="P38" s="10">
        <f t="shared" si="13"/>
        <v>77512679.955492422</v>
      </c>
      <c r="Q38" s="10">
        <f t="shared" si="13"/>
        <v>72989605.17353946</v>
      </c>
      <c r="R38" s="10">
        <f t="shared" si="13"/>
        <v>66567364.83430402</v>
      </c>
      <c r="S38" s="10">
        <f t="shared" si="13"/>
        <v>58443397.061661005</v>
      </c>
      <c r="T38" s="10">
        <f t="shared" si="13"/>
        <v>49296002.985898264</v>
      </c>
      <c r="U38" s="10">
        <f t="shared" si="13"/>
        <v>41236016.085552603</v>
      </c>
      <c r="V38" s="10">
        <f t="shared" si="13"/>
        <v>33228328.350273453</v>
      </c>
      <c r="W38" s="10">
        <f t="shared" si="13"/>
        <v>23247036.659113839</v>
      </c>
      <c r="X38" s="10">
        <f t="shared" si="13"/>
        <v>23247036.659113839</v>
      </c>
      <c r="Y38" s="10">
        <f t="shared" si="13"/>
        <v>23247036.659113839</v>
      </c>
      <c r="Z38" s="10">
        <f t="shared" si="13"/>
        <v>23247036.659113839</v>
      </c>
      <c r="AA38" s="10">
        <f t="shared" si="13"/>
        <v>23247036.659113839</v>
      </c>
      <c r="AB38" s="10">
        <f t="shared" si="13"/>
        <v>23247036.659113839</v>
      </c>
      <c r="AC38" s="10">
        <f t="shared" si="13"/>
        <v>23247036.659113839</v>
      </c>
      <c r="AD38" s="10">
        <f t="shared" si="13"/>
        <v>23247036.659113839</v>
      </c>
      <c r="AE38" s="10">
        <f t="shared" si="13"/>
        <v>23247036.659113839</v>
      </c>
      <c r="AF38" s="10">
        <f t="shared" si="13"/>
        <v>23247036.659113839</v>
      </c>
      <c r="AG38" s="10">
        <f t="shared" si="13"/>
        <v>23247036.659113839</v>
      </c>
      <c r="AH38" s="10">
        <f t="shared" si="13"/>
        <v>23247036.659113839</v>
      </c>
      <c r="AI38" s="10">
        <f t="shared" si="13"/>
        <v>23247036.659113839</v>
      </c>
      <c r="AJ38" s="10">
        <f t="shared" si="13"/>
        <v>23247036.659113839</v>
      </c>
      <c r="AK38" s="10">
        <f t="shared" si="13"/>
        <v>23247036.659113839</v>
      </c>
      <c r="AL38" s="10">
        <f t="shared" si="13"/>
        <v>23247036.659113839</v>
      </c>
      <c r="AM38" s="10">
        <f t="shared" ref="AM38:BG38" si="14">AL29+AL38-AL36</f>
        <v>23247036.659113839</v>
      </c>
      <c r="AN38" s="10">
        <f t="shared" si="14"/>
        <v>23247036.659113839</v>
      </c>
      <c r="AO38" s="10">
        <f t="shared" si="14"/>
        <v>23247036.659113839</v>
      </c>
      <c r="AP38" s="10">
        <f t="shared" si="14"/>
        <v>23247036.659113839</v>
      </c>
      <c r="AQ38" s="10">
        <f t="shared" si="14"/>
        <v>23247036.659113839</v>
      </c>
      <c r="AR38" s="10">
        <f t="shared" si="14"/>
        <v>23247036.659113839</v>
      </c>
      <c r="AS38" s="10">
        <f t="shared" si="14"/>
        <v>23247036.659113839</v>
      </c>
      <c r="AT38" s="10">
        <f t="shared" si="14"/>
        <v>23247036.659113839</v>
      </c>
      <c r="AU38" s="10">
        <f t="shared" si="14"/>
        <v>23247036.659113839</v>
      </c>
      <c r="AV38" s="10">
        <f t="shared" si="14"/>
        <v>23247036.659113839</v>
      </c>
      <c r="AW38" s="10">
        <f t="shared" si="14"/>
        <v>23247036.659113839</v>
      </c>
      <c r="AX38" s="10">
        <f t="shared" si="14"/>
        <v>23247036.659113839</v>
      </c>
      <c r="AY38" s="10">
        <f t="shared" si="14"/>
        <v>23247036.659113839</v>
      </c>
      <c r="AZ38" s="10">
        <f t="shared" si="14"/>
        <v>23247036.659113839</v>
      </c>
      <c r="BA38" s="10">
        <f t="shared" si="14"/>
        <v>23247036.659113839</v>
      </c>
      <c r="BB38" s="10">
        <f t="shared" si="14"/>
        <v>23247036.659113839</v>
      </c>
      <c r="BC38" s="10">
        <f t="shared" si="14"/>
        <v>23247036.659113839</v>
      </c>
      <c r="BD38" s="10">
        <f t="shared" si="14"/>
        <v>23247036.659113839</v>
      </c>
      <c r="BE38" s="10">
        <f t="shared" si="14"/>
        <v>23247036.659113839</v>
      </c>
      <c r="BF38" s="10">
        <f t="shared" si="14"/>
        <v>23247036.659113839</v>
      </c>
      <c r="BG38" s="10">
        <f t="shared" si="14"/>
        <v>23247036.659113839</v>
      </c>
      <c r="BH38" s="10">
        <f>BG29+BG38-BG36</f>
        <v>23247036.659113839</v>
      </c>
    </row>
    <row r="39" spans="2:60" x14ac:dyDescent="0.25">
      <c r="B39" s="297"/>
      <c r="C39" s="88" t="s">
        <v>171</v>
      </c>
      <c r="D39" s="60" t="s">
        <v>172</v>
      </c>
      <c r="E39" s="10"/>
      <c r="F39" s="280"/>
      <c r="G39" s="280">
        <v>8.825713432623046E-2</v>
      </c>
      <c r="H39" s="280">
        <v>9.3001807496316549E-2</v>
      </c>
      <c r="I39" s="280">
        <v>8.9688879177745803E-2</v>
      </c>
      <c r="J39" s="280">
        <v>7.6957259407439832E-2</v>
      </c>
      <c r="K39" s="280">
        <v>8.1090846542395206E-2</v>
      </c>
      <c r="L39" s="280">
        <v>8.1765165250534566E-2</v>
      </c>
      <c r="M39" s="280">
        <v>7.4755068220041632E-2</v>
      </c>
      <c r="N39" s="280">
        <v>7.0030265438650957E-2</v>
      </c>
      <c r="O39" s="280">
        <v>7.281394200776356E-2</v>
      </c>
      <c r="P39" s="280">
        <v>7.1589419608585711E-2</v>
      </c>
      <c r="Q39" s="280">
        <v>6.1659946063313993E-2</v>
      </c>
      <c r="R39" s="280">
        <v>6.0748539014765547E-2</v>
      </c>
      <c r="S39" s="280">
        <v>5.9830705845111978E-2</v>
      </c>
      <c r="T39" s="280">
        <v>6.811049835180584E-2</v>
      </c>
      <c r="U39" s="280">
        <v>7.1301649695703184E-2</v>
      </c>
      <c r="V39" s="280">
        <v>7.466260359614646E-2</v>
      </c>
      <c r="W39" s="280"/>
      <c r="X39" s="280"/>
      <c r="Y39" s="280"/>
      <c r="Z39" s="280"/>
      <c r="AA39" s="280"/>
      <c r="AB39" s="280"/>
      <c r="AC39" s="280"/>
      <c r="AD39" s="280"/>
      <c r="AE39" s="280"/>
      <c r="AF39" s="280"/>
      <c r="AG39" s="280"/>
      <c r="AH39" s="280"/>
      <c r="AI39" s="280"/>
      <c r="AJ39" s="280"/>
      <c r="AK39" s="280"/>
      <c r="AL39" s="280"/>
      <c r="AM39" s="280"/>
      <c r="AN39" s="280"/>
      <c r="AO39" s="280"/>
      <c r="AP39" s="280"/>
      <c r="AQ39" s="280"/>
      <c r="AR39" s="280"/>
      <c r="AS39" s="280"/>
      <c r="AT39" s="280"/>
      <c r="AU39" s="280"/>
      <c r="AV39" s="280"/>
      <c r="AW39" s="280"/>
      <c r="AX39" s="280"/>
      <c r="AY39" s="280"/>
      <c r="AZ39" s="280"/>
      <c r="BA39" s="280"/>
      <c r="BB39" s="280"/>
      <c r="BC39" s="280"/>
      <c r="BD39" s="280"/>
      <c r="BE39" s="280"/>
      <c r="BF39" s="280"/>
      <c r="BG39" s="280"/>
      <c r="BH39" s="280"/>
    </row>
    <row r="40" spans="2:60" ht="29.25" customHeight="1" x14ac:dyDescent="0.25">
      <c r="D40" s="213"/>
    </row>
    <row r="41" spans="2:60" ht="15.5" x14ac:dyDescent="0.35">
      <c r="B41" s="214" t="s">
        <v>128</v>
      </c>
      <c r="C41" s="4"/>
    </row>
    <row r="42" spans="2:60" ht="13" x14ac:dyDescent="0.3">
      <c r="B42" s="215"/>
      <c r="C42" s="216"/>
    </row>
    <row r="43" spans="2:60" x14ac:dyDescent="0.25">
      <c r="B43" s="22" t="s">
        <v>85</v>
      </c>
      <c r="C43" s="217">
        <f>IF( '1. Pipeline information'!C14=0, "0/01/1960", '1. Pipeline information'!C14)</f>
        <v>39871</v>
      </c>
    </row>
    <row r="48" spans="2:60" x14ac:dyDescent="0.25">
      <c r="C48" s="218"/>
    </row>
    <row r="49" spans="3:3" x14ac:dyDescent="0.25">
      <c r="C49" s="218"/>
    </row>
    <row r="50" spans="3:3" x14ac:dyDescent="0.25">
      <c r="C50" s="6"/>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051A830B-F432-4DC0-B2B9-942CBBE2D87B}"/>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A9475-4F86-43ED-8322-DE4D86874338}">
  <sheetPr>
    <tabColor theme="9" tint="0.79998168889431442"/>
  </sheetPr>
  <dimension ref="A1"/>
  <sheetViews>
    <sheetView showGridLines="0" workbookViewId="0"/>
  </sheetViews>
  <sheetFormatPr defaultRowHeight="12.5" x14ac:dyDescent="0.25"/>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AE5E5-D96F-42FF-8B16-B6B43BF6C1C6}">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453125" defaultRowHeight="12.5" x14ac:dyDescent="0.25"/>
  <cols>
    <col min="1" max="1" width="12.453125" style="205" customWidth="1"/>
    <col min="2" max="2" width="21" style="205" customWidth="1"/>
    <col min="3" max="3" width="64.54296875" style="205" customWidth="1"/>
    <col min="4" max="5" width="42.453125" style="205" customWidth="1"/>
    <col min="6" max="6" width="34.54296875" style="205" customWidth="1"/>
    <col min="7" max="7" width="44" style="205" customWidth="1"/>
    <col min="8" max="16384" width="9.453125" style="205"/>
  </cols>
  <sheetData>
    <row r="1" spans="2:5" ht="20.25" customHeight="1" x14ac:dyDescent="0.4">
      <c r="B1" s="135" t="s">
        <v>302</v>
      </c>
      <c r="C1" s="135"/>
      <c r="D1" s="204"/>
      <c r="E1" s="204"/>
    </row>
    <row r="2" spans="2:5" ht="20" x14ac:dyDescent="0.4">
      <c r="B2" s="135" t="str">
        <f>IF(Tradingname=0," ",Tradingname)</f>
        <v>APA Pipelines Investments (BWP) Pty Limited</v>
      </c>
      <c r="C2" s="135"/>
      <c r="D2" s="206"/>
    </row>
    <row r="3" spans="2:5" ht="23.15" customHeight="1" x14ac:dyDescent="0.4">
      <c r="B3" s="135" t="s">
        <v>109</v>
      </c>
      <c r="C3" s="99">
        <f>IF(Yearending=0, "01/01/2000", Yearending)</f>
        <v>45838</v>
      </c>
    </row>
    <row r="4" spans="2:5" ht="20" x14ac:dyDescent="0.25">
      <c r="B4" s="91" t="s">
        <v>305</v>
      </c>
      <c r="C4" s="91"/>
    </row>
    <row r="6" spans="2:5" x14ac:dyDescent="0.25">
      <c r="B6" s="401" t="s">
        <v>350</v>
      </c>
      <c r="C6" s="401"/>
      <c r="D6" s="401"/>
      <c r="E6" s="401"/>
    </row>
    <row r="7" spans="2:5" ht="12.75" customHeight="1" x14ac:dyDescent="0.25">
      <c r="B7" s="401"/>
      <c r="C7" s="401"/>
      <c r="D7" s="401"/>
      <c r="E7" s="401"/>
    </row>
    <row r="8" spans="2:5" ht="12.75" customHeight="1" x14ac:dyDescent="0.25">
      <c r="B8" s="401"/>
      <c r="C8" s="401"/>
      <c r="D8" s="401"/>
      <c r="E8" s="401"/>
    </row>
    <row r="9" spans="2:5" ht="12.75" customHeight="1" x14ac:dyDescent="0.25">
      <c r="B9" s="401"/>
      <c r="C9" s="401"/>
      <c r="D9" s="401"/>
      <c r="E9" s="401"/>
    </row>
    <row r="12" spans="2:5" ht="15.5" x14ac:dyDescent="0.35">
      <c r="B12" s="207" t="s">
        <v>348</v>
      </c>
      <c r="C12" s="208"/>
      <c r="D12" s="208"/>
      <c r="E12" s="208"/>
    </row>
    <row r="13" spans="2:5" ht="15.5" x14ac:dyDescent="0.35">
      <c r="B13" s="207"/>
      <c r="C13" s="208"/>
      <c r="D13" s="208"/>
      <c r="E13" s="208"/>
    </row>
    <row r="14" spans="2:5" ht="26" x14ac:dyDescent="0.25">
      <c r="B14" s="37" t="s">
        <v>307</v>
      </c>
      <c r="C14" s="37" t="s">
        <v>107</v>
      </c>
      <c r="D14" s="37" t="s">
        <v>108</v>
      </c>
      <c r="E14" s="37" t="s">
        <v>123</v>
      </c>
    </row>
    <row r="15" spans="2:5" x14ac:dyDescent="0.25">
      <c r="B15" s="318" t="s">
        <v>514</v>
      </c>
      <c r="C15" s="284"/>
      <c r="D15" s="80"/>
      <c r="E15" s="71"/>
    </row>
    <row r="16" spans="2:5" x14ac:dyDescent="0.25">
      <c r="B16" s="288"/>
      <c r="C16" s="284"/>
      <c r="D16" s="80"/>
      <c r="E16" s="71"/>
    </row>
    <row r="17" spans="2:5" x14ac:dyDescent="0.25">
      <c r="B17" s="288"/>
      <c r="C17" s="284"/>
      <c r="D17" s="80"/>
      <c r="E17" s="71"/>
    </row>
    <row r="18" spans="2:5" x14ac:dyDescent="0.25">
      <c r="B18" s="288"/>
      <c r="C18" s="284"/>
      <c r="D18" s="80"/>
      <c r="E18" s="71"/>
    </row>
    <row r="19" spans="2:5" x14ac:dyDescent="0.25">
      <c r="B19" s="288"/>
      <c r="C19" s="284"/>
      <c r="D19" s="80"/>
      <c r="E19" s="71"/>
    </row>
    <row r="20" spans="2:5" x14ac:dyDescent="0.25">
      <c r="B20" s="288"/>
      <c r="C20" s="284"/>
      <c r="D20" s="80"/>
      <c r="E20" s="71"/>
    </row>
    <row r="21" spans="2:5" x14ac:dyDescent="0.25">
      <c r="B21" s="288"/>
      <c r="C21" s="284"/>
      <c r="D21" s="80"/>
      <c r="E21" s="71"/>
    </row>
    <row r="22" spans="2:5" x14ac:dyDescent="0.25">
      <c r="B22" s="288"/>
      <c r="C22" s="284"/>
      <c r="D22" s="80"/>
      <c r="E22" s="71"/>
    </row>
    <row r="23" spans="2:5" x14ac:dyDescent="0.25">
      <c r="B23" s="288"/>
      <c r="C23" s="284"/>
      <c r="D23" s="80"/>
      <c r="E23" s="71"/>
    </row>
    <row r="24" spans="2:5" x14ac:dyDescent="0.25">
      <c r="B24" s="288"/>
      <c r="C24" s="284"/>
      <c r="D24" s="80"/>
      <c r="E24" s="71"/>
    </row>
    <row r="25" spans="2:5" x14ac:dyDescent="0.25">
      <c r="B25" s="288"/>
      <c r="C25" s="284"/>
      <c r="D25" s="80"/>
      <c r="E25" s="71"/>
    </row>
    <row r="26" spans="2:5" x14ac:dyDescent="0.25">
      <c r="B26" s="288"/>
      <c r="C26" s="284"/>
      <c r="D26" s="80"/>
      <c r="E26" s="71"/>
    </row>
    <row r="27" spans="2:5" x14ac:dyDescent="0.25">
      <c r="B27" s="288"/>
      <c r="C27" s="284"/>
      <c r="D27" s="80"/>
      <c r="E27" s="71"/>
    </row>
    <row r="28" spans="2:5" x14ac:dyDescent="0.25">
      <c r="B28" s="288"/>
      <c r="C28" s="284"/>
      <c r="D28" s="80"/>
      <c r="E28" s="71"/>
    </row>
    <row r="29" spans="2:5" x14ac:dyDescent="0.25">
      <c r="B29" s="288"/>
      <c r="C29" s="284"/>
      <c r="D29" s="80"/>
      <c r="E29" s="71"/>
    </row>
    <row r="30" spans="2:5" x14ac:dyDescent="0.25">
      <c r="B30" s="288"/>
      <c r="C30" s="284"/>
      <c r="D30" s="80"/>
      <c r="E30" s="71"/>
    </row>
    <row r="31" spans="2:5" x14ac:dyDescent="0.25">
      <c r="B31" s="288"/>
      <c r="C31" s="284"/>
      <c r="D31" s="80"/>
      <c r="E31" s="71"/>
    </row>
    <row r="32" spans="2:5" x14ac:dyDescent="0.25">
      <c r="B32" s="288"/>
      <c r="C32" s="284"/>
      <c r="D32" s="80"/>
      <c r="E32" s="71"/>
    </row>
    <row r="33" spans="2:5" x14ac:dyDescent="0.25">
      <c r="B33" s="288"/>
      <c r="C33" s="284"/>
      <c r="D33" s="80"/>
      <c r="E33" s="71"/>
    </row>
    <row r="34" spans="2:5" x14ac:dyDescent="0.25">
      <c r="B34" s="288"/>
      <c r="C34" s="284"/>
      <c r="D34" s="80"/>
      <c r="E34" s="71"/>
    </row>
    <row r="35" spans="2:5" x14ac:dyDescent="0.25">
      <c r="B35" s="288"/>
      <c r="C35" s="284"/>
      <c r="D35" s="80"/>
      <c r="E35" s="71"/>
    </row>
    <row r="36" spans="2:5" x14ac:dyDescent="0.25">
      <c r="B36" s="288"/>
      <c r="C36" s="284"/>
      <c r="D36" s="80"/>
      <c r="E36" s="71"/>
    </row>
    <row r="37" spans="2:5" x14ac:dyDescent="0.25">
      <c r="B37" s="288"/>
      <c r="C37" s="284"/>
      <c r="D37" s="80"/>
      <c r="E37" s="71"/>
    </row>
    <row r="38" spans="2:5" x14ac:dyDescent="0.25">
      <c r="B38" s="288"/>
      <c r="C38" s="284"/>
      <c r="D38" s="80"/>
      <c r="E38" s="71"/>
    </row>
    <row r="39" spans="2:5" x14ac:dyDescent="0.25">
      <c r="B39" s="288"/>
      <c r="C39" s="284"/>
      <c r="D39" s="80"/>
      <c r="E39" s="71"/>
    </row>
    <row r="40" spans="2:5" x14ac:dyDescent="0.25">
      <c r="B40" s="288"/>
      <c r="C40" s="284"/>
      <c r="D40" s="80"/>
      <c r="E40" s="71"/>
    </row>
    <row r="41" spans="2:5" x14ac:dyDescent="0.25">
      <c r="B41" s="416" t="s">
        <v>216</v>
      </c>
      <c r="C41" s="417"/>
      <c r="D41" s="418"/>
      <c r="E41" s="209">
        <f>SUM(E15:E40)</f>
        <v>0</v>
      </c>
    </row>
    <row r="44" spans="2:5" ht="15.5" x14ac:dyDescent="0.35">
      <c r="B44" s="207" t="s">
        <v>349</v>
      </c>
      <c r="C44" s="208"/>
      <c r="D44" s="208"/>
      <c r="E44" s="208"/>
    </row>
    <row r="45" spans="2:5" ht="15.5" x14ac:dyDescent="0.35">
      <c r="B45" s="207"/>
      <c r="C45" s="208"/>
      <c r="D45" s="208"/>
      <c r="E45" s="208"/>
    </row>
    <row r="46" spans="2:5" ht="26" x14ac:dyDescent="0.25">
      <c r="B46" s="37" t="s">
        <v>307</v>
      </c>
      <c r="C46" s="37" t="s">
        <v>107</v>
      </c>
      <c r="D46" s="37" t="s">
        <v>108</v>
      </c>
      <c r="E46" s="37" t="s">
        <v>123</v>
      </c>
    </row>
    <row r="47" spans="2:5" x14ac:dyDescent="0.25">
      <c r="B47" s="322" t="s">
        <v>514</v>
      </c>
      <c r="C47" s="284" t="s">
        <v>522</v>
      </c>
      <c r="D47" s="311" t="s">
        <v>505</v>
      </c>
      <c r="E47" s="71">
        <v>3434725.81</v>
      </c>
    </row>
    <row r="48" spans="2:5" x14ac:dyDescent="0.25">
      <c r="B48" s="322"/>
      <c r="C48" s="284"/>
      <c r="D48" s="80"/>
      <c r="E48" s="71"/>
    </row>
    <row r="49" spans="2:5" x14ac:dyDescent="0.25">
      <c r="B49" s="322"/>
      <c r="C49" s="284"/>
      <c r="D49" s="80"/>
      <c r="E49" s="71"/>
    </row>
    <row r="50" spans="2:5" x14ac:dyDescent="0.25">
      <c r="B50" s="322"/>
      <c r="C50" s="284"/>
      <c r="D50" s="80"/>
      <c r="E50" s="71"/>
    </row>
    <row r="51" spans="2:5" x14ac:dyDescent="0.25">
      <c r="B51" s="73"/>
      <c r="C51" s="284"/>
      <c r="D51" s="80"/>
      <c r="E51" s="71"/>
    </row>
    <row r="52" spans="2:5" x14ac:dyDescent="0.25">
      <c r="B52" s="73"/>
      <c r="C52" s="284"/>
      <c r="D52" s="80"/>
      <c r="E52" s="71"/>
    </row>
    <row r="53" spans="2:5" x14ac:dyDescent="0.25">
      <c r="B53" s="73"/>
      <c r="C53" s="284"/>
      <c r="D53" s="80"/>
      <c r="E53" s="71"/>
    </row>
    <row r="54" spans="2:5" x14ac:dyDescent="0.25">
      <c r="B54" s="73"/>
      <c r="C54" s="284"/>
      <c r="D54" s="80"/>
      <c r="E54" s="71"/>
    </row>
    <row r="55" spans="2:5" x14ac:dyDescent="0.25">
      <c r="B55" s="73"/>
      <c r="C55" s="284"/>
      <c r="D55" s="80"/>
      <c r="E55" s="71"/>
    </row>
    <row r="56" spans="2:5" x14ac:dyDescent="0.25">
      <c r="B56" s="73"/>
      <c r="C56" s="284"/>
      <c r="D56" s="80"/>
      <c r="E56" s="71"/>
    </row>
    <row r="57" spans="2:5" x14ac:dyDescent="0.25">
      <c r="B57" s="73"/>
      <c r="C57" s="284"/>
      <c r="D57" s="80"/>
      <c r="E57" s="71"/>
    </row>
    <row r="58" spans="2:5" x14ac:dyDescent="0.25">
      <c r="B58" s="73"/>
      <c r="C58" s="284"/>
      <c r="D58" s="80"/>
      <c r="E58" s="71"/>
    </row>
    <row r="59" spans="2:5" x14ac:dyDescent="0.25">
      <c r="B59" s="73"/>
      <c r="C59" s="284"/>
      <c r="D59" s="80"/>
      <c r="E59" s="71"/>
    </row>
    <row r="60" spans="2:5" x14ac:dyDescent="0.25">
      <c r="B60" s="73"/>
      <c r="C60" s="284"/>
      <c r="D60" s="80"/>
      <c r="E60" s="71"/>
    </row>
    <row r="61" spans="2:5" x14ac:dyDescent="0.25">
      <c r="B61" s="73"/>
      <c r="C61" s="284"/>
      <c r="D61" s="80"/>
      <c r="E61" s="71"/>
    </row>
    <row r="62" spans="2:5" x14ac:dyDescent="0.25">
      <c r="B62" s="73"/>
      <c r="C62" s="284"/>
      <c r="D62" s="80"/>
      <c r="E62" s="71"/>
    </row>
    <row r="63" spans="2:5" x14ac:dyDescent="0.25">
      <c r="B63" s="73"/>
      <c r="C63" s="284"/>
      <c r="D63" s="80"/>
      <c r="E63" s="71"/>
    </row>
    <row r="64" spans="2:5" x14ac:dyDescent="0.25">
      <c r="B64" s="73"/>
      <c r="C64" s="284"/>
      <c r="D64" s="80"/>
      <c r="E64" s="71"/>
    </row>
    <row r="65" spans="2:7" x14ac:dyDescent="0.25">
      <c r="B65" s="73"/>
      <c r="C65" s="284"/>
      <c r="D65" s="80"/>
      <c r="E65" s="71"/>
    </row>
    <row r="66" spans="2:7" x14ac:dyDescent="0.25">
      <c r="B66" s="73"/>
      <c r="C66" s="284"/>
      <c r="D66" s="80"/>
      <c r="E66" s="71"/>
    </row>
    <row r="67" spans="2:7" x14ac:dyDescent="0.25">
      <c r="B67" s="73"/>
      <c r="C67" s="284"/>
      <c r="D67" s="80"/>
      <c r="E67" s="71"/>
    </row>
    <row r="68" spans="2:7" x14ac:dyDescent="0.25">
      <c r="B68" s="73"/>
      <c r="C68" s="284"/>
      <c r="D68" s="80"/>
      <c r="E68" s="71"/>
    </row>
    <row r="69" spans="2:7" x14ac:dyDescent="0.25">
      <c r="B69" s="73"/>
      <c r="C69" s="284"/>
      <c r="D69" s="80"/>
      <c r="E69" s="71"/>
    </row>
    <row r="70" spans="2:7" x14ac:dyDescent="0.25">
      <c r="B70" s="73"/>
      <c r="C70" s="284"/>
      <c r="D70" s="80"/>
      <c r="E70" s="71"/>
    </row>
    <row r="71" spans="2:7" x14ac:dyDescent="0.25">
      <c r="B71" s="73"/>
      <c r="C71" s="284"/>
      <c r="D71" s="80"/>
      <c r="E71" s="71"/>
    </row>
    <row r="72" spans="2:7" x14ac:dyDescent="0.25">
      <c r="B72" s="73"/>
      <c r="C72" s="284"/>
      <c r="D72" s="80"/>
      <c r="E72" s="71"/>
    </row>
    <row r="73" spans="2:7" x14ac:dyDescent="0.25">
      <c r="B73" s="416" t="s">
        <v>216</v>
      </c>
      <c r="C73" s="417"/>
      <c r="D73" s="418"/>
      <c r="E73" s="209">
        <f>SUM(E47:E72)</f>
        <v>3434725.81</v>
      </c>
    </row>
    <row r="76" spans="2:7" ht="15.5" x14ac:dyDescent="0.35">
      <c r="B76" s="210" t="s">
        <v>356</v>
      </c>
      <c r="C76" s="208"/>
      <c r="D76" s="208"/>
      <c r="E76" s="208"/>
      <c r="F76" s="211"/>
      <c r="G76" s="208"/>
    </row>
    <row r="77" spans="2:7" ht="15.5" x14ac:dyDescent="0.35">
      <c r="B77" s="207"/>
      <c r="C77" s="208"/>
      <c r="D77" s="208"/>
      <c r="E77" s="208"/>
      <c r="F77" s="211"/>
      <c r="G77" s="208"/>
    </row>
    <row r="78" spans="2:7" ht="42" customHeight="1" x14ac:dyDescent="0.25">
      <c r="B78" s="37" t="s">
        <v>307</v>
      </c>
      <c r="C78" s="37" t="s">
        <v>183</v>
      </c>
      <c r="D78" s="37" t="s">
        <v>358</v>
      </c>
      <c r="E78" s="49" t="s">
        <v>359</v>
      </c>
      <c r="F78" s="49" t="s">
        <v>357</v>
      </c>
      <c r="G78" s="49" t="s">
        <v>184</v>
      </c>
    </row>
    <row r="79" spans="2:7" ht="13" x14ac:dyDescent="0.25">
      <c r="B79" s="89"/>
      <c r="C79" s="37"/>
      <c r="D79" s="53"/>
      <c r="E79" s="53"/>
      <c r="F79" s="53" t="s">
        <v>186</v>
      </c>
      <c r="G79" s="53" t="s">
        <v>110</v>
      </c>
    </row>
    <row r="80" spans="2:7" x14ac:dyDescent="0.25">
      <c r="B80" s="70" t="s">
        <v>514</v>
      </c>
      <c r="C80" s="285"/>
      <c r="D80" s="71"/>
      <c r="E80" s="71"/>
      <c r="F80" s="72"/>
      <c r="G80" s="66"/>
    </row>
    <row r="81" spans="2:7" x14ac:dyDescent="0.25">
      <c r="B81" s="70"/>
      <c r="C81" s="285"/>
      <c r="D81" s="71"/>
      <c r="E81" s="71"/>
      <c r="F81" s="72"/>
      <c r="G81" s="66"/>
    </row>
    <row r="82" spans="2:7" x14ac:dyDescent="0.25">
      <c r="B82" s="70"/>
      <c r="C82" s="285"/>
      <c r="D82" s="71"/>
      <c r="E82" s="71"/>
      <c r="F82" s="72"/>
      <c r="G82" s="66"/>
    </row>
    <row r="83" spans="2:7" x14ac:dyDescent="0.25">
      <c r="B83" s="70"/>
      <c r="C83" s="285"/>
      <c r="D83" s="71"/>
      <c r="E83" s="71"/>
      <c r="F83" s="72"/>
      <c r="G83" s="66"/>
    </row>
    <row r="84" spans="2:7" x14ac:dyDescent="0.25">
      <c r="B84" s="70"/>
      <c r="C84" s="285"/>
      <c r="D84" s="71"/>
      <c r="E84" s="71"/>
      <c r="F84" s="72"/>
      <c r="G84" s="66"/>
    </row>
    <row r="85" spans="2:7" x14ac:dyDescent="0.25">
      <c r="B85" s="70"/>
      <c r="C85" s="285"/>
      <c r="D85" s="71"/>
      <c r="E85" s="71"/>
      <c r="F85" s="72"/>
      <c r="G85" s="66"/>
    </row>
    <row r="86" spans="2:7" x14ac:dyDescent="0.25">
      <c r="B86" s="70"/>
      <c r="C86" s="285"/>
      <c r="D86" s="71"/>
      <c r="E86" s="71"/>
      <c r="F86" s="72"/>
      <c r="G86" s="66"/>
    </row>
    <row r="87" spans="2:7" x14ac:dyDescent="0.25">
      <c r="B87" s="70"/>
      <c r="C87" s="285"/>
      <c r="D87" s="71"/>
      <c r="E87" s="71"/>
      <c r="F87" s="72"/>
      <c r="G87" s="66"/>
    </row>
    <row r="88" spans="2:7" x14ac:dyDescent="0.25">
      <c r="B88" s="70"/>
      <c r="C88" s="285"/>
      <c r="D88" s="71"/>
      <c r="E88" s="71"/>
      <c r="F88" s="72"/>
      <c r="G88" s="66"/>
    </row>
    <row r="89" spans="2:7" x14ac:dyDescent="0.25">
      <c r="B89" s="70"/>
      <c r="C89" s="285"/>
      <c r="D89" s="71"/>
      <c r="E89" s="71"/>
      <c r="F89" s="72"/>
      <c r="G89" s="66"/>
    </row>
    <row r="90" spans="2:7" x14ac:dyDescent="0.25">
      <c r="B90" s="70"/>
      <c r="C90" s="285"/>
      <c r="D90" s="71"/>
      <c r="E90" s="71"/>
      <c r="F90" s="72"/>
      <c r="G90" s="66"/>
    </row>
    <row r="91" spans="2:7" x14ac:dyDescent="0.25">
      <c r="B91" s="70"/>
      <c r="C91" s="285"/>
      <c r="D91" s="71"/>
      <c r="E91" s="71"/>
      <c r="F91" s="72"/>
      <c r="G91" s="66"/>
    </row>
    <row r="92" spans="2:7" x14ac:dyDescent="0.25">
      <c r="B92" s="70"/>
      <c r="C92" s="285"/>
      <c r="D92" s="71"/>
      <c r="E92" s="71"/>
      <c r="F92" s="72"/>
      <c r="G92" s="66"/>
    </row>
    <row r="93" spans="2:7" x14ac:dyDescent="0.25">
      <c r="B93" s="70"/>
      <c r="C93" s="285"/>
      <c r="D93" s="71"/>
      <c r="E93" s="71"/>
      <c r="F93" s="72"/>
      <c r="G93" s="66"/>
    </row>
    <row r="94" spans="2:7" x14ac:dyDescent="0.25">
      <c r="B94" s="70"/>
      <c r="C94" s="285"/>
      <c r="D94" s="71"/>
      <c r="E94" s="71"/>
      <c r="F94" s="72"/>
      <c r="G94" s="66"/>
    </row>
    <row r="95" spans="2:7" x14ac:dyDescent="0.25">
      <c r="B95" s="70"/>
      <c r="C95" s="285"/>
      <c r="D95" s="71"/>
      <c r="E95" s="71"/>
      <c r="F95" s="72"/>
      <c r="G95" s="66"/>
    </row>
    <row r="96" spans="2:7" x14ac:dyDescent="0.25">
      <c r="B96" s="70"/>
      <c r="C96" s="285"/>
      <c r="D96" s="71"/>
      <c r="E96" s="71"/>
      <c r="F96" s="72"/>
      <c r="G96" s="66"/>
    </row>
    <row r="97" spans="2:7" x14ac:dyDescent="0.25">
      <c r="B97" s="70"/>
      <c r="C97" s="285"/>
      <c r="D97" s="71"/>
      <c r="E97" s="71"/>
      <c r="F97" s="72"/>
      <c r="G97" s="66"/>
    </row>
    <row r="98" spans="2:7" x14ac:dyDescent="0.25">
      <c r="B98" s="414" t="s">
        <v>185</v>
      </c>
      <c r="C98" s="415"/>
      <c r="D98" s="415"/>
      <c r="E98" s="415"/>
      <c r="F98" s="415"/>
      <c r="G98" s="90">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F27ED-6264-4D48-A75B-9B9656113080}">
  <sheetPr>
    <tabColor theme="9" tint="0.79998168889431442"/>
  </sheetPr>
  <dimension ref="A1"/>
  <sheetViews>
    <sheetView showGridLines="0" workbookViewId="0"/>
  </sheetViews>
  <sheetFormatPr defaultRowHeight="12.5" x14ac:dyDescent="0.25"/>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234AC-E767-4AAA-9E8F-7FA62D7ED2AF}">
  <sheetPr codeName="Sheet26">
    <tabColor rgb="FF17415D"/>
  </sheetPr>
  <dimension ref="B1:I408"/>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defaultColWidth="8.54296875" defaultRowHeight="12.5" x14ac:dyDescent="0.25"/>
  <cols>
    <col min="1" max="1" width="11.453125" customWidth="1"/>
    <col min="2" max="2" width="47.453125" customWidth="1"/>
    <col min="3" max="3" width="30.54296875" customWidth="1"/>
    <col min="4" max="4" width="71.453125" customWidth="1"/>
    <col min="5" max="9" width="30.54296875" customWidth="1"/>
    <col min="10" max="60" width="10.54296875" customWidth="1"/>
    <col min="62" max="62" width="13.54296875" customWidth="1"/>
  </cols>
  <sheetData>
    <row r="1" spans="2:4" ht="20" x14ac:dyDescent="0.25">
      <c r="B1" s="135" t="s">
        <v>302</v>
      </c>
      <c r="C1" s="135"/>
    </row>
    <row r="2" spans="2:4" ht="25.5" customHeight="1" x14ac:dyDescent="0.25">
      <c r="B2" s="135" t="str">
        <f>IF(Tradingname=0," ",Tradingname)</f>
        <v>APA Pipelines Investments (BWP) Pty Limited</v>
      </c>
      <c r="C2" s="135"/>
    </row>
    <row r="3" spans="2:4" ht="19.5" customHeight="1" x14ac:dyDescent="0.4">
      <c r="B3" s="135" t="s">
        <v>109</v>
      </c>
      <c r="C3" s="99">
        <f>IF(Yearending=0, "01/01/2000", Yearending)</f>
        <v>45838</v>
      </c>
    </row>
    <row r="4" spans="2:4" ht="20" x14ac:dyDescent="0.25">
      <c r="B4" s="91" t="s">
        <v>187</v>
      </c>
      <c r="C4" s="91"/>
    </row>
    <row r="5" spans="2:4" ht="12" customHeight="1" x14ac:dyDescent="0.25"/>
    <row r="6" spans="2:4" ht="12" customHeight="1" x14ac:dyDescent="0.25">
      <c r="B6" s="401" t="s">
        <v>190</v>
      </c>
      <c r="C6" s="401"/>
      <c r="D6" s="401"/>
    </row>
    <row r="7" spans="2:4" ht="12" customHeight="1" x14ac:dyDescent="0.25">
      <c r="B7" s="401"/>
      <c r="C7" s="401"/>
      <c r="D7" s="401"/>
    </row>
    <row r="8" spans="2:4" ht="12" customHeight="1" x14ac:dyDescent="0.25">
      <c r="B8" s="401"/>
      <c r="C8" s="401"/>
      <c r="D8" s="401"/>
    </row>
    <row r="9" spans="2:4" ht="12" customHeight="1" x14ac:dyDescent="0.25">
      <c r="B9" s="401"/>
      <c r="C9" s="401"/>
      <c r="D9" s="401"/>
    </row>
    <row r="10" spans="2:4" ht="12" customHeight="1" x14ac:dyDescent="0.25"/>
    <row r="11" spans="2:4" ht="12" customHeight="1" x14ac:dyDescent="0.25"/>
    <row r="12" spans="2:4" ht="15.5" x14ac:dyDescent="0.35">
      <c r="B12" s="197" t="s">
        <v>214</v>
      </c>
    </row>
    <row r="14" spans="2:4" ht="13" x14ac:dyDescent="0.25">
      <c r="B14" s="51" t="s">
        <v>307</v>
      </c>
      <c r="C14" s="50" t="s">
        <v>189</v>
      </c>
      <c r="D14" s="50" t="s">
        <v>188</v>
      </c>
    </row>
    <row r="15" spans="2:4" x14ac:dyDescent="0.25">
      <c r="B15" s="323" t="s">
        <v>515</v>
      </c>
      <c r="C15" s="62" t="s">
        <v>206</v>
      </c>
      <c r="D15" s="325" t="s">
        <v>503</v>
      </c>
    </row>
    <row r="16" spans="2:4" x14ac:dyDescent="0.25">
      <c r="B16" s="323" t="s">
        <v>515</v>
      </c>
      <c r="C16" s="62" t="s">
        <v>504</v>
      </c>
      <c r="D16" s="62" t="s">
        <v>503</v>
      </c>
    </row>
    <row r="17" spans="2:6" x14ac:dyDescent="0.25">
      <c r="B17" s="298"/>
      <c r="C17" s="62"/>
      <c r="D17" s="62"/>
    </row>
    <row r="18" spans="2:6" x14ac:dyDescent="0.25">
      <c r="B18" s="298"/>
      <c r="C18" s="104"/>
      <c r="D18" s="104"/>
    </row>
    <row r="19" spans="2:6" x14ac:dyDescent="0.25">
      <c r="B19" s="298"/>
      <c r="C19" s="104"/>
      <c r="D19" s="104"/>
    </row>
    <row r="22" spans="2:6" ht="15.5" x14ac:dyDescent="0.35">
      <c r="B22" s="197" t="s">
        <v>373</v>
      </c>
    </row>
    <row r="24" spans="2:6" s="5" customFormat="1" ht="13" x14ac:dyDescent="0.25">
      <c r="B24" s="101"/>
      <c r="C24" s="102" t="s">
        <v>372</v>
      </c>
    </row>
    <row r="25" spans="2:6" s="5" customFormat="1" x14ac:dyDescent="0.25">
      <c r="B25" s="101"/>
      <c r="C25" s="101" t="s">
        <v>212</v>
      </c>
      <c r="D25" s="196"/>
    </row>
    <row r="26" spans="2:6" ht="14" x14ac:dyDescent="0.3">
      <c r="B26" s="112" t="s">
        <v>360</v>
      </c>
      <c r="C26" s="71">
        <f>C42/365</f>
        <v>150.63232876712294</v>
      </c>
      <c r="D26" s="195"/>
      <c r="E26" s="6"/>
      <c r="F26" s="6"/>
    </row>
    <row r="27" spans="2:6" ht="14" x14ac:dyDescent="0.3">
      <c r="B27" s="112" t="s">
        <v>450</v>
      </c>
      <c r="C27" s="71">
        <v>0</v>
      </c>
      <c r="D27" s="195"/>
      <c r="E27" s="6"/>
      <c r="F27" s="6"/>
    </row>
    <row r="28" spans="2:6" ht="14" x14ac:dyDescent="0.3">
      <c r="B28" s="112" t="s">
        <v>362</v>
      </c>
      <c r="C28" s="71">
        <v>0</v>
      </c>
      <c r="D28" s="195"/>
      <c r="E28" s="6"/>
      <c r="F28" s="6"/>
    </row>
    <row r="29" spans="2:6" ht="14" x14ac:dyDescent="0.3">
      <c r="B29" s="112" t="s">
        <v>363</v>
      </c>
      <c r="C29" s="71">
        <v>0</v>
      </c>
      <c r="D29" s="195"/>
      <c r="E29" s="6"/>
      <c r="F29" s="6"/>
    </row>
    <row r="30" spans="2:6" ht="25" x14ac:dyDescent="0.3">
      <c r="B30" s="194" t="s">
        <v>364</v>
      </c>
      <c r="C30" s="71">
        <v>0</v>
      </c>
      <c r="D30" s="195"/>
      <c r="E30" s="6"/>
      <c r="F30" s="6"/>
    </row>
    <row r="31" spans="2:6" ht="14" x14ac:dyDescent="0.3">
      <c r="B31" s="112" t="s">
        <v>451</v>
      </c>
      <c r="C31" s="71">
        <v>0</v>
      </c>
      <c r="D31" s="195"/>
      <c r="E31" s="6"/>
      <c r="F31" s="6"/>
    </row>
    <row r="32" spans="2:6" ht="14" x14ac:dyDescent="0.3">
      <c r="B32" s="112" t="s">
        <v>366</v>
      </c>
      <c r="C32" s="71">
        <v>0</v>
      </c>
      <c r="D32" s="195"/>
      <c r="E32" s="6"/>
      <c r="F32" s="6"/>
    </row>
    <row r="33" spans="2:9" x14ac:dyDescent="0.25">
      <c r="B33" s="112" t="s">
        <v>367</v>
      </c>
      <c r="C33" s="71">
        <v>0</v>
      </c>
      <c r="D33" s="6"/>
      <c r="E33" s="6"/>
      <c r="F33" s="6"/>
    </row>
    <row r="34" spans="2:9" x14ac:dyDescent="0.25">
      <c r="B34" s="112" t="s">
        <v>368</v>
      </c>
      <c r="C34" s="71">
        <v>0</v>
      </c>
      <c r="D34" s="6"/>
      <c r="E34" s="6"/>
      <c r="F34" s="6"/>
    </row>
    <row r="35" spans="2:9" x14ac:dyDescent="0.25">
      <c r="B35" s="112" t="s">
        <v>311</v>
      </c>
      <c r="C35" s="71">
        <v>0</v>
      </c>
    </row>
    <row r="38" spans="2:9" ht="15.5" x14ac:dyDescent="0.35">
      <c r="B38" s="197" t="s">
        <v>215</v>
      </c>
    </row>
    <row r="40" spans="2:9" s="5" customFormat="1" ht="26" x14ac:dyDescent="0.25">
      <c r="B40" s="101"/>
      <c r="C40" s="102" t="s">
        <v>211</v>
      </c>
      <c r="D40" s="102" t="s">
        <v>210</v>
      </c>
      <c r="E40" s="102" t="s">
        <v>206</v>
      </c>
      <c r="F40" s="102" t="s">
        <v>352</v>
      </c>
      <c r="G40" s="102" t="s">
        <v>207</v>
      </c>
      <c r="H40" s="102" t="s">
        <v>208</v>
      </c>
      <c r="I40" s="102" t="s">
        <v>209</v>
      </c>
    </row>
    <row r="41" spans="2:9" s="5" customFormat="1" ht="13" x14ac:dyDescent="0.25">
      <c r="B41" s="101"/>
      <c r="C41" s="103" t="s">
        <v>212</v>
      </c>
      <c r="D41" s="103" t="s">
        <v>212</v>
      </c>
      <c r="E41" s="103" t="s">
        <v>212</v>
      </c>
      <c r="F41" s="103" t="s">
        <v>212</v>
      </c>
      <c r="G41" s="102"/>
      <c r="H41" s="102"/>
      <c r="I41" s="102"/>
    </row>
    <row r="42" spans="2:9" ht="13" x14ac:dyDescent="0.3">
      <c r="B42" s="193" t="s">
        <v>18</v>
      </c>
      <c r="C42" s="11">
        <f>SUM(C43:C408)</f>
        <v>54980.799999999872</v>
      </c>
      <c r="D42" s="11">
        <f>SUM(D43:D408)</f>
        <v>0</v>
      </c>
      <c r="E42" s="11">
        <f>SUM(E43:E408)</f>
        <v>32540.686000000009</v>
      </c>
      <c r="F42" s="11" t="s">
        <v>454</v>
      </c>
      <c r="G42" s="11">
        <f>SUM(G43:G408)</f>
        <v>27319.314000000002</v>
      </c>
      <c r="H42" s="11">
        <f>SUM(H43:H408)</f>
        <v>4879.200000000028</v>
      </c>
      <c r="I42" s="11">
        <f>SUM(I43:I408)</f>
        <v>22440.11399999998</v>
      </c>
    </row>
    <row r="43" spans="2:9" ht="13" x14ac:dyDescent="0.3">
      <c r="B43" s="192">
        <f>IF(Yearstart=0, "1/01/1999", Yearstart)</f>
        <v>45474</v>
      </c>
      <c r="C43" s="81">
        <v>147.94999999999999</v>
      </c>
      <c r="D43" s="81"/>
      <c r="E43" s="81">
        <v>145.137</v>
      </c>
      <c r="F43" s="81">
        <v>164</v>
      </c>
      <c r="G43" s="11">
        <f>F43-E43</f>
        <v>18.863</v>
      </c>
      <c r="H43" s="11">
        <f>'5. Historical demand'!F43-'5. Historical demand'!C43-'5. Historical demand'!D43</f>
        <v>16.050000000000011</v>
      </c>
      <c r="I43" s="11">
        <f>C43+D43-E43</f>
        <v>2.8129999999999882</v>
      </c>
    </row>
    <row r="44" spans="2:9" ht="13" x14ac:dyDescent="0.3">
      <c r="B44" s="192">
        <f t="shared" ref="B44:B107" si="0">IFERROR(IF(Yearending&gt;B43, B43+1, ""),"")</f>
        <v>45475</v>
      </c>
      <c r="C44" s="81">
        <v>147.94999999999999</v>
      </c>
      <c r="D44" s="81"/>
      <c r="E44" s="81">
        <v>156.59200000000001</v>
      </c>
      <c r="F44" s="81">
        <v>164</v>
      </c>
      <c r="G44" s="11">
        <f t="shared" ref="G44:G107" si="1">IFERROR(IF(Yearending&gt;B43,F44-E44,""),"")</f>
        <v>7.407999999999987</v>
      </c>
      <c r="H44" s="11">
        <f>IFERROR(IF(Yearending&gt;B43,'5. Historical demand'!F44-'5. Historical demand'!C44-'5. Historical demand'!D44,""),"")</f>
        <v>16.050000000000011</v>
      </c>
      <c r="I44" s="11">
        <f t="shared" ref="I44:I107" si="2">IFERROR(IF(Yearending&gt;B43,C44+D44-E44,""),"")</f>
        <v>-8.6420000000000243</v>
      </c>
    </row>
    <row r="45" spans="2:9" ht="13" x14ac:dyDescent="0.3">
      <c r="B45" s="192">
        <f t="shared" si="0"/>
        <v>45476</v>
      </c>
      <c r="C45" s="81">
        <v>147.94999999999999</v>
      </c>
      <c r="D45" s="81"/>
      <c r="E45" s="81">
        <v>158.02699999999999</v>
      </c>
      <c r="F45" s="81">
        <v>164</v>
      </c>
      <c r="G45" s="11">
        <f t="shared" si="1"/>
        <v>5.9730000000000132</v>
      </c>
      <c r="H45" s="11">
        <f>IFERROR(IF(Yearending&gt;B44,'5. Historical demand'!F45-'5. Historical demand'!C45-'5. Historical demand'!D45,""),"")</f>
        <v>16.050000000000011</v>
      </c>
      <c r="I45" s="11">
        <f t="shared" si="2"/>
        <v>-10.076999999999998</v>
      </c>
    </row>
    <row r="46" spans="2:9" ht="13" x14ac:dyDescent="0.3">
      <c r="B46" s="192">
        <f t="shared" si="0"/>
        <v>45477</v>
      </c>
      <c r="C46" s="81">
        <v>147.94999999999999</v>
      </c>
      <c r="D46" s="81"/>
      <c r="E46" s="81">
        <v>162.42699999999999</v>
      </c>
      <c r="F46" s="81">
        <v>164</v>
      </c>
      <c r="G46" s="11">
        <f t="shared" si="1"/>
        <v>1.5730000000000075</v>
      </c>
      <c r="H46" s="11">
        <f>IFERROR(IF(Yearending&gt;B45,'5. Historical demand'!F46-'5. Historical demand'!C46-'5. Historical demand'!D46,""),"")</f>
        <v>16.050000000000011</v>
      </c>
      <c r="I46" s="11">
        <f t="shared" si="2"/>
        <v>-14.477000000000004</v>
      </c>
    </row>
    <row r="47" spans="2:9" ht="13" x14ac:dyDescent="0.3">
      <c r="B47" s="192">
        <f t="shared" si="0"/>
        <v>45478</v>
      </c>
      <c r="C47" s="81">
        <v>147.94999999999999</v>
      </c>
      <c r="D47" s="81"/>
      <c r="E47" s="81">
        <v>157.75700000000001</v>
      </c>
      <c r="F47" s="81">
        <v>164</v>
      </c>
      <c r="G47" s="11">
        <f t="shared" si="1"/>
        <v>6.242999999999995</v>
      </c>
      <c r="H47" s="11">
        <f>IFERROR(IF(Yearending&gt;B46,'5. Historical demand'!F47-'5. Historical demand'!C47-'5. Historical demand'!D47,""),"")</f>
        <v>16.050000000000011</v>
      </c>
      <c r="I47" s="11">
        <f t="shared" si="2"/>
        <v>-9.8070000000000164</v>
      </c>
    </row>
    <row r="48" spans="2:9" ht="13" x14ac:dyDescent="0.3">
      <c r="B48" s="192">
        <f t="shared" si="0"/>
        <v>45479</v>
      </c>
      <c r="C48" s="81">
        <v>147.94999999999999</v>
      </c>
      <c r="D48" s="81"/>
      <c r="E48" s="81">
        <v>111.09099999999999</v>
      </c>
      <c r="F48" s="81">
        <v>164</v>
      </c>
      <c r="G48" s="11">
        <f t="shared" si="1"/>
        <v>52.909000000000006</v>
      </c>
      <c r="H48" s="11">
        <f>IFERROR(IF(Yearending&gt;B47,'5. Historical demand'!F48-'5. Historical demand'!C48-'5. Historical demand'!D48,""),"")</f>
        <v>16.050000000000011</v>
      </c>
      <c r="I48" s="11">
        <f t="shared" si="2"/>
        <v>36.858999999999995</v>
      </c>
    </row>
    <row r="49" spans="2:9" ht="13" x14ac:dyDescent="0.3">
      <c r="B49" s="192">
        <f t="shared" si="0"/>
        <v>45480</v>
      </c>
      <c r="C49" s="81">
        <v>147.94999999999999</v>
      </c>
      <c r="D49" s="81"/>
      <c r="E49" s="81">
        <v>124.03100000000001</v>
      </c>
      <c r="F49" s="81">
        <v>164</v>
      </c>
      <c r="G49" s="11">
        <f t="shared" si="1"/>
        <v>39.968999999999994</v>
      </c>
      <c r="H49" s="11">
        <f>IFERROR(IF(Yearending&gt;B48,'5. Historical demand'!F49-'5. Historical demand'!C49-'5. Historical demand'!D49,""),"")</f>
        <v>16.050000000000011</v>
      </c>
      <c r="I49" s="11">
        <f t="shared" si="2"/>
        <v>23.918999999999983</v>
      </c>
    </row>
    <row r="50" spans="2:9" ht="13" x14ac:dyDescent="0.3">
      <c r="B50" s="192">
        <f t="shared" si="0"/>
        <v>45481</v>
      </c>
      <c r="C50" s="81">
        <v>147.94999999999999</v>
      </c>
      <c r="D50" s="81"/>
      <c r="E50" s="81">
        <v>133.209</v>
      </c>
      <c r="F50" s="81">
        <v>164</v>
      </c>
      <c r="G50" s="11">
        <f t="shared" si="1"/>
        <v>30.790999999999997</v>
      </c>
      <c r="H50" s="11">
        <f>IFERROR(IF(Yearending&gt;B49,'5. Historical demand'!F50-'5. Historical demand'!C50-'5. Historical demand'!D50,""),"")</f>
        <v>16.050000000000011</v>
      </c>
      <c r="I50" s="11">
        <f t="shared" si="2"/>
        <v>14.740999999999985</v>
      </c>
    </row>
    <row r="51" spans="2:9" ht="13" x14ac:dyDescent="0.3">
      <c r="B51" s="192">
        <f t="shared" si="0"/>
        <v>45482</v>
      </c>
      <c r="C51" s="81">
        <v>147.94999999999999</v>
      </c>
      <c r="D51" s="81"/>
      <c r="E51" s="81">
        <v>136.02699999999999</v>
      </c>
      <c r="F51" s="81">
        <v>164</v>
      </c>
      <c r="G51" s="11">
        <f t="shared" si="1"/>
        <v>27.973000000000013</v>
      </c>
      <c r="H51" s="11">
        <f>IFERROR(IF(Yearending&gt;B50,'5. Historical demand'!F51-'5. Historical demand'!C51-'5. Historical demand'!D51,""),"")</f>
        <v>16.050000000000011</v>
      </c>
      <c r="I51" s="11">
        <f t="shared" si="2"/>
        <v>11.923000000000002</v>
      </c>
    </row>
    <row r="52" spans="2:9" ht="13" x14ac:dyDescent="0.3">
      <c r="B52" s="192">
        <f t="shared" si="0"/>
        <v>45483</v>
      </c>
      <c r="C52" s="81">
        <v>147.94999999999999</v>
      </c>
      <c r="D52" s="81"/>
      <c r="E52" s="81">
        <v>128.63</v>
      </c>
      <c r="F52" s="81">
        <v>164</v>
      </c>
      <c r="G52" s="11">
        <f t="shared" si="1"/>
        <v>35.370000000000005</v>
      </c>
      <c r="H52" s="11">
        <f>IFERROR(IF(Yearending&gt;B51,'5. Historical demand'!F52-'5. Historical demand'!C52-'5. Historical demand'!D52,""),"")</f>
        <v>16.050000000000011</v>
      </c>
      <c r="I52" s="11">
        <f t="shared" si="2"/>
        <v>19.319999999999993</v>
      </c>
    </row>
    <row r="53" spans="2:9" ht="13" x14ac:dyDescent="0.3">
      <c r="B53" s="192">
        <f t="shared" si="0"/>
        <v>45484</v>
      </c>
      <c r="C53" s="81">
        <v>147.94999999999999</v>
      </c>
      <c r="D53" s="81"/>
      <c r="E53" s="81">
        <v>121.968</v>
      </c>
      <c r="F53" s="81">
        <v>164</v>
      </c>
      <c r="G53" s="11">
        <f t="shared" si="1"/>
        <v>42.031999999999996</v>
      </c>
      <c r="H53" s="11">
        <f>IFERROR(IF(Yearending&gt;B52,'5. Historical demand'!F53-'5. Historical demand'!C53-'5. Historical demand'!D53,""),"")</f>
        <v>16.050000000000011</v>
      </c>
      <c r="I53" s="11">
        <f t="shared" si="2"/>
        <v>25.981999999999985</v>
      </c>
    </row>
    <row r="54" spans="2:9" ht="13" x14ac:dyDescent="0.3">
      <c r="B54" s="192">
        <f t="shared" si="0"/>
        <v>45485</v>
      </c>
      <c r="C54" s="81">
        <v>147.94999999999999</v>
      </c>
      <c r="D54" s="81"/>
      <c r="E54" s="81">
        <v>136.1</v>
      </c>
      <c r="F54" s="81">
        <v>164</v>
      </c>
      <c r="G54" s="11">
        <f t="shared" si="1"/>
        <v>27.900000000000006</v>
      </c>
      <c r="H54" s="11">
        <f>IFERROR(IF(Yearending&gt;B53,'5. Historical demand'!F54-'5. Historical demand'!C54-'5. Historical demand'!D54,""),"")</f>
        <v>16.050000000000011</v>
      </c>
      <c r="I54" s="11">
        <f t="shared" si="2"/>
        <v>11.849999999999994</v>
      </c>
    </row>
    <row r="55" spans="2:9" ht="13" x14ac:dyDescent="0.3">
      <c r="B55" s="192">
        <f t="shared" si="0"/>
        <v>45486</v>
      </c>
      <c r="C55" s="81">
        <v>147.94999999999999</v>
      </c>
      <c r="D55" s="81"/>
      <c r="E55" s="81">
        <v>131.67699999999999</v>
      </c>
      <c r="F55" s="81">
        <v>164</v>
      </c>
      <c r="G55" s="11">
        <f t="shared" si="1"/>
        <v>32.323000000000008</v>
      </c>
      <c r="H55" s="11">
        <f>IFERROR(IF(Yearending&gt;B54,'5. Historical demand'!F55-'5. Historical demand'!C55-'5. Historical demand'!D55,""),"")</f>
        <v>16.050000000000011</v>
      </c>
      <c r="I55" s="11">
        <f t="shared" si="2"/>
        <v>16.272999999999996</v>
      </c>
    </row>
    <row r="56" spans="2:9" ht="13" x14ac:dyDescent="0.3">
      <c r="B56" s="192">
        <f t="shared" si="0"/>
        <v>45487</v>
      </c>
      <c r="C56" s="81">
        <v>147.94999999999999</v>
      </c>
      <c r="D56" s="81"/>
      <c r="E56" s="81">
        <v>127.188</v>
      </c>
      <c r="F56" s="81">
        <v>164</v>
      </c>
      <c r="G56" s="11">
        <f t="shared" si="1"/>
        <v>36.811999999999998</v>
      </c>
      <c r="H56" s="11">
        <f>IFERROR(IF(Yearending&gt;B55,'5. Historical demand'!F56-'5. Historical demand'!C56-'5. Historical demand'!D56,""),"")</f>
        <v>16.050000000000011</v>
      </c>
      <c r="I56" s="11">
        <f t="shared" si="2"/>
        <v>20.761999999999986</v>
      </c>
    </row>
    <row r="57" spans="2:9" ht="13" x14ac:dyDescent="0.3">
      <c r="B57" s="192">
        <f t="shared" si="0"/>
        <v>45488</v>
      </c>
      <c r="C57" s="81">
        <v>147.94999999999999</v>
      </c>
      <c r="D57" s="81"/>
      <c r="E57" s="81">
        <v>89.707999999999998</v>
      </c>
      <c r="F57" s="81">
        <v>164</v>
      </c>
      <c r="G57" s="11">
        <f t="shared" si="1"/>
        <v>74.292000000000002</v>
      </c>
      <c r="H57" s="11">
        <f>IFERROR(IF(Yearending&gt;B56,'5. Historical demand'!F57-'5. Historical demand'!C57-'5. Historical demand'!D57,""),"")</f>
        <v>16.050000000000011</v>
      </c>
      <c r="I57" s="11">
        <f t="shared" si="2"/>
        <v>58.24199999999999</v>
      </c>
    </row>
    <row r="58" spans="2:9" ht="13" x14ac:dyDescent="0.3">
      <c r="B58" s="192">
        <f t="shared" si="0"/>
        <v>45489</v>
      </c>
      <c r="C58" s="81">
        <v>147.94999999999999</v>
      </c>
      <c r="D58" s="81"/>
      <c r="E58" s="81">
        <v>72.052999999999997</v>
      </c>
      <c r="F58" s="81">
        <v>164</v>
      </c>
      <c r="G58" s="11">
        <f t="shared" si="1"/>
        <v>91.947000000000003</v>
      </c>
      <c r="H58" s="11">
        <f>IFERROR(IF(Yearending&gt;B57,'5. Historical demand'!F58-'5. Historical demand'!C58-'5. Historical demand'!D58,""),"")</f>
        <v>16.050000000000011</v>
      </c>
      <c r="I58" s="11">
        <f t="shared" si="2"/>
        <v>75.896999999999991</v>
      </c>
    </row>
    <row r="59" spans="2:9" ht="13" x14ac:dyDescent="0.3">
      <c r="B59" s="192">
        <f t="shared" si="0"/>
        <v>45490</v>
      </c>
      <c r="C59" s="81">
        <v>147.94999999999999</v>
      </c>
      <c r="D59" s="81"/>
      <c r="E59" s="81">
        <v>105.343</v>
      </c>
      <c r="F59" s="81">
        <v>164</v>
      </c>
      <c r="G59" s="11">
        <f t="shared" si="1"/>
        <v>58.656999999999996</v>
      </c>
      <c r="H59" s="11">
        <f>IFERROR(IF(Yearending&gt;B58,'5. Historical demand'!F59-'5. Historical demand'!C59-'5. Historical demand'!D59,""),"")</f>
        <v>16.050000000000011</v>
      </c>
      <c r="I59" s="11">
        <f t="shared" si="2"/>
        <v>42.606999999999985</v>
      </c>
    </row>
    <row r="60" spans="2:9" ht="13" x14ac:dyDescent="0.3">
      <c r="B60" s="192">
        <f t="shared" si="0"/>
        <v>45491</v>
      </c>
      <c r="C60" s="81">
        <v>147.94999999999999</v>
      </c>
      <c r="D60" s="81"/>
      <c r="E60" s="81">
        <v>94.415000000000006</v>
      </c>
      <c r="F60" s="81">
        <v>164</v>
      </c>
      <c r="G60" s="11">
        <f t="shared" si="1"/>
        <v>69.584999999999994</v>
      </c>
      <c r="H60" s="11">
        <f>IFERROR(IF(Yearending&gt;B59,'5. Historical demand'!F60-'5. Historical demand'!C60-'5. Historical demand'!D60,""),"")</f>
        <v>16.050000000000011</v>
      </c>
      <c r="I60" s="11">
        <f t="shared" si="2"/>
        <v>53.534999999999982</v>
      </c>
    </row>
    <row r="61" spans="2:9" ht="13" x14ac:dyDescent="0.3">
      <c r="B61" s="192">
        <f t="shared" si="0"/>
        <v>45492</v>
      </c>
      <c r="C61" s="81">
        <v>147.94999999999999</v>
      </c>
      <c r="D61" s="81"/>
      <c r="E61" s="81">
        <v>89.213999999999999</v>
      </c>
      <c r="F61" s="81">
        <v>164</v>
      </c>
      <c r="G61" s="11">
        <f t="shared" si="1"/>
        <v>74.786000000000001</v>
      </c>
      <c r="H61" s="11">
        <f>IFERROR(IF(Yearending&gt;B60,'5. Historical demand'!F61-'5. Historical demand'!C61-'5. Historical demand'!D61,""),"")</f>
        <v>16.050000000000011</v>
      </c>
      <c r="I61" s="11">
        <f t="shared" si="2"/>
        <v>58.73599999999999</v>
      </c>
    </row>
    <row r="62" spans="2:9" ht="13" x14ac:dyDescent="0.3">
      <c r="B62" s="192">
        <f t="shared" si="0"/>
        <v>45493</v>
      </c>
      <c r="C62" s="81">
        <v>147.94999999999999</v>
      </c>
      <c r="D62" s="81"/>
      <c r="E62" s="81">
        <v>94.286000000000001</v>
      </c>
      <c r="F62" s="81">
        <v>164</v>
      </c>
      <c r="G62" s="11">
        <f t="shared" si="1"/>
        <v>69.713999999999999</v>
      </c>
      <c r="H62" s="11">
        <f>IFERROR(IF(Yearending&gt;B61,'5. Historical demand'!F62-'5. Historical demand'!C62-'5. Historical demand'!D62,""),"")</f>
        <v>16.050000000000011</v>
      </c>
      <c r="I62" s="11">
        <f t="shared" si="2"/>
        <v>53.663999999999987</v>
      </c>
    </row>
    <row r="63" spans="2:9" ht="13" x14ac:dyDescent="0.3">
      <c r="B63" s="192">
        <f t="shared" si="0"/>
        <v>45494</v>
      </c>
      <c r="C63" s="81">
        <v>147.94999999999999</v>
      </c>
      <c r="D63" s="81"/>
      <c r="E63" s="81">
        <v>82.501999999999995</v>
      </c>
      <c r="F63" s="81">
        <v>164</v>
      </c>
      <c r="G63" s="11">
        <f t="shared" si="1"/>
        <v>81.498000000000005</v>
      </c>
      <c r="H63" s="11">
        <f>IFERROR(IF(Yearending&gt;B62,'5. Historical demand'!F63-'5. Historical demand'!C63-'5. Historical demand'!D63,""),"")</f>
        <v>16.050000000000011</v>
      </c>
      <c r="I63" s="11">
        <f t="shared" si="2"/>
        <v>65.447999999999993</v>
      </c>
    </row>
    <row r="64" spans="2:9" ht="13" x14ac:dyDescent="0.3">
      <c r="B64" s="192">
        <f t="shared" si="0"/>
        <v>45495</v>
      </c>
      <c r="C64" s="81">
        <v>147.94999999999999</v>
      </c>
      <c r="D64" s="81"/>
      <c r="E64" s="81">
        <v>55.655000000000001</v>
      </c>
      <c r="F64" s="81">
        <v>164</v>
      </c>
      <c r="G64" s="11">
        <f t="shared" si="1"/>
        <v>108.345</v>
      </c>
      <c r="H64" s="11">
        <f>IFERROR(IF(Yearending&gt;B63,'5. Historical demand'!F64-'5. Historical demand'!C64-'5. Historical demand'!D64,""),"")</f>
        <v>16.050000000000011</v>
      </c>
      <c r="I64" s="11">
        <f t="shared" si="2"/>
        <v>92.294999999999987</v>
      </c>
    </row>
    <row r="65" spans="2:9" ht="13" x14ac:dyDescent="0.3">
      <c r="B65" s="192">
        <f t="shared" si="0"/>
        <v>45496</v>
      </c>
      <c r="C65" s="81">
        <v>147.94999999999999</v>
      </c>
      <c r="D65" s="81"/>
      <c r="E65" s="81">
        <v>87.721000000000004</v>
      </c>
      <c r="F65" s="81">
        <v>164</v>
      </c>
      <c r="G65" s="11">
        <f t="shared" si="1"/>
        <v>76.278999999999996</v>
      </c>
      <c r="H65" s="11">
        <f>IFERROR(IF(Yearending&gt;B64,'5. Historical demand'!F65-'5. Historical demand'!C65-'5. Historical demand'!D65,""),"")</f>
        <v>16.050000000000011</v>
      </c>
      <c r="I65" s="11">
        <f t="shared" si="2"/>
        <v>60.228999999999985</v>
      </c>
    </row>
    <row r="66" spans="2:9" ht="13" x14ac:dyDescent="0.3">
      <c r="B66" s="192">
        <f t="shared" si="0"/>
        <v>45497</v>
      </c>
      <c r="C66" s="81">
        <v>147.94999999999999</v>
      </c>
      <c r="D66" s="81"/>
      <c r="E66" s="81">
        <v>65.403999999999996</v>
      </c>
      <c r="F66" s="81">
        <v>164</v>
      </c>
      <c r="G66" s="11">
        <f t="shared" si="1"/>
        <v>98.596000000000004</v>
      </c>
      <c r="H66" s="11">
        <f>IFERROR(IF(Yearending&gt;B65,'5. Historical demand'!F66-'5. Historical demand'!C66-'5. Historical demand'!D66,""),"")</f>
        <v>16.050000000000011</v>
      </c>
      <c r="I66" s="11">
        <f t="shared" si="2"/>
        <v>82.545999999999992</v>
      </c>
    </row>
    <row r="67" spans="2:9" ht="13" x14ac:dyDescent="0.3">
      <c r="B67" s="192">
        <f t="shared" si="0"/>
        <v>45498</v>
      </c>
      <c r="C67" s="81">
        <v>147.94999999999999</v>
      </c>
      <c r="D67" s="81"/>
      <c r="E67" s="81">
        <v>86.263999999999996</v>
      </c>
      <c r="F67" s="81">
        <v>164</v>
      </c>
      <c r="G67" s="11">
        <f t="shared" si="1"/>
        <v>77.736000000000004</v>
      </c>
      <c r="H67" s="11">
        <f>IFERROR(IF(Yearending&gt;B66,'5. Historical demand'!F67-'5. Historical demand'!C67-'5. Historical demand'!D67,""),"")</f>
        <v>16.050000000000011</v>
      </c>
      <c r="I67" s="11">
        <f t="shared" si="2"/>
        <v>61.685999999999993</v>
      </c>
    </row>
    <row r="68" spans="2:9" ht="13" x14ac:dyDescent="0.3">
      <c r="B68" s="192">
        <f t="shared" si="0"/>
        <v>45499</v>
      </c>
      <c r="C68" s="81">
        <v>147.94999999999999</v>
      </c>
      <c r="D68" s="81"/>
      <c r="E68" s="81">
        <v>103.703</v>
      </c>
      <c r="F68" s="81">
        <v>164</v>
      </c>
      <c r="G68" s="11">
        <f t="shared" si="1"/>
        <v>60.296999999999997</v>
      </c>
      <c r="H68" s="11">
        <f>IFERROR(IF(Yearending&gt;B67,'5. Historical demand'!F68-'5. Historical demand'!C68-'5. Historical demand'!D68,""),"")</f>
        <v>16.050000000000011</v>
      </c>
      <c r="I68" s="11">
        <f t="shared" si="2"/>
        <v>44.246999999999986</v>
      </c>
    </row>
    <row r="69" spans="2:9" ht="13" x14ac:dyDescent="0.3">
      <c r="B69" s="192">
        <f t="shared" si="0"/>
        <v>45500</v>
      </c>
      <c r="C69" s="81">
        <v>147.94999999999999</v>
      </c>
      <c r="D69" s="81"/>
      <c r="E69" s="81">
        <v>99.183000000000007</v>
      </c>
      <c r="F69" s="81">
        <v>164</v>
      </c>
      <c r="G69" s="11">
        <f t="shared" si="1"/>
        <v>64.816999999999993</v>
      </c>
      <c r="H69" s="11">
        <f>IFERROR(IF(Yearending&gt;B68,'5. Historical demand'!F69-'5. Historical demand'!C69-'5. Historical demand'!D69,""),"")</f>
        <v>16.050000000000011</v>
      </c>
      <c r="I69" s="11">
        <f t="shared" si="2"/>
        <v>48.766999999999982</v>
      </c>
    </row>
    <row r="70" spans="2:9" ht="13" x14ac:dyDescent="0.3">
      <c r="B70" s="192">
        <f t="shared" si="0"/>
        <v>45501</v>
      </c>
      <c r="C70" s="81">
        <v>147.94999999999999</v>
      </c>
      <c r="D70" s="81"/>
      <c r="E70" s="81">
        <v>92.921000000000006</v>
      </c>
      <c r="F70" s="81">
        <v>164</v>
      </c>
      <c r="G70" s="11">
        <f t="shared" si="1"/>
        <v>71.078999999999994</v>
      </c>
      <c r="H70" s="11">
        <f>IFERROR(IF(Yearending&gt;B69,'5. Historical demand'!F70-'5. Historical demand'!C70-'5. Historical demand'!D70,""),"")</f>
        <v>16.050000000000011</v>
      </c>
      <c r="I70" s="11">
        <f t="shared" si="2"/>
        <v>55.028999999999982</v>
      </c>
    </row>
    <row r="71" spans="2:9" ht="13" x14ac:dyDescent="0.3">
      <c r="B71" s="192">
        <f t="shared" si="0"/>
        <v>45502</v>
      </c>
      <c r="C71" s="81">
        <v>147.94999999999999</v>
      </c>
      <c r="D71" s="81"/>
      <c r="E71" s="81">
        <v>113.97</v>
      </c>
      <c r="F71" s="81">
        <v>164</v>
      </c>
      <c r="G71" s="11">
        <f t="shared" si="1"/>
        <v>50.03</v>
      </c>
      <c r="H71" s="11">
        <f>IFERROR(IF(Yearending&gt;B70,'5. Historical demand'!F71-'5. Historical demand'!C71-'5. Historical demand'!D71,""),"")</f>
        <v>16.050000000000011</v>
      </c>
      <c r="I71" s="11">
        <f t="shared" si="2"/>
        <v>33.97999999999999</v>
      </c>
    </row>
    <row r="72" spans="2:9" ht="13" x14ac:dyDescent="0.3">
      <c r="B72" s="192">
        <f t="shared" si="0"/>
        <v>45503</v>
      </c>
      <c r="C72" s="81">
        <v>147.94999999999999</v>
      </c>
      <c r="D72" s="81"/>
      <c r="E72" s="81">
        <v>120.803</v>
      </c>
      <c r="F72" s="81">
        <v>164</v>
      </c>
      <c r="G72" s="11">
        <f t="shared" si="1"/>
        <v>43.197000000000003</v>
      </c>
      <c r="H72" s="11">
        <f>IFERROR(IF(Yearending&gt;B71,'5. Historical demand'!F72-'5. Historical demand'!C72-'5. Historical demand'!D72,""),"")</f>
        <v>16.050000000000011</v>
      </c>
      <c r="I72" s="11">
        <f t="shared" si="2"/>
        <v>27.146999999999991</v>
      </c>
    </row>
    <row r="73" spans="2:9" ht="13" x14ac:dyDescent="0.3">
      <c r="B73" s="192">
        <f t="shared" si="0"/>
        <v>45504</v>
      </c>
      <c r="C73" s="81">
        <v>147.94999999999999</v>
      </c>
      <c r="D73" s="81"/>
      <c r="E73" s="81">
        <v>109.85</v>
      </c>
      <c r="F73" s="81">
        <v>164</v>
      </c>
      <c r="G73" s="11">
        <f t="shared" si="1"/>
        <v>54.150000000000006</v>
      </c>
      <c r="H73" s="11">
        <f>IFERROR(IF(Yearending&gt;B72,'5. Historical demand'!F73-'5. Historical demand'!C73-'5. Historical demand'!D73,""),"")</f>
        <v>16.050000000000011</v>
      </c>
      <c r="I73" s="11">
        <f t="shared" si="2"/>
        <v>38.099999999999994</v>
      </c>
    </row>
    <row r="74" spans="2:9" ht="13" x14ac:dyDescent="0.3">
      <c r="B74" s="192">
        <f t="shared" si="0"/>
        <v>45505</v>
      </c>
      <c r="C74" s="81">
        <v>147.94999999999999</v>
      </c>
      <c r="D74" s="81"/>
      <c r="E74" s="81">
        <v>108.42700000000001</v>
      </c>
      <c r="F74" s="81">
        <v>164</v>
      </c>
      <c r="G74" s="11">
        <f t="shared" si="1"/>
        <v>55.572999999999993</v>
      </c>
      <c r="H74" s="11">
        <f>IFERROR(IF(Yearending&gt;B73,'5. Historical demand'!F74-'5. Historical demand'!C74-'5. Historical demand'!D74,""),"")</f>
        <v>16.050000000000011</v>
      </c>
      <c r="I74" s="11">
        <f t="shared" si="2"/>
        <v>39.522999999999982</v>
      </c>
    </row>
    <row r="75" spans="2:9" ht="13" x14ac:dyDescent="0.3">
      <c r="B75" s="192">
        <f t="shared" si="0"/>
        <v>45506</v>
      </c>
      <c r="C75" s="81">
        <v>147.94999999999999</v>
      </c>
      <c r="D75" s="81"/>
      <c r="E75" s="81">
        <v>92.426000000000002</v>
      </c>
      <c r="F75" s="81">
        <v>164</v>
      </c>
      <c r="G75" s="11">
        <f t="shared" si="1"/>
        <v>71.573999999999998</v>
      </c>
      <c r="H75" s="11">
        <f>IFERROR(IF(Yearending&gt;B74,'5. Historical demand'!F75-'5. Historical demand'!C75-'5. Historical demand'!D75,""),"")</f>
        <v>16.050000000000011</v>
      </c>
      <c r="I75" s="11">
        <f t="shared" si="2"/>
        <v>55.523999999999987</v>
      </c>
    </row>
    <row r="76" spans="2:9" ht="13" x14ac:dyDescent="0.3">
      <c r="B76" s="192">
        <f t="shared" si="0"/>
        <v>45507</v>
      </c>
      <c r="C76" s="81">
        <v>147.94999999999999</v>
      </c>
      <c r="D76" s="81"/>
      <c r="E76" s="81">
        <v>73.936000000000007</v>
      </c>
      <c r="F76" s="81">
        <v>164</v>
      </c>
      <c r="G76" s="11">
        <f t="shared" si="1"/>
        <v>90.063999999999993</v>
      </c>
      <c r="H76" s="11">
        <f>IFERROR(IF(Yearending&gt;B75,'5. Historical demand'!F76-'5. Historical demand'!C76-'5. Historical demand'!D76,""),"")</f>
        <v>16.050000000000011</v>
      </c>
      <c r="I76" s="11">
        <f t="shared" si="2"/>
        <v>74.013999999999982</v>
      </c>
    </row>
    <row r="77" spans="2:9" ht="13" x14ac:dyDescent="0.3">
      <c r="B77" s="192">
        <f t="shared" si="0"/>
        <v>45508</v>
      </c>
      <c r="C77" s="81">
        <v>147.94999999999999</v>
      </c>
      <c r="D77" s="81"/>
      <c r="E77" s="81">
        <v>67.450999999999993</v>
      </c>
      <c r="F77" s="81">
        <v>164</v>
      </c>
      <c r="G77" s="11">
        <f t="shared" si="1"/>
        <v>96.549000000000007</v>
      </c>
      <c r="H77" s="11">
        <f>IFERROR(IF(Yearending&gt;B76,'5. Historical demand'!F77-'5. Historical demand'!C77-'5. Historical demand'!D77,""),"")</f>
        <v>16.050000000000011</v>
      </c>
      <c r="I77" s="11">
        <f t="shared" si="2"/>
        <v>80.498999999999995</v>
      </c>
    </row>
    <row r="78" spans="2:9" ht="13" x14ac:dyDescent="0.3">
      <c r="B78" s="192">
        <f t="shared" si="0"/>
        <v>45509</v>
      </c>
      <c r="C78" s="81">
        <v>147.94999999999999</v>
      </c>
      <c r="D78" s="81"/>
      <c r="E78" s="81">
        <v>107.467</v>
      </c>
      <c r="F78" s="81">
        <v>164</v>
      </c>
      <c r="G78" s="11">
        <f t="shared" si="1"/>
        <v>56.533000000000001</v>
      </c>
      <c r="H78" s="11">
        <f>IFERROR(IF(Yearending&gt;B77,'5. Historical demand'!F78-'5. Historical demand'!C78-'5. Historical demand'!D78,""),"")</f>
        <v>16.050000000000011</v>
      </c>
      <c r="I78" s="11">
        <f t="shared" si="2"/>
        <v>40.48299999999999</v>
      </c>
    </row>
    <row r="79" spans="2:9" ht="13" x14ac:dyDescent="0.3">
      <c r="B79" s="192">
        <f t="shared" si="0"/>
        <v>45510</v>
      </c>
      <c r="C79" s="81">
        <v>147.94999999999999</v>
      </c>
      <c r="D79" s="81"/>
      <c r="E79" s="81">
        <v>107.75</v>
      </c>
      <c r="F79" s="81">
        <v>164</v>
      </c>
      <c r="G79" s="11">
        <f t="shared" si="1"/>
        <v>56.25</v>
      </c>
      <c r="H79" s="11">
        <f>IFERROR(IF(Yearending&gt;B78,'5. Historical demand'!F79-'5. Historical demand'!C79-'5. Historical demand'!D79,""),"")</f>
        <v>16.050000000000011</v>
      </c>
      <c r="I79" s="11">
        <f t="shared" si="2"/>
        <v>40.199999999999989</v>
      </c>
    </row>
    <row r="80" spans="2:9" ht="13" x14ac:dyDescent="0.3">
      <c r="B80" s="192">
        <f t="shared" si="0"/>
        <v>45511</v>
      </c>
      <c r="C80" s="81">
        <v>147.94999999999999</v>
      </c>
      <c r="D80" s="81"/>
      <c r="E80" s="81">
        <v>76.677000000000007</v>
      </c>
      <c r="F80" s="81">
        <v>164</v>
      </c>
      <c r="G80" s="11">
        <f t="shared" si="1"/>
        <v>87.322999999999993</v>
      </c>
      <c r="H80" s="11">
        <f>IFERROR(IF(Yearending&gt;B79,'5. Historical demand'!F80-'5. Historical demand'!C80-'5. Historical demand'!D80,""),"")</f>
        <v>16.050000000000011</v>
      </c>
      <c r="I80" s="11">
        <f t="shared" si="2"/>
        <v>71.272999999999982</v>
      </c>
    </row>
    <row r="81" spans="2:9" ht="13" x14ac:dyDescent="0.3">
      <c r="B81" s="192">
        <f t="shared" si="0"/>
        <v>45512</v>
      </c>
      <c r="C81" s="81">
        <v>147.94999999999999</v>
      </c>
      <c r="D81" s="81"/>
      <c r="E81" s="81">
        <v>101.414</v>
      </c>
      <c r="F81" s="81">
        <v>164</v>
      </c>
      <c r="G81" s="11">
        <f t="shared" si="1"/>
        <v>62.585999999999999</v>
      </c>
      <c r="H81" s="11">
        <f>IFERROR(IF(Yearending&gt;B80,'5. Historical demand'!F81-'5. Historical demand'!C81-'5. Historical demand'!D81,""),"")</f>
        <v>16.050000000000011</v>
      </c>
      <c r="I81" s="11">
        <f t="shared" si="2"/>
        <v>46.535999999999987</v>
      </c>
    </row>
    <row r="82" spans="2:9" ht="13" x14ac:dyDescent="0.3">
      <c r="B82" s="192">
        <f t="shared" si="0"/>
        <v>45513</v>
      </c>
      <c r="C82" s="81">
        <v>147.94999999999999</v>
      </c>
      <c r="D82" s="81"/>
      <c r="E82" s="81">
        <v>160.292</v>
      </c>
      <c r="F82" s="81">
        <v>164</v>
      </c>
      <c r="G82" s="11">
        <f t="shared" si="1"/>
        <v>3.7079999999999984</v>
      </c>
      <c r="H82" s="11">
        <f>IFERROR(IF(Yearending&gt;B81,'5. Historical demand'!F82-'5. Historical demand'!C82-'5. Historical demand'!D82,""),"")</f>
        <v>16.050000000000011</v>
      </c>
      <c r="I82" s="11">
        <f t="shared" si="2"/>
        <v>-12.342000000000013</v>
      </c>
    </row>
    <row r="83" spans="2:9" ht="13" x14ac:dyDescent="0.3">
      <c r="B83" s="192">
        <f t="shared" si="0"/>
        <v>45514</v>
      </c>
      <c r="C83" s="81">
        <v>147.94999999999999</v>
      </c>
      <c r="D83" s="81"/>
      <c r="E83" s="81">
        <v>142.88999999999999</v>
      </c>
      <c r="F83" s="81">
        <v>164</v>
      </c>
      <c r="G83" s="11">
        <f t="shared" si="1"/>
        <v>21.110000000000014</v>
      </c>
      <c r="H83" s="11">
        <f>IFERROR(IF(Yearending&gt;B82,'5. Historical demand'!F83-'5. Historical demand'!C83-'5. Historical demand'!D83,""),"")</f>
        <v>16.050000000000011</v>
      </c>
      <c r="I83" s="11">
        <f t="shared" si="2"/>
        <v>5.0600000000000023</v>
      </c>
    </row>
    <row r="84" spans="2:9" ht="13" x14ac:dyDescent="0.3">
      <c r="B84" s="192">
        <f t="shared" si="0"/>
        <v>45515</v>
      </c>
      <c r="C84" s="81">
        <v>147.94999999999999</v>
      </c>
      <c r="D84" s="81"/>
      <c r="E84" s="81">
        <v>149.12299999999999</v>
      </c>
      <c r="F84" s="81">
        <v>164</v>
      </c>
      <c r="G84" s="11">
        <f t="shared" si="1"/>
        <v>14.87700000000001</v>
      </c>
      <c r="H84" s="11">
        <f>IFERROR(IF(Yearending&gt;B83,'5. Historical demand'!F84-'5. Historical demand'!C84-'5. Historical demand'!D84,""),"")</f>
        <v>16.050000000000011</v>
      </c>
      <c r="I84" s="11">
        <f t="shared" si="2"/>
        <v>-1.1730000000000018</v>
      </c>
    </row>
    <row r="85" spans="2:9" ht="13" x14ac:dyDescent="0.3">
      <c r="B85" s="192">
        <f t="shared" si="0"/>
        <v>45516</v>
      </c>
      <c r="C85" s="81">
        <v>147.94999999999999</v>
      </c>
      <c r="D85" s="81"/>
      <c r="E85" s="81">
        <v>162.34100000000001</v>
      </c>
      <c r="F85" s="81">
        <v>164</v>
      </c>
      <c r="G85" s="11">
        <f t="shared" si="1"/>
        <v>1.6589999999999918</v>
      </c>
      <c r="H85" s="11">
        <f>IFERROR(IF(Yearending&gt;B84,'5. Historical demand'!F85-'5. Historical demand'!C85-'5. Historical demand'!D85,""),"")</f>
        <v>16.050000000000011</v>
      </c>
      <c r="I85" s="11">
        <f t="shared" si="2"/>
        <v>-14.39100000000002</v>
      </c>
    </row>
    <row r="86" spans="2:9" ht="13" x14ac:dyDescent="0.3">
      <c r="B86" s="192">
        <f t="shared" si="0"/>
        <v>45517</v>
      </c>
      <c r="C86" s="81">
        <v>147.94999999999999</v>
      </c>
      <c r="D86" s="81"/>
      <c r="E86" s="81">
        <v>161.80600000000001</v>
      </c>
      <c r="F86" s="81">
        <v>164</v>
      </c>
      <c r="G86" s="11">
        <f t="shared" si="1"/>
        <v>2.1939999999999884</v>
      </c>
      <c r="H86" s="11">
        <f>IFERROR(IF(Yearending&gt;B85,'5. Historical demand'!F86-'5. Historical demand'!C86-'5. Historical demand'!D86,""),"")</f>
        <v>16.050000000000011</v>
      </c>
      <c r="I86" s="11">
        <f t="shared" si="2"/>
        <v>-13.856000000000023</v>
      </c>
    </row>
    <row r="87" spans="2:9" ht="13" x14ac:dyDescent="0.3">
      <c r="B87" s="192">
        <f t="shared" si="0"/>
        <v>45518</v>
      </c>
      <c r="C87" s="81">
        <v>147.94999999999999</v>
      </c>
      <c r="D87" s="81"/>
      <c r="E87" s="81">
        <v>36.454999999999998</v>
      </c>
      <c r="F87" s="81">
        <v>164</v>
      </c>
      <c r="G87" s="11">
        <f t="shared" si="1"/>
        <v>127.545</v>
      </c>
      <c r="H87" s="11">
        <f>IFERROR(IF(Yearending&gt;B86,'5. Historical demand'!F87-'5. Historical demand'!C87-'5. Historical demand'!D87,""),"")</f>
        <v>16.050000000000011</v>
      </c>
      <c r="I87" s="11">
        <f t="shared" si="2"/>
        <v>111.49499999999999</v>
      </c>
    </row>
    <row r="88" spans="2:9" ht="13" x14ac:dyDescent="0.3">
      <c r="B88" s="192">
        <f t="shared" si="0"/>
        <v>45519</v>
      </c>
      <c r="C88" s="81">
        <v>147.94999999999999</v>
      </c>
      <c r="D88" s="81"/>
      <c r="E88" s="81">
        <v>50.698</v>
      </c>
      <c r="F88" s="81">
        <v>164</v>
      </c>
      <c r="G88" s="11">
        <f t="shared" si="1"/>
        <v>113.30199999999999</v>
      </c>
      <c r="H88" s="11">
        <f>IFERROR(IF(Yearending&gt;B87,'5. Historical demand'!F88-'5. Historical demand'!C88-'5. Historical demand'!D88,""),"")</f>
        <v>16.050000000000011</v>
      </c>
      <c r="I88" s="11">
        <f t="shared" si="2"/>
        <v>97.251999999999981</v>
      </c>
    </row>
    <row r="89" spans="2:9" ht="13" x14ac:dyDescent="0.3">
      <c r="B89" s="192">
        <f t="shared" si="0"/>
        <v>45520</v>
      </c>
      <c r="C89" s="81">
        <v>147.94999999999999</v>
      </c>
      <c r="D89" s="81"/>
      <c r="E89" s="81">
        <v>26.379000000000001</v>
      </c>
      <c r="F89" s="81">
        <v>164</v>
      </c>
      <c r="G89" s="11">
        <f t="shared" si="1"/>
        <v>137.62100000000001</v>
      </c>
      <c r="H89" s="11">
        <f>IFERROR(IF(Yearending&gt;B88,'5. Historical demand'!F89-'5. Historical demand'!C89-'5. Historical demand'!D89,""),"")</f>
        <v>16.050000000000011</v>
      </c>
      <c r="I89" s="11">
        <f t="shared" si="2"/>
        <v>121.57099999999998</v>
      </c>
    </row>
    <row r="90" spans="2:9" ht="13" x14ac:dyDescent="0.3">
      <c r="B90" s="192">
        <f t="shared" si="0"/>
        <v>45521</v>
      </c>
      <c r="C90" s="81">
        <v>147.94999999999999</v>
      </c>
      <c r="D90" s="81"/>
      <c r="E90" s="81">
        <v>90.567999999999998</v>
      </c>
      <c r="F90" s="81">
        <v>164</v>
      </c>
      <c r="G90" s="11">
        <f t="shared" si="1"/>
        <v>73.432000000000002</v>
      </c>
      <c r="H90" s="11">
        <f>IFERROR(IF(Yearending&gt;B89,'5. Historical demand'!F90-'5. Historical demand'!C90-'5. Historical demand'!D90,""),"")</f>
        <v>16.050000000000011</v>
      </c>
      <c r="I90" s="11">
        <f t="shared" si="2"/>
        <v>57.381999999999991</v>
      </c>
    </row>
    <row r="91" spans="2:9" ht="13" x14ac:dyDescent="0.3">
      <c r="B91" s="192">
        <f t="shared" si="0"/>
        <v>45522</v>
      </c>
      <c r="C91" s="81">
        <v>147.94999999999999</v>
      </c>
      <c r="D91" s="81"/>
      <c r="E91" s="81">
        <v>67.741</v>
      </c>
      <c r="F91" s="81">
        <v>164</v>
      </c>
      <c r="G91" s="11">
        <f t="shared" si="1"/>
        <v>96.259</v>
      </c>
      <c r="H91" s="11">
        <f>IFERROR(IF(Yearending&gt;B90,'5. Historical demand'!F91-'5. Historical demand'!C91-'5. Historical demand'!D91,""),"")</f>
        <v>16.050000000000011</v>
      </c>
      <c r="I91" s="11">
        <f t="shared" si="2"/>
        <v>80.208999999999989</v>
      </c>
    </row>
    <row r="92" spans="2:9" ht="13" x14ac:dyDescent="0.3">
      <c r="B92" s="192">
        <f t="shared" si="0"/>
        <v>45523</v>
      </c>
      <c r="C92" s="81">
        <v>147.94999999999999</v>
      </c>
      <c r="D92" s="81"/>
      <c r="E92" s="81">
        <v>152.25399999999999</v>
      </c>
      <c r="F92" s="81">
        <v>164</v>
      </c>
      <c r="G92" s="11">
        <f t="shared" si="1"/>
        <v>11.746000000000009</v>
      </c>
      <c r="H92" s="11">
        <f>IFERROR(IF(Yearending&gt;B91,'5. Historical demand'!F92-'5. Historical demand'!C92-'5. Historical demand'!D92,""),"")</f>
        <v>16.050000000000011</v>
      </c>
      <c r="I92" s="11">
        <f t="shared" si="2"/>
        <v>-4.304000000000002</v>
      </c>
    </row>
    <row r="93" spans="2:9" ht="13" x14ac:dyDescent="0.3">
      <c r="B93" s="192">
        <f t="shared" si="0"/>
        <v>45524</v>
      </c>
      <c r="C93" s="81">
        <v>147.94999999999999</v>
      </c>
      <c r="D93" s="81"/>
      <c r="E93" s="81">
        <v>139.08699999999999</v>
      </c>
      <c r="F93" s="81">
        <v>164</v>
      </c>
      <c r="G93" s="11">
        <f t="shared" si="1"/>
        <v>24.913000000000011</v>
      </c>
      <c r="H93" s="11">
        <f>IFERROR(IF(Yearending&gt;B92,'5. Historical demand'!F93-'5. Historical demand'!C93-'5. Historical demand'!D93,""),"")</f>
        <v>16.050000000000011</v>
      </c>
      <c r="I93" s="11">
        <f t="shared" si="2"/>
        <v>8.8629999999999995</v>
      </c>
    </row>
    <row r="94" spans="2:9" ht="13" x14ac:dyDescent="0.3">
      <c r="B94" s="192">
        <f t="shared" si="0"/>
        <v>45525</v>
      </c>
      <c r="C94" s="81">
        <v>147.94999999999999</v>
      </c>
      <c r="D94" s="81"/>
      <c r="E94" s="81">
        <v>70.72</v>
      </c>
      <c r="F94" s="81">
        <v>164</v>
      </c>
      <c r="G94" s="11">
        <f t="shared" si="1"/>
        <v>93.28</v>
      </c>
      <c r="H94" s="11">
        <f>IFERROR(IF(Yearending&gt;B93,'5. Historical demand'!F94-'5. Historical demand'!C94-'5. Historical demand'!D94,""),"")</f>
        <v>16.050000000000011</v>
      </c>
      <c r="I94" s="11">
        <f t="shared" si="2"/>
        <v>77.22999999999999</v>
      </c>
    </row>
    <row r="95" spans="2:9" ht="13" x14ac:dyDescent="0.3">
      <c r="B95" s="192">
        <f t="shared" si="0"/>
        <v>45526</v>
      </c>
      <c r="C95" s="81">
        <v>147.94999999999999</v>
      </c>
      <c r="D95" s="81"/>
      <c r="E95" s="81">
        <v>97.186000000000007</v>
      </c>
      <c r="F95" s="81">
        <v>164</v>
      </c>
      <c r="G95" s="11">
        <f t="shared" si="1"/>
        <v>66.813999999999993</v>
      </c>
      <c r="H95" s="11">
        <f>IFERROR(IF(Yearending&gt;B94,'5. Historical demand'!F95-'5. Historical demand'!C95-'5. Historical demand'!D95,""),"")</f>
        <v>16.050000000000011</v>
      </c>
      <c r="I95" s="11">
        <f t="shared" si="2"/>
        <v>50.763999999999982</v>
      </c>
    </row>
    <row r="96" spans="2:9" ht="13" x14ac:dyDescent="0.3">
      <c r="B96" s="192">
        <f t="shared" si="0"/>
        <v>45527</v>
      </c>
      <c r="C96" s="81">
        <v>147.94999999999999</v>
      </c>
      <c r="D96" s="81"/>
      <c r="E96" s="81">
        <v>0</v>
      </c>
      <c r="F96" s="81">
        <v>164</v>
      </c>
      <c r="G96" s="11">
        <f t="shared" si="1"/>
        <v>164</v>
      </c>
      <c r="H96" s="11">
        <f>IFERROR(IF(Yearending&gt;B95,'5. Historical demand'!F96-'5. Historical demand'!C96-'5. Historical demand'!D96,""),"")</f>
        <v>16.050000000000011</v>
      </c>
      <c r="I96" s="11">
        <f t="shared" si="2"/>
        <v>147.94999999999999</v>
      </c>
    </row>
    <row r="97" spans="2:9" ht="13" x14ac:dyDescent="0.3">
      <c r="B97" s="192">
        <f t="shared" si="0"/>
        <v>45528</v>
      </c>
      <c r="C97" s="81">
        <v>147.94999999999999</v>
      </c>
      <c r="D97" s="81"/>
      <c r="E97" s="81">
        <v>0</v>
      </c>
      <c r="F97" s="81">
        <v>164</v>
      </c>
      <c r="G97" s="11">
        <f t="shared" si="1"/>
        <v>164</v>
      </c>
      <c r="H97" s="11">
        <f>IFERROR(IF(Yearending&gt;B96,'5. Historical demand'!F97-'5. Historical demand'!C97-'5. Historical demand'!D97,""),"")</f>
        <v>16.050000000000011</v>
      </c>
      <c r="I97" s="11">
        <f t="shared" si="2"/>
        <v>147.94999999999999</v>
      </c>
    </row>
    <row r="98" spans="2:9" ht="13" x14ac:dyDescent="0.3">
      <c r="B98" s="192">
        <f t="shared" si="0"/>
        <v>45529</v>
      </c>
      <c r="C98" s="81">
        <v>147.94999999999999</v>
      </c>
      <c r="D98" s="81"/>
      <c r="E98" s="81">
        <v>0</v>
      </c>
      <c r="F98" s="81">
        <v>164</v>
      </c>
      <c r="G98" s="11">
        <f t="shared" si="1"/>
        <v>164</v>
      </c>
      <c r="H98" s="11">
        <f>IFERROR(IF(Yearending&gt;B97,'5. Historical demand'!F98-'5. Historical demand'!C98-'5. Historical demand'!D98,""),"")</f>
        <v>16.050000000000011</v>
      </c>
      <c r="I98" s="11">
        <f t="shared" si="2"/>
        <v>147.94999999999999</v>
      </c>
    </row>
    <row r="99" spans="2:9" ht="13" x14ac:dyDescent="0.3">
      <c r="B99" s="192">
        <f t="shared" si="0"/>
        <v>45530</v>
      </c>
      <c r="C99" s="81">
        <v>147.94999999999999</v>
      </c>
      <c r="D99" s="81"/>
      <c r="E99" s="81">
        <v>0</v>
      </c>
      <c r="F99" s="81">
        <v>164</v>
      </c>
      <c r="G99" s="11">
        <f t="shared" si="1"/>
        <v>164</v>
      </c>
      <c r="H99" s="11">
        <f>IFERROR(IF(Yearending&gt;B98,'5. Historical demand'!F99-'5. Historical demand'!C99-'5. Historical demand'!D99,""),"")</f>
        <v>16.050000000000011</v>
      </c>
      <c r="I99" s="11">
        <f t="shared" si="2"/>
        <v>147.94999999999999</v>
      </c>
    </row>
    <row r="100" spans="2:9" ht="13" x14ac:dyDescent="0.3">
      <c r="B100" s="192">
        <f t="shared" si="0"/>
        <v>45531</v>
      </c>
      <c r="C100" s="81">
        <v>147.94999999999999</v>
      </c>
      <c r="D100" s="81"/>
      <c r="E100" s="81">
        <v>27.995000000000001</v>
      </c>
      <c r="F100" s="81">
        <v>164</v>
      </c>
      <c r="G100" s="11">
        <f t="shared" si="1"/>
        <v>136.005</v>
      </c>
      <c r="H100" s="11">
        <f>IFERROR(IF(Yearending&gt;B99,'5. Historical demand'!F100-'5. Historical demand'!C100-'5. Historical demand'!D100,""),"")</f>
        <v>16.050000000000011</v>
      </c>
      <c r="I100" s="11">
        <f t="shared" si="2"/>
        <v>119.95499999999998</v>
      </c>
    </row>
    <row r="101" spans="2:9" ht="13" x14ac:dyDescent="0.3">
      <c r="B101" s="192">
        <f t="shared" si="0"/>
        <v>45532</v>
      </c>
      <c r="C101" s="81">
        <v>147.94999999999999</v>
      </c>
      <c r="D101" s="81"/>
      <c r="E101" s="81">
        <v>0</v>
      </c>
      <c r="F101" s="81">
        <v>164</v>
      </c>
      <c r="G101" s="11">
        <f t="shared" si="1"/>
        <v>164</v>
      </c>
      <c r="H101" s="11">
        <f>IFERROR(IF(Yearending&gt;B100,'5. Historical demand'!F101-'5. Historical demand'!C101-'5. Historical demand'!D101,""),"")</f>
        <v>16.050000000000011</v>
      </c>
      <c r="I101" s="11">
        <f t="shared" si="2"/>
        <v>147.94999999999999</v>
      </c>
    </row>
    <row r="102" spans="2:9" ht="13" x14ac:dyDescent="0.3">
      <c r="B102" s="192">
        <f t="shared" si="0"/>
        <v>45533</v>
      </c>
      <c r="C102" s="81">
        <v>147.94999999999999</v>
      </c>
      <c r="D102" s="81"/>
      <c r="E102" s="81">
        <v>0</v>
      </c>
      <c r="F102" s="81">
        <v>164</v>
      </c>
      <c r="G102" s="11">
        <f t="shared" si="1"/>
        <v>164</v>
      </c>
      <c r="H102" s="11">
        <f>IFERROR(IF(Yearending&gt;B101,'5. Historical demand'!F102-'5. Historical demand'!C102-'5. Historical demand'!D102,""),"")</f>
        <v>16.050000000000011</v>
      </c>
      <c r="I102" s="11">
        <f t="shared" si="2"/>
        <v>147.94999999999999</v>
      </c>
    </row>
    <row r="103" spans="2:9" ht="13" x14ac:dyDescent="0.3">
      <c r="B103" s="192">
        <f t="shared" si="0"/>
        <v>45534</v>
      </c>
      <c r="C103" s="81">
        <v>147.94999999999999</v>
      </c>
      <c r="D103" s="81"/>
      <c r="E103" s="81">
        <v>0</v>
      </c>
      <c r="F103" s="81">
        <v>164</v>
      </c>
      <c r="G103" s="11">
        <f t="shared" si="1"/>
        <v>164</v>
      </c>
      <c r="H103" s="11">
        <f>IFERROR(IF(Yearending&gt;B102,'5. Historical demand'!F103-'5. Historical demand'!C103-'5. Historical demand'!D103,""),"")</f>
        <v>16.050000000000011</v>
      </c>
      <c r="I103" s="11">
        <f t="shared" si="2"/>
        <v>147.94999999999999</v>
      </c>
    </row>
    <row r="104" spans="2:9" ht="13" x14ac:dyDescent="0.3">
      <c r="B104" s="192">
        <f t="shared" si="0"/>
        <v>45535</v>
      </c>
      <c r="C104" s="81">
        <v>147.94999999999999</v>
      </c>
      <c r="D104" s="81"/>
      <c r="E104" s="81">
        <v>0</v>
      </c>
      <c r="F104" s="81">
        <v>164</v>
      </c>
      <c r="G104" s="11">
        <f t="shared" si="1"/>
        <v>164</v>
      </c>
      <c r="H104" s="11">
        <f>IFERROR(IF(Yearending&gt;B103,'5. Historical demand'!F104-'5. Historical demand'!C104-'5. Historical demand'!D104,""),"")</f>
        <v>16.050000000000011</v>
      </c>
      <c r="I104" s="11">
        <f t="shared" si="2"/>
        <v>147.94999999999999</v>
      </c>
    </row>
    <row r="105" spans="2:9" ht="13" x14ac:dyDescent="0.3">
      <c r="B105" s="192">
        <f t="shared" si="0"/>
        <v>45536</v>
      </c>
      <c r="C105" s="81">
        <v>147.94999999999999</v>
      </c>
      <c r="D105" s="81"/>
      <c r="E105" s="81">
        <v>0</v>
      </c>
      <c r="F105" s="81">
        <v>164</v>
      </c>
      <c r="G105" s="11">
        <f t="shared" si="1"/>
        <v>164</v>
      </c>
      <c r="H105" s="11">
        <f>IFERROR(IF(Yearending&gt;B104,'5. Historical demand'!F105-'5. Historical demand'!C105-'5. Historical demand'!D105,""),"")</f>
        <v>16.050000000000011</v>
      </c>
      <c r="I105" s="11">
        <f t="shared" si="2"/>
        <v>147.94999999999999</v>
      </c>
    </row>
    <row r="106" spans="2:9" ht="13" x14ac:dyDescent="0.3">
      <c r="B106" s="192">
        <f t="shared" si="0"/>
        <v>45537</v>
      </c>
      <c r="C106" s="81">
        <v>147.94999999999999</v>
      </c>
      <c r="D106" s="81"/>
      <c r="E106" s="81">
        <v>131.714</v>
      </c>
      <c r="F106" s="81">
        <v>164</v>
      </c>
      <c r="G106" s="11">
        <f t="shared" si="1"/>
        <v>32.286000000000001</v>
      </c>
      <c r="H106" s="11">
        <f>IFERROR(IF(Yearending&gt;B105,'5. Historical demand'!F106-'5. Historical demand'!C106-'5. Historical demand'!D106,""),"")</f>
        <v>16.050000000000011</v>
      </c>
      <c r="I106" s="11">
        <f t="shared" si="2"/>
        <v>16.23599999999999</v>
      </c>
    </row>
    <row r="107" spans="2:9" ht="13" x14ac:dyDescent="0.3">
      <c r="B107" s="192">
        <f t="shared" si="0"/>
        <v>45538</v>
      </c>
      <c r="C107" s="81">
        <v>147.94999999999999</v>
      </c>
      <c r="D107" s="81"/>
      <c r="E107" s="81">
        <v>162.36099999999999</v>
      </c>
      <c r="F107" s="81">
        <v>164</v>
      </c>
      <c r="G107" s="11">
        <f t="shared" si="1"/>
        <v>1.63900000000001</v>
      </c>
      <c r="H107" s="11">
        <f>IFERROR(IF(Yearending&gt;B106,'5. Historical demand'!F107-'5. Historical demand'!C107-'5. Historical demand'!D107,""),"")</f>
        <v>16.050000000000011</v>
      </c>
      <c r="I107" s="11">
        <f t="shared" si="2"/>
        <v>-14.411000000000001</v>
      </c>
    </row>
    <row r="108" spans="2:9" ht="13" x14ac:dyDescent="0.3">
      <c r="B108" s="192">
        <f t="shared" ref="B108:B171" si="3">IFERROR(IF(Yearending&gt;B107, B107+1, ""),"")</f>
        <v>45539</v>
      </c>
      <c r="C108" s="81">
        <v>147.94999999999999</v>
      </c>
      <c r="D108" s="81"/>
      <c r="E108" s="81">
        <v>162.869</v>
      </c>
      <c r="F108" s="81">
        <v>164</v>
      </c>
      <c r="G108" s="11">
        <f t="shared" ref="G108:G171" si="4">IFERROR(IF(Yearending&gt;B107,F108-E108,""),"")</f>
        <v>1.1310000000000002</v>
      </c>
      <c r="H108" s="11">
        <f>IFERROR(IF(Yearending&gt;B107,'5. Historical demand'!F108-'5. Historical demand'!C108-'5. Historical demand'!D108,""),"")</f>
        <v>16.050000000000011</v>
      </c>
      <c r="I108" s="11">
        <f t="shared" ref="I108:I171" si="5">IFERROR(IF(Yearending&gt;B107,C108+D108-E108,""),"")</f>
        <v>-14.919000000000011</v>
      </c>
    </row>
    <row r="109" spans="2:9" ht="13" x14ac:dyDescent="0.3">
      <c r="B109" s="192">
        <f t="shared" si="3"/>
        <v>45540</v>
      </c>
      <c r="C109" s="81">
        <v>147.94999999999999</v>
      </c>
      <c r="D109" s="81"/>
      <c r="E109" s="81">
        <v>118.815</v>
      </c>
      <c r="F109" s="81">
        <v>164</v>
      </c>
      <c r="G109" s="11">
        <f t="shared" si="4"/>
        <v>45.185000000000002</v>
      </c>
      <c r="H109" s="11">
        <f>IFERROR(IF(Yearending&gt;B108,'5. Historical demand'!F109-'5. Historical demand'!C109-'5. Historical demand'!D109,""),"")</f>
        <v>16.050000000000011</v>
      </c>
      <c r="I109" s="11">
        <f t="shared" si="5"/>
        <v>29.134999999999991</v>
      </c>
    </row>
    <row r="110" spans="2:9" ht="13" x14ac:dyDescent="0.3">
      <c r="B110" s="192">
        <f t="shared" si="3"/>
        <v>45541</v>
      </c>
      <c r="C110" s="81">
        <v>147.94999999999999</v>
      </c>
      <c r="D110" s="81"/>
      <c r="E110" s="81">
        <v>107.28100000000001</v>
      </c>
      <c r="F110" s="81">
        <v>164</v>
      </c>
      <c r="G110" s="11">
        <f t="shared" si="4"/>
        <v>56.718999999999994</v>
      </c>
      <c r="H110" s="11">
        <f>IFERROR(IF(Yearending&gt;B109,'5. Historical demand'!F110-'5. Historical demand'!C110-'5. Historical demand'!D110,""),"")</f>
        <v>16.050000000000011</v>
      </c>
      <c r="I110" s="11">
        <f t="shared" si="5"/>
        <v>40.668999999999983</v>
      </c>
    </row>
    <row r="111" spans="2:9" ht="13" x14ac:dyDescent="0.3">
      <c r="B111" s="192">
        <f t="shared" si="3"/>
        <v>45542</v>
      </c>
      <c r="C111" s="81">
        <v>147.94999999999999</v>
      </c>
      <c r="D111" s="81"/>
      <c r="E111" s="81">
        <v>40.850999999999999</v>
      </c>
      <c r="F111" s="81">
        <v>164</v>
      </c>
      <c r="G111" s="11">
        <f t="shared" si="4"/>
        <v>123.149</v>
      </c>
      <c r="H111" s="11">
        <f>IFERROR(IF(Yearending&gt;B110,'5. Historical demand'!F111-'5. Historical demand'!C111-'5. Historical demand'!D111,""),"")</f>
        <v>16.050000000000011</v>
      </c>
      <c r="I111" s="11">
        <f t="shared" si="5"/>
        <v>107.09899999999999</v>
      </c>
    </row>
    <row r="112" spans="2:9" ht="13" x14ac:dyDescent="0.3">
      <c r="B112" s="192">
        <f t="shared" si="3"/>
        <v>45543</v>
      </c>
      <c r="C112" s="81">
        <v>147.94999999999999</v>
      </c>
      <c r="D112" s="81"/>
      <c r="E112" s="81">
        <v>43.137</v>
      </c>
      <c r="F112" s="81">
        <v>164</v>
      </c>
      <c r="G112" s="11">
        <f t="shared" si="4"/>
        <v>120.863</v>
      </c>
      <c r="H112" s="11">
        <f>IFERROR(IF(Yearending&gt;B111,'5. Historical demand'!F112-'5. Historical demand'!C112-'5. Historical demand'!D112,""),"")</f>
        <v>16.050000000000011</v>
      </c>
      <c r="I112" s="11">
        <f t="shared" si="5"/>
        <v>104.81299999999999</v>
      </c>
    </row>
    <row r="113" spans="2:9" ht="13" x14ac:dyDescent="0.3">
      <c r="B113" s="192">
        <f t="shared" si="3"/>
        <v>45544</v>
      </c>
      <c r="C113" s="81">
        <v>147.94999999999999</v>
      </c>
      <c r="D113" s="81"/>
      <c r="E113" s="81">
        <v>66.787999999999997</v>
      </c>
      <c r="F113" s="81">
        <v>164</v>
      </c>
      <c r="G113" s="11">
        <f t="shared" si="4"/>
        <v>97.212000000000003</v>
      </c>
      <c r="H113" s="11">
        <f>IFERROR(IF(Yearending&gt;B112,'5. Historical demand'!F113-'5. Historical demand'!C113-'5. Historical demand'!D113,""),"")</f>
        <v>16.050000000000011</v>
      </c>
      <c r="I113" s="11">
        <f t="shared" si="5"/>
        <v>81.161999999999992</v>
      </c>
    </row>
    <row r="114" spans="2:9" ht="13" x14ac:dyDescent="0.3">
      <c r="B114" s="192">
        <f t="shared" si="3"/>
        <v>45545</v>
      </c>
      <c r="C114" s="81">
        <v>147.94999999999999</v>
      </c>
      <c r="D114" s="81"/>
      <c r="E114" s="81">
        <v>61.98</v>
      </c>
      <c r="F114" s="81">
        <v>164</v>
      </c>
      <c r="G114" s="11">
        <f t="shared" si="4"/>
        <v>102.02000000000001</v>
      </c>
      <c r="H114" s="11">
        <f>IFERROR(IF(Yearending&gt;B113,'5. Historical demand'!F114-'5. Historical demand'!C114-'5. Historical demand'!D114,""),"")</f>
        <v>16.050000000000011</v>
      </c>
      <c r="I114" s="11">
        <f t="shared" si="5"/>
        <v>85.97</v>
      </c>
    </row>
    <row r="115" spans="2:9" ht="13" x14ac:dyDescent="0.3">
      <c r="B115" s="192">
        <f t="shared" si="3"/>
        <v>45546</v>
      </c>
      <c r="C115" s="81">
        <v>147.94999999999999</v>
      </c>
      <c r="D115" s="81"/>
      <c r="E115" s="81">
        <v>33.895000000000003</v>
      </c>
      <c r="F115" s="81">
        <v>164</v>
      </c>
      <c r="G115" s="11">
        <f t="shared" si="4"/>
        <v>130.10499999999999</v>
      </c>
      <c r="H115" s="11">
        <f>IFERROR(IF(Yearending&gt;B114,'5. Historical demand'!F115-'5. Historical demand'!C115-'5. Historical demand'!D115,""),"")</f>
        <v>16.050000000000011</v>
      </c>
      <c r="I115" s="11">
        <f t="shared" si="5"/>
        <v>114.05499999999998</v>
      </c>
    </row>
    <row r="116" spans="2:9" ht="13" x14ac:dyDescent="0.3">
      <c r="B116" s="192">
        <f t="shared" si="3"/>
        <v>45547</v>
      </c>
      <c r="C116" s="81">
        <v>147.94999999999999</v>
      </c>
      <c r="D116" s="81"/>
      <c r="E116" s="81">
        <v>1.306</v>
      </c>
      <c r="F116" s="81">
        <v>164</v>
      </c>
      <c r="G116" s="11">
        <f t="shared" si="4"/>
        <v>162.69399999999999</v>
      </c>
      <c r="H116" s="11">
        <f>IFERROR(IF(Yearending&gt;B115,'5. Historical demand'!F116-'5. Historical demand'!C116-'5. Historical demand'!D116,""),"")</f>
        <v>16.050000000000011</v>
      </c>
      <c r="I116" s="11">
        <f t="shared" si="5"/>
        <v>146.64399999999998</v>
      </c>
    </row>
    <row r="117" spans="2:9" ht="13" x14ac:dyDescent="0.3">
      <c r="B117" s="192">
        <f t="shared" si="3"/>
        <v>45548</v>
      </c>
      <c r="C117" s="81">
        <v>147.94999999999999</v>
      </c>
      <c r="D117" s="81"/>
      <c r="E117" s="81">
        <v>0</v>
      </c>
      <c r="F117" s="81">
        <v>164</v>
      </c>
      <c r="G117" s="11">
        <f t="shared" si="4"/>
        <v>164</v>
      </c>
      <c r="H117" s="11">
        <f>IFERROR(IF(Yearending&gt;B116,'5. Historical demand'!F117-'5. Historical demand'!C117-'5. Historical demand'!D117,""),"")</f>
        <v>16.050000000000011</v>
      </c>
      <c r="I117" s="11">
        <f t="shared" si="5"/>
        <v>147.94999999999999</v>
      </c>
    </row>
    <row r="118" spans="2:9" ht="13" x14ac:dyDescent="0.3">
      <c r="B118" s="192">
        <f t="shared" si="3"/>
        <v>45549</v>
      </c>
      <c r="C118" s="81">
        <v>147.94999999999999</v>
      </c>
      <c r="D118" s="81"/>
      <c r="E118" s="81">
        <v>0</v>
      </c>
      <c r="F118" s="81">
        <v>164</v>
      </c>
      <c r="G118" s="11">
        <f t="shared" si="4"/>
        <v>164</v>
      </c>
      <c r="H118" s="11">
        <f>IFERROR(IF(Yearending&gt;B117,'5. Historical demand'!F118-'5. Historical demand'!C118-'5. Historical demand'!D118,""),"")</f>
        <v>16.050000000000011</v>
      </c>
      <c r="I118" s="11">
        <f t="shared" si="5"/>
        <v>147.94999999999999</v>
      </c>
    </row>
    <row r="119" spans="2:9" ht="13" x14ac:dyDescent="0.3">
      <c r="B119" s="192">
        <f t="shared" si="3"/>
        <v>45550</v>
      </c>
      <c r="C119" s="81">
        <v>147.94999999999999</v>
      </c>
      <c r="D119" s="81"/>
      <c r="E119" s="81">
        <v>0</v>
      </c>
      <c r="F119" s="81">
        <v>164</v>
      </c>
      <c r="G119" s="11">
        <f t="shared" si="4"/>
        <v>164</v>
      </c>
      <c r="H119" s="11">
        <f>IFERROR(IF(Yearending&gt;B118,'5. Historical demand'!F119-'5. Historical demand'!C119-'5. Historical demand'!D119,""),"")</f>
        <v>16.050000000000011</v>
      </c>
      <c r="I119" s="11">
        <f t="shared" si="5"/>
        <v>147.94999999999999</v>
      </c>
    </row>
    <row r="120" spans="2:9" ht="13" x14ac:dyDescent="0.3">
      <c r="B120" s="192">
        <f t="shared" si="3"/>
        <v>45551</v>
      </c>
      <c r="C120" s="81">
        <v>147.94999999999999</v>
      </c>
      <c r="D120" s="81"/>
      <c r="E120" s="81">
        <v>11.313000000000001</v>
      </c>
      <c r="F120" s="81">
        <v>164</v>
      </c>
      <c r="G120" s="11">
        <f t="shared" si="4"/>
        <v>152.68700000000001</v>
      </c>
      <c r="H120" s="11">
        <f>IFERROR(IF(Yearending&gt;B119,'5. Historical demand'!F120-'5. Historical demand'!C120-'5. Historical demand'!D120,""),"")</f>
        <v>16.050000000000011</v>
      </c>
      <c r="I120" s="11">
        <f t="shared" si="5"/>
        <v>136.637</v>
      </c>
    </row>
    <row r="121" spans="2:9" ht="13" x14ac:dyDescent="0.3">
      <c r="B121" s="192">
        <f t="shared" si="3"/>
        <v>45552</v>
      </c>
      <c r="C121" s="81">
        <v>147.94999999999999</v>
      </c>
      <c r="D121" s="81"/>
      <c r="E121" s="81">
        <v>11.96</v>
      </c>
      <c r="F121" s="81">
        <v>164</v>
      </c>
      <c r="G121" s="11">
        <f t="shared" si="4"/>
        <v>152.04</v>
      </c>
      <c r="H121" s="11">
        <f>IFERROR(IF(Yearending&gt;B120,'5. Historical demand'!F121-'5. Historical demand'!C121-'5. Historical demand'!D121,""),"")</f>
        <v>16.050000000000011</v>
      </c>
      <c r="I121" s="11">
        <f t="shared" si="5"/>
        <v>135.98999999999998</v>
      </c>
    </row>
    <row r="122" spans="2:9" ht="13" x14ac:dyDescent="0.3">
      <c r="B122" s="192">
        <f t="shared" si="3"/>
        <v>45553</v>
      </c>
      <c r="C122" s="81">
        <v>147.94999999999999</v>
      </c>
      <c r="D122" s="81"/>
      <c r="E122" s="81">
        <v>7.2720000000000002</v>
      </c>
      <c r="F122" s="81">
        <v>164</v>
      </c>
      <c r="G122" s="11">
        <f t="shared" si="4"/>
        <v>156.72800000000001</v>
      </c>
      <c r="H122" s="11">
        <f>IFERROR(IF(Yearending&gt;B121,'5. Historical demand'!F122-'5. Historical demand'!C122-'5. Historical demand'!D122,""),"")</f>
        <v>16.050000000000011</v>
      </c>
      <c r="I122" s="11">
        <f t="shared" si="5"/>
        <v>140.678</v>
      </c>
    </row>
    <row r="123" spans="2:9" ht="13" x14ac:dyDescent="0.3">
      <c r="B123" s="192">
        <f t="shared" si="3"/>
        <v>45554</v>
      </c>
      <c r="C123" s="81">
        <v>147.94999999999999</v>
      </c>
      <c r="D123" s="81"/>
      <c r="E123" s="81">
        <v>42.018999999999998</v>
      </c>
      <c r="F123" s="81">
        <v>164</v>
      </c>
      <c r="G123" s="11">
        <f t="shared" si="4"/>
        <v>121.98099999999999</v>
      </c>
      <c r="H123" s="11">
        <f>IFERROR(IF(Yearending&gt;B122,'5. Historical demand'!F123-'5. Historical demand'!C123-'5. Historical demand'!D123,""),"")</f>
        <v>16.050000000000011</v>
      </c>
      <c r="I123" s="11">
        <f t="shared" si="5"/>
        <v>105.93099999999998</v>
      </c>
    </row>
    <row r="124" spans="2:9" ht="13" x14ac:dyDescent="0.3">
      <c r="B124" s="192">
        <f t="shared" si="3"/>
        <v>45555</v>
      </c>
      <c r="C124" s="81">
        <v>147.94999999999999</v>
      </c>
      <c r="D124" s="81"/>
      <c r="E124" s="81">
        <v>83.445999999999998</v>
      </c>
      <c r="F124" s="81">
        <v>164</v>
      </c>
      <c r="G124" s="11">
        <f t="shared" si="4"/>
        <v>80.554000000000002</v>
      </c>
      <c r="H124" s="11">
        <f>IFERROR(IF(Yearending&gt;B123,'5. Historical demand'!F124-'5. Historical demand'!C124-'5. Historical demand'!D124,""),"")</f>
        <v>16.050000000000011</v>
      </c>
      <c r="I124" s="11">
        <f t="shared" si="5"/>
        <v>64.503999999999991</v>
      </c>
    </row>
    <row r="125" spans="2:9" ht="13" x14ac:dyDescent="0.3">
      <c r="B125" s="192">
        <f t="shared" si="3"/>
        <v>45556</v>
      </c>
      <c r="C125" s="81">
        <v>147.94999999999999</v>
      </c>
      <c r="D125" s="81"/>
      <c r="E125" s="81">
        <v>57.295000000000002</v>
      </c>
      <c r="F125" s="81">
        <v>164</v>
      </c>
      <c r="G125" s="11">
        <f t="shared" si="4"/>
        <v>106.705</v>
      </c>
      <c r="H125" s="11">
        <f>IFERROR(IF(Yearending&gt;B124,'5. Historical demand'!F125-'5. Historical demand'!C125-'5. Historical demand'!D125,""),"")</f>
        <v>16.050000000000011</v>
      </c>
      <c r="I125" s="11">
        <f t="shared" si="5"/>
        <v>90.654999999999987</v>
      </c>
    </row>
    <row r="126" spans="2:9" ht="13" x14ac:dyDescent="0.3">
      <c r="B126" s="192">
        <f t="shared" si="3"/>
        <v>45557</v>
      </c>
      <c r="C126" s="81">
        <v>147.94999999999999</v>
      </c>
      <c r="D126" s="81"/>
      <c r="E126" s="81">
        <v>54.381999999999998</v>
      </c>
      <c r="F126" s="81">
        <v>164</v>
      </c>
      <c r="G126" s="11">
        <f t="shared" si="4"/>
        <v>109.61799999999999</v>
      </c>
      <c r="H126" s="11">
        <f>IFERROR(IF(Yearending&gt;B125,'5. Historical demand'!F126-'5. Historical demand'!C126-'5. Historical demand'!D126,""),"")</f>
        <v>16.050000000000011</v>
      </c>
      <c r="I126" s="11">
        <f t="shared" si="5"/>
        <v>93.567999999999984</v>
      </c>
    </row>
    <row r="127" spans="2:9" ht="13" x14ac:dyDescent="0.3">
      <c r="B127" s="192">
        <f t="shared" si="3"/>
        <v>45558</v>
      </c>
      <c r="C127" s="81">
        <v>147.94999999999999</v>
      </c>
      <c r="D127" s="81"/>
      <c r="E127" s="81">
        <v>100.292</v>
      </c>
      <c r="F127" s="81">
        <v>164</v>
      </c>
      <c r="G127" s="11">
        <f t="shared" si="4"/>
        <v>63.707999999999998</v>
      </c>
      <c r="H127" s="11">
        <f>IFERROR(IF(Yearending&gt;B126,'5. Historical demand'!F127-'5. Historical demand'!C127-'5. Historical demand'!D127,""),"")</f>
        <v>16.050000000000011</v>
      </c>
      <c r="I127" s="11">
        <f t="shared" si="5"/>
        <v>47.657999999999987</v>
      </c>
    </row>
    <row r="128" spans="2:9" ht="13" x14ac:dyDescent="0.3">
      <c r="B128" s="192">
        <f t="shared" si="3"/>
        <v>45559</v>
      </c>
      <c r="C128" s="81">
        <v>147.94999999999999</v>
      </c>
      <c r="D128" s="81"/>
      <c r="E128" s="81">
        <v>81.331999999999994</v>
      </c>
      <c r="F128" s="81">
        <v>164</v>
      </c>
      <c r="G128" s="11">
        <f t="shared" si="4"/>
        <v>82.668000000000006</v>
      </c>
      <c r="H128" s="11">
        <f>IFERROR(IF(Yearending&gt;B127,'5. Historical demand'!F128-'5. Historical demand'!C128-'5. Historical demand'!D128,""),"")</f>
        <v>16.050000000000011</v>
      </c>
      <c r="I128" s="11">
        <f t="shared" si="5"/>
        <v>66.617999999999995</v>
      </c>
    </row>
    <row r="129" spans="2:9" ht="13" x14ac:dyDescent="0.3">
      <c r="B129" s="192">
        <f t="shared" si="3"/>
        <v>45560</v>
      </c>
      <c r="C129" s="81">
        <v>147.94999999999999</v>
      </c>
      <c r="D129" s="81"/>
      <c r="E129" s="81">
        <v>117.27</v>
      </c>
      <c r="F129" s="81">
        <v>164</v>
      </c>
      <c r="G129" s="11">
        <f t="shared" si="4"/>
        <v>46.730000000000004</v>
      </c>
      <c r="H129" s="11">
        <f>IFERROR(IF(Yearending&gt;B128,'5. Historical demand'!F129-'5. Historical demand'!C129-'5. Historical demand'!D129,""),"")</f>
        <v>16.050000000000011</v>
      </c>
      <c r="I129" s="11">
        <f t="shared" si="5"/>
        <v>30.679999999999993</v>
      </c>
    </row>
    <row r="130" spans="2:9" ht="13" x14ac:dyDescent="0.3">
      <c r="B130" s="192">
        <f t="shared" si="3"/>
        <v>45561</v>
      </c>
      <c r="C130" s="81">
        <v>147.94999999999999</v>
      </c>
      <c r="D130" s="81"/>
      <c r="E130" s="81">
        <v>80.637</v>
      </c>
      <c r="F130" s="81">
        <v>164</v>
      </c>
      <c r="G130" s="11">
        <f t="shared" si="4"/>
        <v>83.363</v>
      </c>
      <c r="H130" s="11">
        <f>IFERROR(IF(Yearending&gt;B129,'5. Historical demand'!F130-'5. Historical demand'!C130-'5. Historical demand'!D130,""),"")</f>
        <v>16.050000000000011</v>
      </c>
      <c r="I130" s="11">
        <f t="shared" si="5"/>
        <v>67.312999999999988</v>
      </c>
    </row>
    <row r="131" spans="2:9" ht="13" x14ac:dyDescent="0.3">
      <c r="B131" s="192">
        <f t="shared" si="3"/>
        <v>45562</v>
      </c>
      <c r="C131" s="81">
        <v>147.94999999999999</v>
      </c>
      <c r="D131" s="81"/>
      <c r="E131" s="81">
        <v>96.878</v>
      </c>
      <c r="F131" s="81">
        <v>164</v>
      </c>
      <c r="G131" s="11">
        <f t="shared" si="4"/>
        <v>67.122</v>
      </c>
      <c r="H131" s="11">
        <f>IFERROR(IF(Yearending&gt;B130,'5. Historical demand'!F131-'5. Historical demand'!C131-'5. Historical demand'!D131,""),"")</f>
        <v>16.050000000000011</v>
      </c>
      <c r="I131" s="11">
        <f t="shared" si="5"/>
        <v>51.071999999999989</v>
      </c>
    </row>
    <row r="132" spans="2:9" ht="13" x14ac:dyDescent="0.3">
      <c r="B132" s="192">
        <f t="shared" si="3"/>
        <v>45563</v>
      </c>
      <c r="C132" s="81">
        <v>147.94999999999999</v>
      </c>
      <c r="D132" s="81"/>
      <c r="E132" s="81">
        <v>56.878</v>
      </c>
      <c r="F132" s="81">
        <v>164</v>
      </c>
      <c r="G132" s="11">
        <f t="shared" si="4"/>
        <v>107.122</v>
      </c>
      <c r="H132" s="11">
        <f>IFERROR(IF(Yearending&gt;B131,'5. Historical demand'!F132-'5. Historical demand'!C132-'5. Historical demand'!D132,""),"")</f>
        <v>16.050000000000011</v>
      </c>
      <c r="I132" s="11">
        <f t="shared" si="5"/>
        <v>91.071999999999989</v>
      </c>
    </row>
    <row r="133" spans="2:9" ht="13" x14ac:dyDescent="0.3">
      <c r="B133" s="192">
        <f t="shared" si="3"/>
        <v>45564</v>
      </c>
      <c r="C133" s="81">
        <v>147.94999999999999</v>
      </c>
      <c r="D133" s="81"/>
      <c r="E133" s="81">
        <v>76.465999999999994</v>
      </c>
      <c r="F133" s="81">
        <v>164</v>
      </c>
      <c r="G133" s="11">
        <f t="shared" si="4"/>
        <v>87.534000000000006</v>
      </c>
      <c r="H133" s="11">
        <f>IFERROR(IF(Yearending&gt;B132,'5. Historical demand'!F133-'5. Historical demand'!C133-'5. Historical demand'!D133,""),"")</f>
        <v>16.050000000000011</v>
      </c>
      <c r="I133" s="11">
        <f t="shared" si="5"/>
        <v>71.483999999999995</v>
      </c>
    </row>
    <row r="134" spans="2:9" ht="13" x14ac:dyDescent="0.3">
      <c r="B134" s="192">
        <f t="shared" si="3"/>
        <v>45565</v>
      </c>
      <c r="C134" s="81">
        <v>147.94999999999999</v>
      </c>
      <c r="D134" s="81"/>
      <c r="E134" s="81">
        <v>81.385999999999996</v>
      </c>
      <c r="F134" s="81">
        <v>164</v>
      </c>
      <c r="G134" s="11">
        <f t="shared" si="4"/>
        <v>82.614000000000004</v>
      </c>
      <c r="H134" s="11">
        <f>IFERROR(IF(Yearending&gt;B133,'5. Historical demand'!F134-'5. Historical demand'!C134-'5. Historical demand'!D134,""),"")</f>
        <v>16.050000000000011</v>
      </c>
      <c r="I134" s="11">
        <f t="shared" si="5"/>
        <v>66.563999999999993</v>
      </c>
    </row>
    <row r="135" spans="2:9" ht="13" x14ac:dyDescent="0.3">
      <c r="B135" s="192">
        <f t="shared" si="3"/>
        <v>45566</v>
      </c>
      <c r="C135" s="81">
        <v>147.94999999999999</v>
      </c>
      <c r="D135" s="81"/>
      <c r="E135" s="81">
        <v>66.676000000000002</v>
      </c>
      <c r="F135" s="81">
        <v>164</v>
      </c>
      <c r="G135" s="11">
        <f t="shared" si="4"/>
        <v>97.323999999999998</v>
      </c>
      <c r="H135" s="11">
        <f>IFERROR(IF(Yearending&gt;B134,'5. Historical demand'!F135-'5. Historical demand'!C135-'5. Historical demand'!D135,""),"")</f>
        <v>16.050000000000011</v>
      </c>
      <c r="I135" s="11">
        <f t="shared" si="5"/>
        <v>81.273999999999987</v>
      </c>
    </row>
    <row r="136" spans="2:9" ht="13" x14ac:dyDescent="0.3">
      <c r="B136" s="192">
        <f t="shared" si="3"/>
        <v>45567</v>
      </c>
      <c r="C136" s="81">
        <v>147.94999999999999</v>
      </c>
      <c r="D136" s="81"/>
      <c r="E136" s="81">
        <v>17.745000000000001</v>
      </c>
      <c r="F136" s="81">
        <v>164</v>
      </c>
      <c r="G136" s="11">
        <f t="shared" si="4"/>
        <v>146.255</v>
      </c>
      <c r="H136" s="11">
        <f>IFERROR(IF(Yearending&gt;B135,'5. Historical demand'!F136-'5. Historical demand'!C136-'5. Historical demand'!D136,""),"")</f>
        <v>16.050000000000011</v>
      </c>
      <c r="I136" s="11">
        <f t="shared" si="5"/>
        <v>130.20499999999998</v>
      </c>
    </row>
    <row r="137" spans="2:9" ht="13" x14ac:dyDescent="0.3">
      <c r="B137" s="192">
        <f t="shared" si="3"/>
        <v>45568</v>
      </c>
      <c r="C137" s="81">
        <v>147.94999999999999</v>
      </c>
      <c r="D137" s="81"/>
      <c r="E137" s="81">
        <v>2.2440000000000002</v>
      </c>
      <c r="F137" s="81">
        <v>164</v>
      </c>
      <c r="G137" s="11">
        <f t="shared" si="4"/>
        <v>161.756</v>
      </c>
      <c r="H137" s="11">
        <f>IFERROR(IF(Yearending&gt;B136,'5. Historical demand'!F137-'5. Historical demand'!C137-'5. Historical demand'!D137,""),"")</f>
        <v>16.050000000000011</v>
      </c>
      <c r="I137" s="11">
        <f t="shared" si="5"/>
        <v>145.70599999999999</v>
      </c>
    </row>
    <row r="138" spans="2:9" ht="13" x14ac:dyDescent="0.3">
      <c r="B138" s="192">
        <f t="shared" si="3"/>
        <v>45569</v>
      </c>
      <c r="C138" s="81">
        <v>147.94999999999999</v>
      </c>
      <c r="D138" s="81"/>
      <c r="E138" s="81">
        <v>4.0000000000000001E-3</v>
      </c>
      <c r="F138" s="81">
        <v>164</v>
      </c>
      <c r="G138" s="11">
        <f t="shared" si="4"/>
        <v>163.99600000000001</v>
      </c>
      <c r="H138" s="11">
        <f>IFERROR(IF(Yearending&gt;B137,'5. Historical demand'!F138-'5. Historical demand'!C138-'5. Historical demand'!D138,""),"")</f>
        <v>16.050000000000011</v>
      </c>
      <c r="I138" s="11">
        <f t="shared" si="5"/>
        <v>147.946</v>
      </c>
    </row>
    <row r="139" spans="2:9" ht="13" x14ac:dyDescent="0.3">
      <c r="B139" s="192">
        <f t="shared" si="3"/>
        <v>45570</v>
      </c>
      <c r="C139" s="81">
        <v>147.94999999999999</v>
      </c>
      <c r="D139" s="81"/>
      <c r="E139" s="81">
        <v>22.876000000000001</v>
      </c>
      <c r="F139" s="81">
        <v>164</v>
      </c>
      <c r="G139" s="11">
        <f t="shared" si="4"/>
        <v>141.124</v>
      </c>
      <c r="H139" s="11">
        <f>IFERROR(IF(Yearending&gt;B138,'5. Historical demand'!F139-'5. Historical demand'!C139-'5. Historical demand'!D139,""),"")</f>
        <v>16.050000000000011</v>
      </c>
      <c r="I139" s="11">
        <f t="shared" si="5"/>
        <v>125.07399999999998</v>
      </c>
    </row>
    <row r="140" spans="2:9" ht="13" x14ac:dyDescent="0.3">
      <c r="B140" s="192">
        <f t="shared" si="3"/>
        <v>45571</v>
      </c>
      <c r="C140" s="81">
        <v>147.94999999999999</v>
      </c>
      <c r="D140" s="81"/>
      <c r="E140" s="81">
        <v>5.24</v>
      </c>
      <c r="F140" s="81">
        <v>164</v>
      </c>
      <c r="G140" s="11">
        <f t="shared" si="4"/>
        <v>158.76</v>
      </c>
      <c r="H140" s="11">
        <f>IFERROR(IF(Yearending&gt;B139,'5. Historical demand'!F140-'5. Historical demand'!C140-'5. Historical demand'!D140,""),"")</f>
        <v>16.050000000000011</v>
      </c>
      <c r="I140" s="11">
        <f t="shared" si="5"/>
        <v>142.70999999999998</v>
      </c>
    </row>
    <row r="141" spans="2:9" ht="13" x14ac:dyDescent="0.3">
      <c r="B141" s="192">
        <f t="shared" si="3"/>
        <v>45572</v>
      </c>
      <c r="C141" s="81">
        <v>147.94999999999999</v>
      </c>
      <c r="D141" s="81"/>
      <c r="E141" s="81">
        <v>47.075000000000003</v>
      </c>
      <c r="F141" s="81">
        <v>164</v>
      </c>
      <c r="G141" s="11">
        <f t="shared" si="4"/>
        <v>116.925</v>
      </c>
      <c r="H141" s="11">
        <f>IFERROR(IF(Yearending&gt;B140,'5. Historical demand'!F141-'5. Historical demand'!C141-'5. Historical demand'!D141,""),"")</f>
        <v>16.050000000000011</v>
      </c>
      <c r="I141" s="11">
        <f t="shared" si="5"/>
        <v>100.87499999999999</v>
      </c>
    </row>
    <row r="142" spans="2:9" ht="13" x14ac:dyDescent="0.3">
      <c r="B142" s="192">
        <f t="shared" si="3"/>
        <v>45573</v>
      </c>
      <c r="C142" s="81">
        <v>147.94999999999999</v>
      </c>
      <c r="D142" s="81"/>
      <c r="E142" s="81">
        <v>86.906999999999996</v>
      </c>
      <c r="F142" s="81">
        <v>164</v>
      </c>
      <c r="G142" s="11">
        <f t="shared" si="4"/>
        <v>77.093000000000004</v>
      </c>
      <c r="H142" s="11">
        <f>IFERROR(IF(Yearending&gt;B141,'5. Historical demand'!F142-'5. Historical demand'!C142-'5. Historical demand'!D142,""),"")</f>
        <v>16.050000000000011</v>
      </c>
      <c r="I142" s="11">
        <f t="shared" si="5"/>
        <v>61.042999999999992</v>
      </c>
    </row>
    <row r="143" spans="2:9" ht="13" x14ac:dyDescent="0.3">
      <c r="B143" s="192">
        <f t="shared" si="3"/>
        <v>45574</v>
      </c>
      <c r="C143" s="81">
        <v>147.94999999999999</v>
      </c>
      <c r="D143" s="81"/>
      <c r="E143" s="81">
        <v>99.302999999999997</v>
      </c>
      <c r="F143" s="81">
        <v>164</v>
      </c>
      <c r="G143" s="11">
        <f t="shared" si="4"/>
        <v>64.697000000000003</v>
      </c>
      <c r="H143" s="11">
        <f>IFERROR(IF(Yearending&gt;B142,'5. Historical demand'!F143-'5. Historical demand'!C143-'5. Historical demand'!D143,""),"")</f>
        <v>16.050000000000011</v>
      </c>
      <c r="I143" s="11">
        <f t="shared" si="5"/>
        <v>48.646999999999991</v>
      </c>
    </row>
    <row r="144" spans="2:9" ht="13" x14ac:dyDescent="0.3">
      <c r="B144" s="192">
        <f t="shared" si="3"/>
        <v>45575</v>
      </c>
      <c r="C144" s="81">
        <v>147.94999999999999</v>
      </c>
      <c r="D144" s="81"/>
      <c r="E144" s="81">
        <v>1.9850000000000001</v>
      </c>
      <c r="F144" s="81">
        <v>164</v>
      </c>
      <c r="G144" s="11">
        <f t="shared" si="4"/>
        <v>162.01499999999999</v>
      </c>
      <c r="H144" s="11">
        <f>IFERROR(IF(Yearending&gt;B143,'5. Historical demand'!F144-'5. Historical demand'!C144-'5. Historical demand'!D144,""),"")</f>
        <v>16.050000000000011</v>
      </c>
      <c r="I144" s="11">
        <f t="shared" si="5"/>
        <v>145.96499999999997</v>
      </c>
    </row>
    <row r="145" spans="2:9" ht="13" x14ac:dyDescent="0.3">
      <c r="B145" s="192">
        <f t="shared" si="3"/>
        <v>45576</v>
      </c>
      <c r="C145" s="81">
        <v>147.94999999999999</v>
      </c>
      <c r="D145" s="81"/>
      <c r="E145" s="81">
        <v>7.6999999999999999E-2</v>
      </c>
      <c r="F145" s="81">
        <v>164</v>
      </c>
      <c r="G145" s="11">
        <f t="shared" si="4"/>
        <v>163.923</v>
      </c>
      <c r="H145" s="11">
        <f>IFERROR(IF(Yearending&gt;B144,'5. Historical demand'!F145-'5. Historical demand'!C145-'5. Historical demand'!D145,""),"")</f>
        <v>16.050000000000011</v>
      </c>
      <c r="I145" s="11">
        <f t="shared" si="5"/>
        <v>147.87299999999999</v>
      </c>
    </row>
    <row r="146" spans="2:9" ht="13" x14ac:dyDescent="0.3">
      <c r="B146" s="192">
        <f t="shared" si="3"/>
        <v>45577</v>
      </c>
      <c r="C146" s="81">
        <v>147.94999999999999</v>
      </c>
      <c r="D146" s="81"/>
      <c r="E146" s="81">
        <v>84.048000000000002</v>
      </c>
      <c r="F146" s="81">
        <v>164</v>
      </c>
      <c r="G146" s="11">
        <f t="shared" si="4"/>
        <v>79.951999999999998</v>
      </c>
      <c r="H146" s="11">
        <f>IFERROR(IF(Yearending&gt;B145,'5. Historical demand'!F146-'5. Historical demand'!C146-'5. Historical demand'!D146,""),"")</f>
        <v>16.050000000000011</v>
      </c>
      <c r="I146" s="11">
        <f t="shared" si="5"/>
        <v>63.901999999999987</v>
      </c>
    </row>
    <row r="147" spans="2:9" ht="13" x14ac:dyDescent="0.3">
      <c r="B147" s="192">
        <f t="shared" si="3"/>
        <v>45578</v>
      </c>
      <c r="C147" s="81">
        <v>147.94999999999999</v>
      </c>
      <c r="D147" s="81"/>
      <c r="E147" s="81">
        <v>69.427999999999997</v>
      </c>
      <c r="F147" s="81">
        <v>164</v>
      </c>
      <c r="G147" s="11">
        <f t="shared" si="4"/>
        <v>94.572000000000003</v>
      </c>
      <c r="H147" s="11">
        <f>IFERROR(IF(Yearending&gt;B146,'5. Historical demand'!F147-'5. Historical demand'!C147-'5. Historical demand'!D147,""),"")</f>
        <v>16.050000000000011</v>
      </c>
      <c r="I147" s="11">
        <f t="shared" si="5"/>
        <v>78.521999999999991</v>
      </c>
    </row>
    <row r="148" spans="2:9" ht="13" x14ac:dyDescent="0.3">
      <c r="B148" s="192">
        <f t="shared" si="3"/>
        <v>45579</v>
      </c>
      <c r="C148" s="81">
        <v>147.94999999999999</v>
      </c>
      <c r="D148" s="81"/>
      <c r="E148" s="81">
        <v>86.424999999999997</v>
      </c>
      <c r="F148" s="81">
        <v>164</v>
      </c>
      <c r="G148" s="11">
        <f t="shared" si="4"/>
        <v>77.575000000000003</v>
      </c>
      <c r="H148" s="11">
        <f>IFERROR(IF(Yearending&gt;B147,'5. Historical demand'!F148-'5. Historical demand'!C148-'5. Historical demand'!D148,""),"")</f>
        <v>16.050000000000011</v>
      </c>
      <c r="I148" s="11">
        <f t="shared" si="5"/>
        <v>61.524999999999991</v>
      </c>
    </row>
    <row r="149" spans="2:9" ht="13" x14ac:dyDescent="0.3">
      <c r="B149" s="192">
        <f t="shared" si="3"/>
        <v>45580</v>
      </c>
      <c r="C149" s="81">
        <v>147.94999999999999</v>
      </c>
      <c r="D149" s="81"/>
      <c r="E149" s="81">
        <v>89.763999999999996</v>
      </c>
      <c r="F149" s="81">
        <v>164</v>
      </c>
      <c r="G149" s="11">
        <f t="shared" si="4"/>
        <v>74.236000000000004</v>
      </c>
      <c r="H149" s="11">
        <f>IFERROR(IF(Yearending&gt;B148,'5. Historical demand'!F149-'5. Historical demand'!C149-'5. Historical demand'!D149,""),"")</f>
        <v>16.050000000000011</v>
      </c>
      <c r="I149" s="11">
        <f t="shared" si="5"/>
        <v>58.185999999999993</v>
      </c>
    </row>
    <row r="150" spans="2:9" ht="13" x14ac:dyDescent="0.3">
      <c r="B150" s="192">
        <f t="shared" si="3"/>
        <v>45581</v>
      </c>
      <c r="C150" s="81">
        <v>147.94999999999999</v>
      </c>
      <c r="D150" s="81"/>
      <c r="E150" s="81">
        <v>77.643000000000001</v>
      </c>
      <c r="F150" s="81">
        <v>164</v>
      </c>
      <c r="G150" s="11">
        <f t="shared" si="4"/>
        <v>86.356999999999999</v>
      </c>
      <c r="H150" s="11">
        <f>IFERROR(IF(Yearending&gt;B149,'5. Historical demand'!F150-'5. Historical demand'!C150-'5. Historical demand'!D150,""),"")</f>
        <v>16.050000000000011</v>
      </c>
      <c r="I150" s="11">
        <f t="shared" si="5"/>
        <v>70.306999999999988</v>
      </c>
    </row>
    <row r="151" spans="2:9" ht="13" x14ac:dyDescent="0.3">
      <c r="B151" s="192">
        <f t="shared" si="3"/>
        <v>45582</v>
      </c>
      <c r="C151" s="81">
        <v>147.94999999999999</v>
      </c>
      <c r="D151" s="81"/>
      <c r="E151" s="81">
        <v>91.596999999999994</v>
      </c>
      <c r="F151" s="81">
        <v>164</v>
      </c>
      <c r="G151" s="11">
        <f t="shared" si="4"/>
        <v>72.403000000000006</v>
      </c>
      <c r="H151" s="11">
        <f>IFERROR(IF(Yearending&gt;B150,'5. Historical demand'!F151-'5. Historical demand'!C151-'5. Historical demand'!D151,""),"")</f>
        <v>16.050000000000011</v>
      </c>
      <c r="I151" s="11">
        <f t="shared" si="5"/>
        <v>56.352999999999994</v>
      </c>
    </row>
    <row r="152" spans="2:9" ht="13" x14ac:dyDescent="0.3">
      <c r="B152" s="192">
        <f t="shared" si="3"/>
        <v>45583</v>
      </c>
      <c r="C152" s="81">
        <v>147.94999999999999</v>
      </c>
      <c r="D152" s="81"/>
      <c r="E152" s="81">
        <v>88.481999999999999</v>
      </c>
      <c r="F152" s="81">
        <v>164</v>
      </c>
      <c r="G152" s="11">
        <f t="shared" si="4"/>
        <v>75.518000000000001</v>
      </c>
      <c r="H152" s="11">
        <f>IFERROR(IF(Yearending&gt;B151,'5. Historical demand'!F152-'5. Historical demand'!C152-'5. Historical demand'!D152,""),"")</f>
        <v>16.050000000000011</v>
      </c>
      <c r="I152" s="11">
        <f t="shared" si="5"/>
        <v>59.467999999999989</v>
      </c>
    </row>
    <row r="153" spans="2:9" ht="13" x14ac:dyDescent="0.3">
      <c r="B153" s="192">
        <f t="shared" si="3"/>
        <v>45584</v>
      </c>
      <c r="C153" s="81">
        <v>147.94999999999999</v>
      </c>
      <c r="D153" s="81"/>
      <c r="E153" s="81">
        <v>82.475999999999999</v>
      </c>
      <c r="F153" s="81">
        <v>164</v>
      </c>
      <c r="G153" s="11">
        <f t="shared" si="4"/>
        <v>81.524000000000001</v>
      </c>
      <c r="H153" s="11">
        <f>IFERROR(IF(Yearending&gt;B152,'5. Historical demand'!F153-'5. Historical demand'!C153-'5. Historical demand'!D153,""),"")</f>
        <v>16.050000000000011</v>
      </c>
      <c r="I153" s="11">
        <f t="shared" si="5"/>
        <v>65.47399999999999</v>
      </c>
    </row>
    <row r="154" spans="2:9" ht="13" x14ac:dyDescent="0.3">
      <c r="B154" s="192">
        <f t="shared" si="3"/>
        <v>45585</v>
      </c>
      <c r="C154" s="81">
        <v>147.94999999999999</v>
      </c>
      <c r="D154" s="81"/>
      <c r="E154" s="81">
        <v>80.805999999999997</v>
      </c>
      <c r="F154" s="81">
        <v>164</v>
      </c>
      <c r="G154" s="11">
        <f t="shared" si="4"/>
        <v>83.194000000000003</v>
      </c>
      <c r="H154" s="11">
        <f>IFERROR(IF(Yearending&gt;B153,'5. Historical demand'!F154-'5. Historical demand'!C154-'5. Historical demand'!D154,""),"")</f>
        <v>16.050000000000011</v>
      </c>
      <c r="I154" s="11">
        <f t="shared" si="5"/>
        <v>67.143999999999991</v>
      </c>
    </row>
    <row r="155" spans="2:9" ht="13" x14ac:dyDescent="0.3">
      <c r="B155" s="192">
        <f t="shared" si="3"/>
        <v>45586</v>
      </c>
      <c r="C155" s="81">
        <v>147.94999999999999</v>
      </c>
      <c r="D155" s="81"/>
      <c r="E155" s="81">
        <v>27.965</v>
      </c>
      <c r="F155" s="81">
        <v>164</v>
      </c>
      <c r="G155" s="11">
        <f t="shared" si="4"/>
        <v>136.035</v>
      </c>
      <c r="H155" s="11">
        <f>IFERROR(IF(Yearending&gt;B154,'5. Historical demand'!F155-'5. Historical demand'!C155-'5. Historical demand'!D155,""),"")</f>
        <v>16.050000000000011</v>
      </c>
      <c r="I155" s="11">
        <f t="shared" si="5"/>
        <v>119.98499999999999</v>
      </c>
    </row>
    <row r="156" spans="2:9" ht="13" x14ac:dyDescent="0.3">
      <c r="B156" s="192">
        <f t="shared" si="3"/>
        <v>45587</v>
      </c>
      <c r="C156" s="81">
        <v>147.94999999999999</v>
      </c>
      <c r="D156" s="81"/>
      <c r="E156" s="81">
        <v>69.206000000000003</v>
      </c>
      <c r="F156" s="81">
        <v>164</v>
      </c>
      <c r="G156" s="11">
        <f t="shared" si="4"/>
        <v>94.793999999999997</v>
      </c>
      <c r="H156" s="11">
        <f>IFERROR(IF(Yearending&gt;B155,'5. Historical demand'!F156-'5. Historical demand'!C156-'5. Historical demand'!D156,""),"")</f>
        <v>16.050000000000011</v>
      </c>
      <c r="I156" s="11">
        <f t="shared" si="5"/>
        <v>78.743999999999986</v>
      </c>
    </row>
    <row r="157" spans="2:9" ht="13" x14ac:dyDescent="0.3">
      <c r="B157" s="192">
        <f t="shared" si="3"/>
        <v>45588</v>
      </c>
      <c r="C157" s="81">
        <v>147.94999999999999</v>
      </c>
      <c r="D157" s="81"/>
      <c r="E157" s="81">
        <v>91.521000000000001</v>
      </c>
      <c r="F157" s="81">
        <v>164</v>
      </c>
      <c r="G157" s="11">
        <f t="shared" si="4"/>
        <v>72.478999999999999</v>
      </c>
      <c r="H157" s="11">
        <f>IFERROR(IF(Yearending&gt;B156,'5. Historical demand'!F157-'5. Historical demand'!C157-'5. Historical demand'!D157,""),"")</f>
        <v>16.050000000000011</v>
      </c>
      <c r="I157" s="11">
        <f t="shared" si="5"/>
        <v>56.428999999999988</v>
      </c>
    </row>
    <row r="158" spans="2:9" ht="13" x14ac:dyDescent="0.3">
      <c r="B158" s="192">
        <f t="shared" si="3"/>
        <v>45589</v>
      </c>
      <c r="C158" s="81">
        <v>147.94999999999999</v>
      </c>
      <c r="D158" s="81"/>
      <c r="E158" s="81">
        <v>160.255</v>
      </c>
      <c r="F158" s="81">
        <v>164</v>
      </c>
      <c r="G158" s="11">
        <f t="shared" si="4"/>
        <v>3.7450000000000045</v>
      </c>
      <c r="H158" s="11">
        <f>IFERROR(IF(Yearending&gt;B157,'5. Historical demand'!F158-'5. Historical demand'!C158-'5. Historical demand'!D158,""),"")</f>
        <v>16.050000000000011</v>
      </c>
      <c r="I158" s="11">
        <f t="shared" si="5"/>
        <v>-12.305000000000007</v>
      </c>
    </row>
    <row r="159" spans="2:9" ht="13" x14ac:dyDescent="0.3">
      <c r="B159" s="192">
        <f t="shared" si="3"/>
        <v>45590</v>
      </c>
      <c r="C159" s="81">
        <v>147.94999999999999</v>
      </c>
      <c r="D159" s="81"/>
      <c r="E159" s="81">
        <v>164.16300000000001</v>
      </c>
      <c r="F159" s="81">
        <v>164</v>
      </c>
      <c r="G159" s="11">
        <f t="shared" si="4"/>
        <v>-0.16300000000001091</v>
      </c>
      <c r="H159" s="11">
        <f>IFERROR(IF(Yearending&gt;B158,'5. Historical demand'!F159-'5. Historical demand'!C159-'5. Historical demand'!D159,""),"")</f>
        <v>16.050000000000011</v>
      </c>
      <c r="I159" s="11">
        <f t="shared" si="5"/>
        <v>-16.213000000000022</v>
      </c>
    </row>
    <row r="160" spans="2:9" ht="13" x14ac:dyDescent="0.3">
      <c r="B160" s="192">
        <f t="shared" si="3"/>
        <v>45591</v>
      </c>
      <c r="C160" s="81">
        <v>147.94999999999999</v>
      </c>
      <c r="D160" s="81"/>
      <c r="E160" s="81">
        <v>92.09</v>
      </c>
      <c r="F160" s="81">
        <v>164</v>
      </c>
      <c r="G160" s="11">
        <f t="shared" si="4"/>
        <v>71.91</v>
      </c>
      <c r="H160" s="11">
        <f>IFERROR(IF(Yearending&gt;B159,'5. Historical demand'!F160-'5. Historical demand'!C160-'5. Historical demand'!D160,""),"")</f>
        <v>16.050000000000011</v>
      </c>
      <c r="I160" s="11">
        <f t="shared" si="5"/>
        <v>55.859999999999985</v>
      </c>
    </row>
    <row r="161" spans="2:9" ht="13" x14ac:dyDescent="0.3">
      <c r="B161" s="192">
        <f t="shared" si="3"/>
        <v>45592</v>
      </c>
      <c r="C161" s="81">
        <v>147.94999999999999</v>
      </c>
      <c r="D161" s="81"/>
      <c r="E161" s="81">
        <v>82.394000000000005</v>
      </c>
      <c r="F161" s="81">
        <v>164</v>
      </c>
      <c r="G161" s="11">
        <f t="shared" si="4"/>
        <v>81.605999999999995</v>
      </c>
      <c r="H161" s="11">
        <f>IFERROR(IF(Yearending&gt;B160,'5. Historical demand'!F161-'5. Historical demand'!C161-'5. Historical demand'!D161,""),"")</f>
        <v>16.050000000000011</v>
      </c>
      <c r="I161" s="11">
        <f t="shared" si="5"/>
        <v>65.555999999999983</v>
      </c>
    </row>
    <row r="162" spans="2:9" ht="13" x14ac:dyDescent="0.3">
      <c r="B162" s="192">
        <f t="shared" si="3"/>
        <v>45593</v>
      </c>
      <c r="C162" s="81">
        <v>147.94999999999999</v>
      </c>
      <c r="D162" s="81"/>
      <c r="E162" s="81">
        <v>31.395</v>
      </c>
      <c r="F162" s="81">
        <v>164</v>
      </c>
      <c r="G162" s="11">
        <f t="shared" si="4"/>
        <v>132.60499999999999</v>
      </c>
      <c r="H162" s="11">
        <f>IFERROR(IF(Yearending&gt;B161,'5. Historical demand'!F162-'5. Historical demand'!C162-'5. Historical demand'!D162,""),"")</f>
        <v>16.050000000000011</v>
      </c>
      <c r="I162" s="11">
        <f t="shared" si="5"/>
        <v>116.55499999999999</v>
      </c>
    </row>
    <row r="163" spans="2:9" ht="13" x14ac:dyDescent="0.3">
      <c r="B163" s="192">
        <f t="shared" si="3"/>
        <v>45594</v>
      </c>
      <c r="C163" s="81">
        <v>147.94999999999999</v>
      </c>
      <c r="D163" s="81"/>
      <c r="E163" s="81">
        <v>75.132999999999996</v>
      </c>
      <c r="F163" s="81">
        <v>164</v>
      </c>
      <c r="G163" s="11">
        <f t="shared" si="4"/>
        <v>88.867000000000004</v>
      </c>
      <c r="H163" s="11">
        <f>IFERROR(IF(Yearending&gt;B162,'5. Historical demand'!F163-'5. Historical demand'!C163-'5. Historical demand'!D163,""),"")</f>
        <v>16.050000000000011</v>
      </c>
      <c r="I163" s="11">
        <f t="shared" si="5"/>
        <v>72.816999999999993</v>
      </c>
    </row>
    <row r="164" spans="2:9" ht="13" x14ac:dyDescent="0.3">
      <c r="B164" s="192">
        <f t="shared" si="3"/>
        <v>45595</v>
      </c>
      <c r="C164" s="81">
        <v>147.94999999999999</v>
      </c>
      <c r="D164" s="81"/>
      <c r="E164" s="81">
        <v>91.988</v>
      </c>
      <c r="F164" s="81">
        <v>164</v>
      </c>
      <c r="G164" s="11">
        <f t="shared" si="4"/>
        <v>72.012</v>
      </c>
      <c r="H164" s="11">
        <f>IFERROR(IF(Yearending&gt;B163,'5. Historical demand'!F164-'5. Historical demand'!C164-'5. Historical demand'!D164,""),"")</f>
        <v>16.050000000000011</v>
      </c>
      <c r="I164" s="11">
        <f t="shared" si="5"/>
        <v>55.961999999999989</v>
      </c>
    </row>
    <row r="165" spans="2:9" ht="13" x14ac:dyDescent="0.3">
      <c r="B165" s="192">
        <f t="shared" si="3"/>
        <v>45596</v>
      </c>
      <c r="C165" s="81">
        <v>147.94999999999999</v>
      </c>
      <c r="D165" s="81"/>
      <c r="E165" s="81">
        <v>96.578000000000003</v>
      </c>
      <c r="F165" s="81">
        <v>164</v>
      </c>
      <c r="G165" s="11">
        <f t="shared" si="4"/>
        <v>67.421999999999997</v>
      </c>
      <c r="H165" s="11">
        <f>IFERROR(IF(Yearending&gt;B164,'5. Historical demand'!F165-'5. Historical demand'!C165-'5. Historical demand'!D165,""),"")</f>
        <v>16.050000000000011</v>
      </c>
      <c r="I165" s="11">
        <f t="shared" si="5"/>
        <v>51.371999999999986</v>
      </c>
    </row>
    <row r="166" spans="2:9" ht="13" x14ac:dyDescent="0.3">
      <c r="B166" s="192">
        <f t="shared" si="3"/>
        <v>45597</v>
      </c>
      <c r="C166" s="81">
        <v>147.94999999999999</v>
      </c>
      <c r="D166" s="81"/>
      <c r="E166" s="81">
        <v>82.924000000000007</v>
      </c>
      <c r="F166" s="81">
        <v>164</v>
      </c>
      <c r="G166" s="11">
        <f t="shared" si="4"/>
        <v>81.075999999999993</v>
      </c>
      <c r="H166" s="11">
        <f>IFERROR(IF(Yearending&gt;B165,'5. Historical demand'!F166-'5. Historical demand'!C166-'5. Historical demand'!D166,""),"")</f>
        <v>16.050000000000011</v>
      </c>
      <c r="I166" s="11">
        <f t="shared" si="5"/>
        <v>65.025999999999982</v>
      </c>
    </row>
    <row r="167" spans="2:9" ht="13" x14ac:dyDescent="0.3">
      <c r="B167" s="192">
        <f t="shared" si="3"/>
        <v>45598</v>
      </c>
      <c r="C167" s="81">
        <v>147.94999999999999</v>
      </c>
      <c r="D167" s="81"/>
      <c r="E167" s="81">
        <v>40.756</v>
      </c>
      <c r="F167" s="81">
        <v>164</v>
      </c>
      <c r="G167" s="11">
        <f t="shared" si="4"/>
        <v>123.244</v>
      </c>
      <c r="H167" s="11">
        <f>IFERROR(IF(Yearending&gt;B166,'5. Historical demand'!F167-'5. Historical demand'!C167-'5. Historical demand'!D167,""),"")</f>
        <v>16.050000000000011</v>
      </c>
      <c r="I167" s="11">
        <f t="shared" si="5"/>
        <v>107.19399999999999</v>
      </c>
    </row>
    <row r="168" spans="2:9" ht="13" x14ac:dyDescent="0.3">
      <c r="B168" s="192">
        <f t="shared" si="3"/>
        <v>45599</v>
      </c>
      <c r="C168" s="81">
        <v>147.94999999999999</v>
      </c>
      <c r="D168" s="81"/>
      <c r="E168" s="81">
        <v>52.692999999999998</v>
      </c>
      <c r="F168" s="81">
        <v>164</v>
      </c>
      <c r="G168" s="11">
        <f t="shared" si="4"/>
        <v>111.307</v>
      </c>
      <c r="H168" s="11">
        <f>IFERROR(IF(Yearending&gt;B167,'5. Historical demand'!F168-'5. Historical demand'!C168-'5. Historical demand'!D168,""),"")</f>
        <v>16.050000000000011</v>
      </c>
      <c r="I168" s="11">
        <f t="shared" si="5"/>
        <v>95.256999999999991</v>
      </c>
    </row>
    <row r="169" spans="2:9" ht="13" x14ac:dyDescent="0.3">
      <c r="B169" s="192">
        <f t="shared" si="3"/>
        <v>45600</v>
      </c>
      <c r="C169" s="81">
        <v>147.94999999999999</v>
      </c>
      <c r="D169" s="81"/>
      <c r="E169" s="81">
        <v>70.686000000000007</v>
      </c>
      <c r="F169" s="81">
        <v>164</v>
      </c>
      <c r="G169" s="11">
        <f t="shared" si="4"/>
        <v>93.313999999999993</v>
      </c>
      <c r="H169" s="11">
        <f>IFERROR(IF(Yearending&gt;B168,'5. Historical demand'!F169-'5. Historical demand'!C169-'5. Historical demand'!D169,""),"")</f>
        <v>16.050000000000011</v>
      </c>
      <c r="I169" s="11">
        <f t="shared" si="5"/>
        <v>77.263999999999982</v>
      </c>
    </row>
    <row r="170" spans="2:9" ht="13" x14ac:dyDescent="0.3">
      <c r="B170" s="192">
        <f t="shared" si="3"/>
        <v>45601</v>
      </c>
      <c r="C170" s="81">
        <v>147.94999999999999</v>
      </c>
      <c r="D170" s="81"/>
      <c r="E170" s="81">
        <v>78.396000000000001</v>
      </c>
      <c r="F170" s="81">
        <v>164</v>
      </c>
      <c r="G170" s="11">
        <f t="shared" si="4"/>
        <v>85.603999999999999</v>
      </c>
      <c r="H170" s="11">
        <f>IFERROR(IF(Yearending&gt;B169,'5. Historical demand'!F170-'5. Historical demand'!C170-'5. Historical demand'!D170,""),"")</f>
        <v>16.050000000000011</v>
      </c>
      <c r="I170" s="11">
        <f t="shared" si="5"/>
        <v>69.553999999999988</v>
      </c>
    </row>
    <row r="171" spans="2:9" ht="13" x14ac:dyDescent="0.3">
      <c r="B171" s="192">
        <f t="shared" si="3"/>
        <v>45602</v>
      </c>
      <c r="C171" s="81">
        <v>147.94999999999999</v>
      </c>
      <c r="D171" s="81"/>
      <c r="E171" s="81">
        <v>74.084999999999994</v>
      </c>
      <c r="F171" s="81">
        <v>164</v>
      </c>
      <c r="G171" s="11">
        <f t="shared" si="4"/>
        <v>89.915000000000006</v>
      </c>
      <c r="H171" s="11">
        <f>IFERROR(IF(Yearending&gt;B170,'5. Historical demand'!F171-'5. Historical demand'!C171-'5. Historical demand'!D171,""),"")</f>
        <v>16.050000000000011</v>
      </c>
      <c r="I171" s="11">
        <f t="shared" si="5"/>
        <v>73.864999999999995</v>
      </c>
    </row>
    <row r="172" spans="2:9" ht="13" x14ac:dyDescent="0.3">
      <c r="B172" s="192">
        <f t="shared" ref="B172:B235" si="6">IFERROR(IF(Yearending&gt;B171, B171+1, ""),"")</f>
        <v>45603</v>
      </c>
      <c r="C172" s="81">
        <v>147.94999999999999</v>
      </c>
      <c r="D172" s="81"/>
      <c r="E172" s="81">
        <v>80.290000000000006</v>
      </c>
      <c r="F172" s="81">
        <v>164</v>
      </c>
      <c r="G172" s="11">
        <f t="shared" ref="G172:G235" si="7">IFERROR(IF(Yearending&gt;B171,F172-E172,""),"")</f>
        <v>83.71</v>
      </c>
      <c r="H172" s="11">
        <f>IFERROR(IF(Yearending&gt;B171,'5. Historical demand'!F172-'5. Historical demand'!C172-'5. Historical demand'!D172,""),"")</f>
        <v>16.050000000000011</v>
      </c>
      <c r="I172" s="11">
        <f t="shared" ref="I172:I235" si="8">IFERROR(IF(Yearending&gt;B171,C172+D172-E172,""),"")</f>
        <v>67.659999999999982</v>
      </c>
    </row>
    <row r="173" spans="2:9" ht="13" x14ac:dyDescent="0.3">
      <c r="B173" s="192">
        <f t="shared" si="6"/>
        <v>45604</v>
      </c>
      <c r="C173" s="81">
        <v>147.94999999999999</v>
      </c>
      <c r="D173" s="81"/>
      <c r="E173" s="81">
        <v>102.34699999999999</v>
      </c>
      <c r="F173" s="81">
        <v>164</v>
      </c>
      <c r="G173" s="11">
        <f t="shared" si="7"/>
        <v>61.653000000000006</v>
      </c>
      <c r="H173" s="11">
        <f>IFERROR(IF(Yearending&gt;B172,'5. Historical demand'!F173-'5. Historical demand'!C173-'5. Historical demand'!D173,""),"")</f>
        <v>16.050000000000011</v>
      </c>
      <c r="I173" s="11">
        <f t="shared" si="8"/>
        <v>45.602999999999994</v>
      </c>
    </row>
    <row r="174" spans="2:9" ht="13" x14ac:dyDescent="0.3">
      <c r="B174" s="192">
        <f t="shared" si="6"/>
        <v>45605</v>
      </c>
      <c r="C174" s="81">
        <v>147.94999999999999</v>
      </c>
      <c r="D174" s="81"/>
      <c r="E174" s="81">
        <v>115.515</v>
      </c>
      <c r="F174" s="81">
        <v>164</v>
      </c>
      <c r="G174" s="11">
        <f t="shared" si="7"/>
        <v>48.484999999999999</v>
      </c>
      <c r="H174" s="11">
        <f>IFERROR(IF(Yearending&gt;B173,'5. Historical demand'!F174-'5. Historical demand'!C174-'5. Historical demand'!D174,""),"")</f>
        <v>16.050000000000011</v>
      </c>
      <c r="I174" s="11">
        <f t="shared" si="8"/>
        <v>32.434999999999988</v>
      </c>
    </row>
    <row r="175" spans="2:9" ht="13" x14ac:dyDescent="0.3">
      <c r="B175" s="192">
        <f t="shared" si="6"/>
        <v>45606</v>
      </c>
      <c r="C175" s="81">
        <v>147.94999999999999</v>
      </c>
      <c r="D175" s="81"/>
      <c r="E175" s="81">
        <v>107.301</v>
      </c>
      <c r="F175" s="81">
        <v>164</v>
      </c>
      <c r="G175" s="11">
        <f t="shared" si="7"/>
        <v>56.698999999999998</v>
      </c>
      <c r="H175" s="11">
        <f>IFERROR(IF(Yearending&gt;B174,'5. Historical demand'!F175-'5. Historical demand'!C175-'5. Historical demand'!D175,""),"")</f>
        <v>16.050000000000011</v>
      </c>
      <c r="I175" s="11">
        <f t="shared" si="8"/>
        <v>40.648999999999987</v>
      </c>
    </row>
    <row r="176" spans="2:9" ht="13" x14ac:dyDescent="0.3">
      <c r="B176" s="192">
        <f t="shared" si="6"/>
        <v>45607</v>
      </c>
      <c r="C176" s="81">
        <v>147.94999999999999</v>
      </c>
      <c r="D176" s="81"/>
      <c r="E176" s="81">
        <v>119.879</v>
      </c>
      <c r="F176" s="81">
        <v>164</v>
      </c>
      <c r="G176" s="11">
        <f t="shared" si="7"/>
        <v>44.120999999999995</v>
      </c>
      <c r="H176" s="11">
        <f>IFERROR(IF(Yearending&gt;B175,'5. Historical demand'!F176-'5. Historical demand'!C176-'5. Historical demand'!D176,""),"")</f>
        <v>16.050000000000011</v>
      </c>
      <c r="I176" s="11">
        <f t="shared" si="8"/>
        <v>28.070999999999984</v>
      </c>
    </row>
    <row r="177" spans="2:9" ht="13" x14ac:dyDescent="0.3">
      <c r="B177" s="192">
        <f t="shared" si="6"/>
        <v>45608</v>
      </c>
      <c r="C177" s="81">
        <v>147.94999999999999</v>
      </c>
      <c r="D177" s="81"/>
      <c r="E177" s="81">
        <v>125.34699999999999</v>
      </c>
      <c r="F177" s="81">
        <v>164</v>
      </c>
      <c r="G177" s="11">
        <f t="shared" si="7"/>
        <v>38.653000000000006</v>
      </c>
      <c r="H177" s="11">
        <f>IFERROR(IF(Yearending&gt;B176,'5. Historical demand'!F177-'5. Historical demand'!C177-'5. Historical demand'!D177,""),"")</f>
        <v>16.050000000000011</v>
      </c>
      <c r="I177" s="11">
        <f t="shared" si="8"/>
        <v>22.602999999999994</v>
      </c>
    </row>
    <row r="178" spans="2:9" ht="13" x14ac:dyDescent="0.3">
      <c r="B178" s="192">
        <f t="shared" si="6"/>
        <v>45609</v>
      </c>
      <c r="C178" s="81">
        <v>147.94999999999999</v>
      </c>
      <c r="D178" s="81"/>
      <c r="E178" s="81">
        <v>125.24299999999999</v>
      </c>
      <c r="F178" s="81">
        <v>164</v>
      </c>
      <c r="G178" s="11">
        <f t="shared" si="7"/>
        <v>38.757000000000005</v>
      </c>
      <c r="H178" s="11">
        <f>IFERROR(IF(Yearending&gt;B177,'5. Historical demand'!F178-'5. Historical demand'!C178-'5. Historical demand'!D178,""),"")</f>
        <v>16.050000000000011</v>
      </c>
      <c r="I178" s="11">
        <f t="shared" si="8"/>
        <v>22.706999999999994</v>
      </c>
    </row>
    <row r="179" spans="2:9" ht="13" x14ac:dyDescent="0.3">
      <c r="B179" s="192">
        <f t="shared" si="6"/>
        <v>45610</v>
      </c>
      <c r="C179" s="81">
        <v>147.94999999999999</v>
      </c>
      <c r="D179" s="81"/>
      <c r="E179" s="81">
        <v>107.724</v>
      </c>
      <c r="F179" s="81">
        <v>164</v>
      </c>
      <c r="G179" s="11">
        <f t="shared" si="7"/>
        <v>56.275999999999996</v>
      </c>
      <c r="H179" s="11">
        <f>IFERROR(IF(Yearending&gt;B178,'5. Historical demand'!F179-'5. Historical demand'!C179-'5. Historical demand'!D179,""),"")</f>
        <v>16.050000000000011</v>
      </c>
      <c r="I179" s="11">
        <f t="shared" si="8"/>
        <v>40.225999999999985</v>
      </c>
    </row>
    <row r="180" spans="2:9" ht="13" x14ac:dyDescent="0.3">
      <c r="B180" s="192">
        <f t="shared" si="6"/>
        <v>45611</v>
      </c>
      <c r="C180" s="81">
        <v>147.94999999999999</v>
      </c>
      <c r="D180" s="81"/>
      <c r="E180" s="81">
        <v>108.246</v>
      </c>
      <c r="F180" s="81">
        <v>164</v>
      </c>
      <c r="G180" s="11">
        <f t="shared" si="7"/>
        <v>55.754000000000005</v>
      </c>
      <c r="H180" s="11">
        <f>IFERROR(IF(Yearending&gt;B179,'5. Historical demand'!F180-'5. Historical demand'!C180-'5. Historical demand'!D180,""),"")</f>
        <v>16.050000000000011</v>
      </c>
      <c r="I180" s="11">
        <f t="shared" si="8"/>
        <v>39.703999999999994</v>
      </c>
    </row>
    <row r="181" spans="2:9" ht="13" x14ac:dyDescent="0.3">
      <c r="B181" s="192">
        <f t="shared" si="6"/>
        <v>45612</v>
      </c>
      <c r="C181" s="81">
        <v>147.94999999999999</v>
      </c>
      <c r="D181" s="81"/>
      <c r="E181" s="81">
        <v>120.956</v>
      </c>
      <c r="F181" s="81">
        <v>164</v>
      </c>
      <c r="G181" s="11">
        <f t="shared" si="7"/>
        <v>43.043999999999997</v>
      </c>
      <c r="H181" s="11">
        <f>IFERROR(IF(Yearending&gt;B180,'5. Historical demand'!F181-'5. Historical demand'!C181-'5. Historical demand'!D181,""),"")</f>
        <v>16.050000000000011</v>
      </c>
      <c r="I181" s="11">
        <f t="shared" si="8"/>
        <v>26.993999999999986</v>
      </c>
    </row>
    <row r="182" spans="2:9" ht="13" x14ac:dyDescent="0.3">
      <c r="B182" s="192">
        <f t="shared" si="6"/>
        <v>45613</v>
      </c>
      <c r="C182" s="81">
        <v>147.94999999999999</v>
      </c>
      <c r="D182" s="81"/>
      <c r="E182" s="81">
        <v>125.194</v>
      </c>
      <c r="F182" s="81">
        <v>164</v>
      </c>
      <c r="G182" s="11">
        <f t="shared" si="7"/>
        <v>38.805999999999997</v>
      </c>
      <c r="H182" s="11">
        <f>IFERROR(IF(Yearending&gt;B181,'5. Historical demand'!F182-'5. Historical demand'!C182-'5. Historical demand'!D182,""),"")</f>
        <v>16.050000000000011</v>
      </c>
      <c r="I182" s="11">
        <f t="shared" si="8"/>
        <v>22.755999999999986</v>
      </c>
    </row>
    <row r="183" spans="2:9" ht="13" x14ac:dyDescent="0.3">
      <c r="B183" s="192">
        <f t="shared" si="6"/>
        <v>45614</v>
      </c>
      <c r="C183" s="81">
        <v>147.94999999999999</v>
      </c>
      <c r="D183" s="81"/>
      <c r="E183" s="81">
        <v>115.123</v>
      </c>
      <c r="F183" s="81">
        <v>164</v>
      </c>
      <c r="G183" s="11">
        <f t="shared" si="7"/>
        <v>48.876999999999995</v>
      </c>
      <c r="H183" s="11">
        <f>IFERROR(IF(Yearending&gt;B182,'5. Historical demand'!F183-'5. Historical demand'!C183-'5. Historical demand'!D183,""),"")</f>
        <v>16.050000000000011</v>
      </c>
      <c r="I183" s="11">
        <f t="shared" si="8"/>
        <v>32.826999999999984</v>
      </c>
    </row>
    <row r="184" spans="2:9" ht="13" x14ac:dyDescent="0.3">
      <c r="B184" s="192">
        <f t="shared" si="6"/>
        <v>45615</v>
      </c>
      <c r="C184" s="81">
        <v>147.94999999999999</v>
      </c>
      <c r="D184" s="81"/>
      <c r="E184" s="81">
        <v>115.116</v>
      </c>
      <c r="F184" s="81">
        <v>164</v>
      </c>
      <c r="G184" s="11">
        <f t="shared" si="7"/>
        <v>48.884</v>
      </c>
      <c r="H184" s="11">
        <f>IFERROR(IF(Yearending&gt;B183,'5. Historical demand'!F184-'5. Historical demand'!C184-'5. Historical demand'!D184,""),"")</f>
        <v>16.050000000000011</v>
      </c>
      <c r="I184" s="11">
        <f t="shared" si="8"/>
        <v>32.833999999999989</v>
      </c>
    </row>
    <row r="185" spans="2:9" ht="13" x14ac:dyDescent="0.3">
      <c r="B185" s="192">
        <f t="shared" si="6"/>
        <v>45616</v>
      </c>
      <c r="C185" s="81">
        <v>147.94999999999999</v>
      </c>
      <c r="D185" s="81"/>
      <c r="E185" s="81">
        <v>115.34699999999999</v>
      </c>
      <c r="F185" s="81">
        <v>164</v>
      </c>
      <c r="G185" s="11">
        <f t="shared" si="7"/>
        <v>48.653000000000006</v>
      </c>
      <c r="H185" s="11">
        <f>IFERROR(IF(Yearending&gt;B184,'5. Historical demand'!F185-'5. Historical demand'!C185-'5. Historical demand'!D185,""),"")</f>
        <v>16.050000000000011</v>
      </c>
      <c r="I185" s="11">
        <f t="shared" si="8"/>
        <v>32.602999999999994</v>
      </c>
    </row>
    <row r="186" spans="2:9" ht="13" x14ac:dyDescent="0.3">
      <c r="B186" s="192">
        <f t="shared" si="6"/>
        <v>45617</v>
      </c>
      <c r="C186" s="81">
        <v>147.94999999999999</v>
      </c>
      <c r="D186" s="81"/>
      <c r="E186" s="81">
        <v>118.158</v>
      </c>
      <c r="F186" s="81">
        <v>164</v>
      </c>
      <c r="G186" s="11">
        <f t="shared" si="7"/>
        <v>45.841999999999999</v>
      </c>
      <c r="H186" s="11">
        <f>IFERROR(IF(Yearending&gt;B185,'5. Historical demand'!F186-'5. Historical demand'!C186-'5. Historical demand'!D186,""),"")</f>
        <v>16.050000000000011</v>
      </c>
      <c r="I186" s="11">
        <f t="shared" si="8"/>
        <v>29.791999999999987</v>
      </c>
    </row>
    <row r="187" spans="2:9" ht="13" x14ac:dyDescent="0.3">
      <c r="B187" s="192">
        <f t="shared" si="6"/>
        <v>45618</v>
      </c>
      <c r="C187" s="81">
        <v>147.94999999999999</v>
      </c>
      <c r="D187" s="81"/>
      <c r="E187" s="81">
        <v>113.129</v>
      </c>
      <c r="F187" s="81">
        <v>164</v>
      </c>
      <c r="G187" s="11">
        <f t="shared" si="7"/>
        <v>50.870999999999995</v>
      </c>
      <c r="H187" s="11">
        <f>IFERROR(IF(Yearending&gt;B186,'5. Historical demand'!F187-'5. Historical demand'!C187-'5. Historical demand'!D187,""),"")</f>
        <v>16.050000000000011</v>
      </c>
      <c r="I187" s="11">
        <f t="shared" si="8"/>
        <v>34.820999999999984</v>
      </c>
    </row>
    <row r="188" spans="2:9" ht="13" x14ac:dyDescent="0.3">
      <c r="B188" s="192">
        <f t="shared" si="6"/>
        <v>45619</v>
      </c>
      <c r="C188" s="81">
        <v>147.94999999999999</v>
      </c>
      <c r="D188" s="81"/>
      <c r="E188" s="81">
        <v>101.82</v>
      </c>
      <c r="F188" s="81">
        <v>164</v>
      </c>
      <c r="G188" s="11">
        <f t="shared" si="7"/>
        <v>62.180000000000007</v>
      </c>
      <c r="H188" s="11">
        <f>IFERROR(IF(Yearending&gt;B187,'5. Historical demand'!F188-'5. Historical demand'!C188-'5. Historical demand'!D188,""),"")</f>
        <v>16.050000000000011</v>
      </c>
      <c r="I188" s="11">
        <f t="shared" si="8"/>
        <v>46.129999999999995</v>
      </c>
    </row>
    <row r="189" spans="2:9" ht="13" x14ac:dyDescent="0.3">
      <c r="B189" s="192">
        <f t="shared" si="6"/>
        <v>45620</v>
      </c>
      <c r="C189" s="81">
        <v>147.94999999999999</v>
      </c>
      <c r="D189" s="81"/>
      <c r="E189" s="81">
        <v>116.73</v>
      </c>
      <c r="F189" s="81">
        <v>164</v>
      </c>
      <c r="G189" s="11">
        <f t="shared" si="7"/>
        <v>47.269999999999996</v>
      </c>
      <c r="H189" s="11">
        <f>IFERROR(IF(Yearending&gt;B188,'5. Historical demand'!F189-'5. Historical demand'!C189-'5. Historical demand'!D189,""),"")</f>
        <v>16.050000000000011</v>
      </c>
      <c r="I189" s="11">
        <f t="shared" si="8"/>
        <v>31.219999999999985</v>
      </c>
    </row>
    <row r="190" spans="2:9" ht="13" x14ac:dyDescent="0.3">
      <c r="B190" s="192">
        <f t="shared" si="6"/>
        <v>45621</v>
      </c>
      <c r="C190" s="81">
        <v>147.94999999999999</v>
      </c>
      <c r="D190" s="81"/>
      <c r="E190" s="81">
        <v>123.223</v>
      </c>
      <c r="F190" s="81">
        <v>164</v>
      </c>
      <c r="G190" s="11">
        <f t="shared" si="7"/>
        <v>40.777000000000001</v>
      </c>
      <c r="H190" s="11">
        <f>IFERROR(IF(Yearending&gt;B189,'5. Historical demand'!F190-'5. Historical demand'!C190-'5. Historical demand'!D190,""),"")</f>
        <v>16.050000000000011</v>
      </c>
      <c r="I190" s="11">
        <f t="shared" si="8"/>
        <v>24.72699999999999</v>
      </c>
    </row>
    <row r="191" spans="2:9" ht="13" x14ac:dyDescent="0.3">
      <c r="B191" s="192">
        <f t="shared" si="6"/>
        <v>45622</v>
      </c>
      <c r="C191" s="81">
        <v>147.94999999999999</v>
      </c>
      <c r="D191" s="81"/>
      <c r="E191" s="81">
        <v>129.35</v>
      </c>
      <c r="F191" s="81">
        <v>164</v>
      </c>
      <c r="G191" s="11">
        <f t="shared" si="7"/>
        <v>34.650000000000006</v>
      </c>
      <c r="H191" s="11">
        <f>IFERROR(IF(Yearending&gt;B190,'5. Historical demand'!F191-'5. Historical demand'!C191-'5. Historical demand'!D191,""),"")</f>
        <v>16.050000000000011</v>
      </c>
      <c r="I191" s="11">
        <f t="shared" si="8"/>
        <v>18.599999999999994</v>
      </c>
    </row>
    <row r="192" spans="2:9" ht="13" x14ac:dyDescent="0.3">
      <c r="B192" s="192">
        <f t="shared" si="6"/>
        <v>45623</v>
      </c>
      <c r="C192" s="81">
        <v>147.94999999999999</v>
      </c>
      <c r="D192" s="81"/>
      <c r="E192" s="81">
        <v>138.446</v>
      </c>
      <c r="F192" s="81">
        <v>164</v>
      </c>
      <c r="G192" s="11">
        <f t="shared" si="7"/>
        <v>25.554000000000002</v>
      </c>
      <c r="H192" s="11">
        <f>IFERROR(IF(Yearending&gt;B191,'5. Historical demand'!F192-'5. Historical demand'!C192-'5. Historical demand'!D192,""),"")</f>
        <v>16.050000000000011</v>
      </c>
      <c r="I192" s="11">
        <f t="shared" si="8"/>
        <v>9.5039999999999907</v>
      </c>
    </row>
    <row r="193" spans="2:9" ht="13" x14ac:dyDescent="0.3">
      <c r="B193" s="192">
        <f t="shared" si="6"/>
        <v>45624</v>
      </c>
      <c r="C193" s="81">
        <v>147.94999999999999</v>
      </c>
      <c r="D193" s="81"/>
      <c r="E193" s="81">
        <v>162.05799999999999</v>
      </c>
      <c r="F193" s="81">
        <v>164</v>
      </c>
      <c r="G193" s="11">
        <f t="shared" si="7"/>
        <v>1.9420000000000073</v>
      </c>
      <c r="H193" s="11">
        <f>IFERROR(IF(Yearending&gt;B192,'5. Historical demand'!F193-'5. Historical demand'!C193-'5. Historical demand'!D193,""),"")</f>
        <v>16.050000000000011</v>
      </c>
      <c r="I193" s="11">
        <f t="shared" si="8"/>
        <v>-14.108000000000004</v>
      </c>
    </row>
    <row r="194" spans="2:9" ht="13" x14ac:dyDescent="0.3">
      <c r="B194" s="192">
        <f t="shared" si="6"/>
        <v>45625</v>
      </c>
      <c r="C194" s="81">
        <v>147.94999999999999</v>
      </c>
      <c r="D194" s="81"/>
      <c r="E194" s="81">
        <v>163.87100000000001</v>
      </c>
      <c r="F194" s="81">
        <v>164</v>
      </c>
      <c r="G194" s="11">
        <f t="shared" si="7"/>
        <v>0.12899999999999068</v>
      </c>
      <c r="H194" s="11">
        <f>IFERROR(IF(Yearending&gt;B193,'5. Historical demand'!F194-'5. Historical demand'!C194-'5. Historical demand'!D194,""),"")</f>
        <v>16.050000000000011</v>
      </c>
      <c r="I194" s="11">
        <f t="shared" si="8"/>
        <v>-15.921000000000021</v>
      </c>
    </row>
    <row r="195" spans="2:9" ht="13" x14ac:dyDescent="0.3">
      <c r="B195" s="192">
        <f t="shared" si="6"/>
        <v>45626</v>
      </c>
      <c r="C195" s="81">
        <v>147.94999999999999</v>
      </c>
      <c r="D195" s="81"/>
      <c r="E195" s="81">
        <v>158.517</v>
      </c>
      <c r="F195" s="81">
        <v>164</v>
      </c>
      <c r="G195" s="11">
        <f t="shared" si="7"/>
        <v>5.4830000000000041</v>
      </c>
      <c r="H195" s="11">
        <f>IFERROR(IF(Yearending&gt;B194,'5. Historical demand'!F195-'5. Historical demand'!C195-'5. Historical demand'!D195,""),"")</f>
        <v>16.050000000000011</v>
      </c>
      <c r="I195" s="11">
        <f t="shared" si="8"/>
        <v>-10.567000000000007</v>
      </c>
    </row>
    <row r="196" spans="2:9" ht="13" x14ac:dyDescent="0.3">
      <c r="B196" s="192">
        <f t="shared" si="6"/>
        <v>45627</v>
      </c>
      <c r="C196" s="81">
        <v>147.94999999999999</v>
      </c>
      <c r="D196" s="81"/>
      <c r="E196" s="81">
        <v>126.41</v>
      </c>
      <c r="F196" s="81">
        <v>164</v>
      </c>
      <c r="G196" s="11">
        <f t="shared" si="7"/>
        <v>37.590000000000003</v>
      </c>
      <c r="H196" s="11">
        <f>IFERROR(IF(Yearending&gt;B195,'5. Historical demand'!F196-'5. Historical demand'!C196-'5. Historical demand'!D196,""),"")</f>
        <v>16.050000000000011</v>
      </c>
      <c r="I196" s="11">
        <f t="shared" si="8"/>
        <v>21.539999999999992</v>
      </c>
    </row>
    <row r="197" spans="2:9" ht="13" x14ac:dyDescent="0.3">
      <c r="B197" s="192">
        <f t="shared" si="6"/>
        <v>45628</v>
      </c>
      <c r="C197" s="81">
        <v>147.94999999999999</v>
      </c>
      <c r="D197" s="81"/>
      <c r="E197" s="81">
        <v>112.229</v>
      </c>
      <c r="F197" s="81">
        <v>164</v>
      </c>
      <c r="G197" s="11">
        <f t="shared" si="7"/>
        <v>51.771000000000001</v>
      </c>
      <c r="H197" s="11">
        <f>IFERROR(IF(Yearending&gt;B196,'5. Historical demand'!F197-'5. Historical demand'!C197-'5. Historical demand'!D197,""),"")</f>
        <v>16.050000000000011</v>
      </c>
      <c r="I197" s="11">
        <f t="shared" si="8"/>
        <v>35.720999999999989</v>
      </c>
    </row>
    <row r="198" spans="2:9" ht="13" x14ac:dyDescent="0.3">
      <c r="B198" s="192">
        <f t="shared" si="6"/>
        <v>45629</v>
      </c>
      <c r="C198" s="81">
        <v>147.94999999999999</v>
      </c>
      <c r="D198" s="81"/>
      <c r="E198" s="81">
        <v>104.226</v>
      </c>
      <c r="F198" s="81">
        <v>164</v>
      </c>
      <c r="G198" s="11">
        <f t="shared" si="7"/>
        <v>59.774000000000001</v>
      </c>
      <c r="H198" s="11">
        <f>IFERROR(IF(Yearending&gt;B197,'5. Historical demand'!F198-'5. Historical demand'!C198-'5. Historical demand'!D198,""),"")</f>
        <v>16.050000000000011</v>
      </c>
      <c r="I198" s="11">
        <f t="shared" si="8"/>
        <v>43.72399999999999</v>
      </c>
    </row>
    <row r="199" spans="2:9" ht="13" x14ac:dyDescent="0.3">
      <c r="B199" s="192">
        <f t="shared" si="6"/>
        <v>45630</v>
      </c>
      <c r="C199" s="81">
        <v>147.94999999999999</v>
      </c>
      <c r="D199" s="81"/>
      <c r="E199" s="81">
        <v>107.846</v>
      </c>
      <c r="F199" s="81">
        <v>164</v>
      </c>
      <c r="G199" s="11">
        <f t="shared" si="7"/>
        <v>56.153999999999996</v>
      </c>
      <c r="H199" s="11">
        <f>IFERROR(IF(Yearending&gt;B198,'5. Historical demand'!F199-'5. Historical demand'!C199-'5. Historical demand'!D199,""),"")</f>
        <v>16.050000000000011</v>
      </c>
      <c r="I199" s="11">
        <f t="shared" si="8"/>
        <v>40.103999999999985</v>
      </c>
    </row>
    <row r="200" spans="2:9" ht="13" x14ac:dyDescent="0.3">
      <c r="B200" s="192">
        <f t="shared" si="6"/>
        <v>45631</v>
      </c>
      <c r="C200" s="81">
        <v>147.94999999999999</v>
      </c>
      <c r="D200" s="81"/>
      <c r="E200" s="81">
        <v>112.071</v>
      </c>
      <c r="F200" s="81">
        <v>164</v>
      </c>
      <c r="G200" s="11">
        <f t="shared" si="7"/>
        <v>51.929000000000002</v>
      </c>
      <c r="H200" s="11">
        <f>IFERROR(IF(Yearending&gt;B199,'5. Historical demand'!F200-'5. Historical demand'!C200-'5. Historical demand'!D200,""),"")</f>
        <v>16.050000000000011</v>
      </c>
      <c r="I200" s="11">
        <f t="shared" si="8"/>
        <v>35.878999999999991</v>
      </c>
    </row>
    <row r="201" spans="2:9" ht="13" x14ac:dyDescent="0.3">
      <c r="B201" s="192">
        <f t="shared" si="6"/>
        <v>45632</v>
      </c>
      <c r="C201" s="81">
        <v>147.94999999999999</v>
      </c>
      <c r="D201" s="81"/>
      <c r="E201" s="81">
        <v>112.11</v>
      </c>
      <c r="F201" s="81">
        <v>164</v>
      </c>
      <c r="G201" s="11">
        <f t="shared" si="7"/>
        <v>51.89</v>
      </c>
      <c r="H201" s="11">
        <f>IFERROR(IF(Yearending&gt;B200,'5. Historical demand'!F201-'5. Historical demand'!C201-'5. Historical demand'!D201,""),"")</f>
        <v>16.050000000000011</v>
      </c>
      <c r="I201" s="11">
        <f t="shared" si="8"/>
        <v>35.839999999999989</v>
      </c>
    </row>
    <row r="202" spans="2:9" ht="13" x14ac:dyDescent="0.3">
      <c r="B202" s="192">
        <f t="shared" si="6"/>
        <v>45633</v>
      </c>
      <c r="C202" s="81">
        <v>147.94999999999999</v>
      </c>
      <c r="D202" s="81"/>
      <c r="E202" s="81">
        <v>105.316</v>
      </c>
      <c r="F202" s="81">
        <v>164</v>
      </c>
      <c r="G202" s="11">
        <f t="shared" si="7"/>
        <v>58.683999999999997</v>
      </c>
      <c r="H202" s="11">
        <f>IFERROR(IF(Yearending&gt;B201,'5. Historical demand'!F202-'5. Historical demand'!C202-'5. Historical demand'!D202,""),"")</f>
        <v>16.050000000000011</v>
      </c>
      <c r="I202" s="11">
        <f t="shared" si="8"/>
        <v>42.633999999999986</v>
      </c>
    </row>
    <row r="203" spans="2:9" ht="13" x14ac:dyDescent="0.3">
      <c r="B203" s="192">
        <f t="shared" si="6"/>
        <v>45634</v>
      </c>
      <c r="C203" s="81">
        <v>147.94999999999999</v>
      </c>
      <c r="D203" s="81"/>
      <c r="E203" s="81">
        <v>114.37</v>
      </c>
      <c r="F203" s="81">
        <v>164</v>
      </c>
      <c r="G203" s="11">
        <f t="shared" si="7"/>
        <v>49.629999999999995</v>
      </c>
      <c r="H203" s="11">
        <f>IFERROR(IF(Yearending&gt;B202,'5. Historical demand'!F203-'5. Historical demand'!C203-'5. Historical demand'!D203,""),"")</f>
        <v>16.050000000000011</v>
      </c>
      <c r="I203" s="11">
        <f t="shared" si="8"/>
        <v>33.579999999999984</v>
      </c>
    </row>
    <row r="204" spans="2:9" ht="13" x14ac:dyDescent="0.3">
      <c r="B204" s="192">
        <f t="shared" si="6"/>
        <v>45635</v>
      </c>
      <c r="C204" s="81">
        <v>147.94999999999999</v>
      </c>
      <c r="D204" s="81"/>
      <c r="E204" s="81">
        <v>126.84099999999999</v>
      </c>
      <c r="F204" s="81">
        <v>164</v>
      </c>
      <c r="G204" s="11">
        <f t="shared" si="7"/>
        <v>37.159000000000006</v>
      </c>
      <c r="H204" s="11">
        <f>IFERROR(IF(Yearending&gt;B203,'5. Historical demand'!F204-'5. Historical demand'!C204-'5. Historical demand'!D204,""),"")</f>
        <v>16.050000000000011</v>
      </c>
      <c r="I204" s="11">
        <f t="shared" si="8"/>
        <v>21.108999999999995</v>
      </c>
    </row>
    <row r="205" spans="2:9" ht="13" x14ac:dyDescent="0.3">
      <c r="B205" s="192">
        <f t="shared" si="6"/>
        <v>45636</v>
      </c>
      <c r="C205" s="81">
        <v>147.94999999999999</v>
      </c>
      <c r="D205" s="81"/>
      <c r="E205" s="81">
        <v>142.405</v>
      </c>
      <c r="F205" s="81">
        <v>164</v>
      </c>
      <c r="G205" s="11">
        <f t="shared" si="7"/>
        <v>21.594999999999999</v>
      </c>
      <c r="H205" s="11">
        <f>IFERROR(IF(Yearending&gt;B204,'5. Historical demand'!F205-'5. Historical demand'!C205-'5. Historical demand'!D205,""),"")</f>
        <v>16.050000000000011</v>
      </c>
      <c r="I205" s="11">
        <f t="shared" si="8"/>
        <v>5.5449999999999875</v>
      </c>
    </row>
    <row r="206" spans="2:9" ht="13" x14ac:dyDescent="0.3">
      <c r="B206" s="192">
        <f t="shared" si="6"/>
        <v>45637</v>
      </c>
      <c r="C206" s="81">
        <v>147.94999999999999</v>
      </c>
      <c r="D206" s="81"/>
      <c r="E206" s="81">
        <v>129.72399999999999</v>
      </c>
      <c r="F206" s="81">
        <v>164</v>
      </c>
      <c r="G206" s="11">
        <f t="shared" si="7"/>
        <v>34.27600000000001</v>
      </c>
      <c r="H206" s="11">
        <f>IFERROR(IF(Yearending&gt;B205,'5. Historical demand'!F206-'5. Historical demand'!C206-'5. Historical demand'!D206,""),"")</f>
        <v>16.050000000000011</v>
      </c>
      <c r="I206" s="11">
        <f t="shared" si="8"/>
        <v>18.225999999999999</v>
      </c>
    </row>
    <row r="207" spans="2:9" ht="13" x14ac:dyDescent="0.3">
      <c r="B207" s="192">
        <f t="shared" si="6"/>
        <v>45638</v>
      </c>
      <c r="C207" s="81">
        <v>147.94999999999999</v>
      </c>
      <c r="D207" s="81"/>
      <c r="E207" s="81">
        <v>131.79599999999999</v>
      </c>
      <c r="F207" s="81">
        <v>164</v>
      </c>
      <c r="G207" s="11">
        <f t="shared" si="7"/>
        <v>32.204000000000008</v>
      </c>
      <c r="H207" s="11">
        <f>IFERROR(IF(Yearending&gt;B206,'5. Historical demand'!F207-'5. Historical demand'!C207-'5. Historical demand'!D207,""),"")</f>
        <v>16.050000000000011</v>
      </c>
      <c r="I207" s="11">
        <f t="shared" si="8"/>
        <v>16.153999999999996</v>
      </c>
    </row>
    <row r="208" spans="2:9" ht="13" x14ac:dyDescent="0.3">
      <c r="B208" s="192">
        <f t="shared" si="6"/>
        <v>45639</v>
      </c>
      <c r="C208" s="81">
        <v>147.94999999999999</v>
      </c>
      <c r="D208" s="81"/>
      <c r="E208" s="81">
        <v>131.12299999999999</v>
      </c>
      <c r="F208" s="81">
        <v>164</v>
      </c>
      <c r="G208" s="11">
        <f t="shared" si="7"/>
        <v>32.87700000000001</v>
      </c>
      <c r="H208" s="11">
        <f>IFERROR(IF(Yearending&gt;B207,'5. Historical demand'!F208-'5. Historical demand'!C208-'5. Historical demand'!D208,""),"")</f>
        <v>16.050000000000011</v>
      </c>
      <c r="I208" s="11">
        <f t="shared" si="8"/>
        <v>16.826999999999998</v>
      </c>
    </row>
    <row r="209" spans="2:9" ht="13" x14ac:dyDescent="0.3">
      <c r="B209" s="192">
        <f t="shared" si="6"/>
        <v>45640</v>
      </c>
      <c r="C209" s="81">
        <v>147.94999999999999</v>
      </c>
      <c r="D209" s="81"/>
      <c r="E209" s="81">
        <v>122.441</v>
      </c>
      <c r="F209" s="81">
        <v>164</v>
      </c>
      <c r="G209" s="11">
        <f t="shared" si="7"/>
        <v>41.558999999999997</v>
      </c>
      <c r="H209" s="11">
        <f>IFERROR(IF(Yearending&gt;B208,'5. Historical demand'!F209-'5. Historical demand'!C209-'5. Historical demand'!D209,""),"")</f>
        <v>16.050000000000011</v>
      </c>
      <c r="I209" s="11">
        <f t="shared" si="8"/>
        <v>25.508999999999986</v>
      </c>
    </row>
    <row r="210" spans="2:9" ht="13" x14ac:dyDescent="0.3">
      <c r="B210" s="192">
        <f t="shared" si="6"/>
        <v>45641</v>
      </c>
      <c r="C210" s="81">
        <v>147.94999999999999</v>
      </c>
      <c r="D210" s="81"/>
      <c r="E210" s="81">
        <v>131.90299999999999</v>
      </c>
      <c r="F210" s="81">
        <v>164</v>
      </c>
      <c r="G210" s="11">
        <f t="shared" si="7"/>
        <v>32.097000000000008</v>
      </c>
      <c r="H210" s="11">
        <f>IFERROR(IF(Yearending&gt;B209,'5. Historical demand'!F210-'5. Historical demand'!C210-'5. Historical demand'!D210,""),"")</f>
        <v>16.050000000000011</v>
      </c>
      <c r="I210" s="11">
        <f t="shared" si="8"/>
        <v>16.046999999999997</v>
      </c>
    </row>
    <row r="211" spans="2:9" ht="13" x14ac:dyDescent="0.3">
      <c r="B211" s="192">
        <f t="shared" si="6"/>
        <v>45642</v>
      </c>
      <c r="C211" s="81">
        <v>147.94999999999999</v>
      </c>
      <c r="D211" s="81"/>
      <c r="E211" s="81">
        <v>159.428</v>
      </c>
      <c r="F211" s="81">
        <v>164</v>
      </c>
      <c r="G211" s="11">
        <f t="shared" si="7"/>
        <v>4.5720000000000027</v>
      </c>
      <c r="H211" s="11">
        <f>IFERROR(IF(Yearending&gt;B210,'5. Historical demand'!F211-'5. Historical demand'!C211-'5. Historical demand'!D211,""),"")</f>
        <v>16.050000000000011</v>
      </c>
      <c r="I211" s="11">
        <f t="shared" si="8"/>
        <v>-11.478000000000009</v>
      </c>
    </row>
    <row r="212" spans="2:9" ht="13" x14ac:dyDescent="0.3">
      <c r="B212" s="192">
        <f t="shared" si="6"/>
        <v>45643</v>
      </c>
      <c r="C212" s="81">
        <v>147.94999999999999</v>
      </c>
      <c r="D212" s="81"/>
      <c r="E212" s="81">
        <v>140.13800000000001</v>
      </c>
      <c r="F212" s="81">
        <v>164</v>
      </c>
      <c r="G212" s="11">
        <f t="shared" si="7"/>
        <v>23.861999999999995</v>
      </c>
      <c r="H212" s="11">
        <f>IFERROR(IF(Yearending&gt;B211,'5. Historical demand'!F212-'5. Historical demand'!C212-'5. Historical demand'!D212,""),"")</f>
        <v>16.050000000000011</v>
      </c>
      <c r="I212" s="11">
        <f t="shared" si="8"/>
        <v>7.8119999999999834</v>
      </c>
    </row>
    <row r="213" spans="2:9" ht="13" x14ac:dyDescent="0.3">
      <c r="B213" s="192">
        <f t="shared" si="6"/>
        <v>45644</v>
      </c>
      <c r="C213" s="81">
        <v>147.94999999999999</v>
      </c>
      <c r="D213" s="81"/>
      <c r="E213" s="81">
        <v>124.884</v>
      </c>
      <c r="F213" s="81">
        <v>164</v>
      </c>
      <c r="G213" s="11">
        <f t="shared" si="7"/>
        <v>39.116</v>
      </c>
      <c r="H213" s="11">
        <f>IFERROR(IF(Yearending&gt;B212,'5. Historical demand'!F213-'5. Historical demand'!C213-'5. Historical demand'!D213,""),"")</f>
        <v>16.050000000000011</v>
      </c>
      <c r="I213" s="11">
        <f t="shared" si="8"/>
        <v>23.065999999999988</v>
      </c>
    </row>
    <row r="214" spans="2:9" ht="13" x14ac:dyDescent="0.3">
      <c r="B214" s="192">
        <f t="shared" si="6"/>
        <v>45645</v>
      </c>
      <c r="C214" s="81">
        <v>147.94999999999999</v>
      </c>
      <c r="D214" s="81"/>
      <c r="E214" s="81">
        <v>80.986999999999995</v>
      </c>
      <c r="F214" s="81">
        <v>164</v>
      </c>
      <c r="G214" s="11">
        <f t="shared" si="7"/>
        <v>83.013000000000005</v>
      </c>
      <c r="H214" s="11">
        <f>IFERROR(IF(Yearending&gt;B213,'5. Historical demand'!F214-'5. Historical demand'!C214-'5. Historical demand'!D214,""),"")</f>
        <v>16.050000000000011</v>
      </c>
      <c r="I214" s="11">
        <f t="shared" si="8"/>
        <v>66.962999999999994</v>
      </c>
    </row>
    <row r="215" spans="2:9" ht="13" x14ac:dyDescent="0.3">
      <c r="B215" s="192">
        <f t="shared" si="6"/>
        <v>45646</v>
      </c>
      <c r="C215" s="81">
        <v>147.94999999999999</v>
      </c>
      <c r="D215" s="81"/>
      <c r="E215" s="81">
        <v>67.563000000000002</v>
      </c>
      <c r="F215" s="81">
        <v>164</v>
      </c>
      <c r="G215" s="11">
        <f t="shared" si="7"/>
        <v>96.436999999999998</v>
      </c>
      <c r="H215" s="11">
        <f>IFERROR(IF(Yearending&gt;B214,'5. Historical demand'!F215-'5. Historical demand'!C215-'5. Historical demand'!D215,""),"")</f>
        <v>16.050000000000011</v>
      </c>
      <c r="I215" s="11">
        <f t="shared" si="8"/>
        <v>80.386999999999986</v>
      </c>
    </row>
    <row r="216" spans="2:9" ht="13" x14ac:dyDescent="0.3">
      <c r="B216" s="192">
        <f t="shared" si="6"/>
        <v>45647</v>
      </c>
      <c r="C216" s="81">
        <v>147.94999999999999</v>
      </c>
      <c r="D216" s="81"/>
      <c r="E216" s="81">
        <v>74.225999999999999</v>
      </c>
      <c r="F216" s="81">
        <v>164</v>
      </c>
      <c r="G216" s="11">
        <f t="shared" si="7"/>
        <v>89.774000000000001</v>
      </c>
      <c r="H216" s="11">
        <f>IFERROR(IF(Yearending&gt;B215,'5. Historical demand'!F216-'5. Historical demand'!C216-'5. Historical demand'!D216,""),"")</f>
        <v>16.050000000000011</v>
      </c>
      <c r="I216" s="11">
        <f t="shared" si="8"/>
        <v>73.72399999999999</v>
      </c>
    </row>
    <row r="217" spans="2:9" ht="13" x14ac:dyDescent="0.3">
      <c r="B217" s="192">
        <f t="shared" si="6"/>
        <v>45648</v>
      </c>
      <c r="C217" s="81">
        <v>147.94999999999999</v>
      </c>
      <c r="D217" s="81"/>
      <c r="E217" s="81">
        <v>58.143000000000001</v>
      </c>
      <c r="F217" s="81">
        <v>164</v>
      </c>
      <c r="G217" s="11">
        <f t="shared" si="7"/>
        <v>105.857</v>
      </c>
      <c r="H217" s="11">
        <f>IFERROR(IF(Yearending&gt;B216,'5. Historical demand'!F217-'5. Historical demand'!C217-'5. Historical demand'!D217,""),"")</f>
        <v>16.050000000000011</v>
      </c>
      <c r="I217" s="11">
        <f t="shared" si="8"/>
        <v>89.806999999999988</v>
      </c>
    </row>
    <row r="218" spans="2:9" ht="13" x14ac:dyDescent="0.3">
      <c r="B218" s="192">
        <f t="shared" si="6"/>
        <v>45649</v>
      </c>
      <c r="C218" s="81">
        <v>147.94999999999999</v>
      </c>
      <c r="D218" s="81"/>
      <c r="E218" s="81">
        <v>75.231999999999999</v>
      </c>
      <c r="F218" s="81">
        <v>164</v>
      </c>
      <c r="G218" s="11">
        <f t="shared" si="7"/>
        <v>88.768000000000001</v>
      </c>
      <c r="H218" s="11">
        <f>IFERROR(IF(Yearending&gt;B217,'5. Historical demand'!F218-'5. Historical demand'!C218-'5. Historical demand'!D218,""),"")</f>
        <v>16.050000000000011</v>
      </c>
      <c r="I218" s="11">
        <f t="shared" si="8"/>
        <v>72.717999999999989</v>
      </c>
    </row>
    <row r="219" spans="2:9" ht="13" x14ac:dyDescent="0.3">
      <c r="B219" s="192">
        <f t="shared" si="6"/>
        <v>45650</v>
      </c>
      <c r="C219" s="81">
        <v>147.94999999999999</v>
      </c>
      <c r="D219" s="81"/>
      <c r="E219" s="81">
        <v>87.283000000000001</v>
      </c>
      <c r="F219" s="81">
        <v>164</v>
      </c>
      <c r="G219" s="11">
        <f t="shared" si="7"/>
        <v>76.716999999999999</v>
      </c>
      <c r="H219" s="11">
        <f>IFERROR(IF(Yearending&gt;B218,'5. Historical demand'!F219-'5. Historical demand'!C219-'5. Historical demand'!D219,""),"")</f>
        <v>16.050000000000011</v>
      </c>
      <c r="I219" s="11">
        <f t="shared" si="8"/>
        <v>60.666999999999987</v>
      </c>
    </row>
    <row r="220" spans="2:9" ht="13" x14ac:dyDescent="0.3">
      <c r="B220" s="192">
        <f t="shared" si="6"/>
        <v>45651</v>
      </c>
      <c r="C220" s="81">
        <v>147.94999999999999</v>
      </c>
      <c r="D220" s="81"/>
      <c r="E220" s="81">
        <v>53.174999999999997</v>
      </c>
      <c r="F220" s="81">
        <v>164</v>
      </c>
      <c r="G220" s="11">
        <f t="shared" si="7"/>
        <v>110.825</v>
      </c>
      <c r="H220" s="11">
        <f>IFERROR(IF(Yearending&gt;B219,'5. Historical demand'!F220-'5. Historical demand'!C220-'5. Historical demand'!D220,""),"")</f>
        <v>16.050000000000011</v>
      </c>
      <c r="I220" s="11">
        <f t="shared" si="8"/>
        <v>94.774999999999991</v>
      </c>
    </row>
    <row r="221" spans="2:9" ht="13" x14ac:dyDescent="0.3">
      <c r="B221" s="192">
        <f t="shared" si="6"/>
        <v>45652</v>
      </c>
      <c r="C221" s="81">
        <v>147.94999999999999</v>
      </c>
      <c r="D221" s="81"/>
      <c r="E221" s="81">
        <v>46.357999999999997</v>
      </c>
      <c r="F221" s="81">
        <v>164</v>
      </c>
      <c r="G221" s="11">
        <f t="shared" si="7"/>
        <v>117.642</v>
      </c>
      <c r="H221" s="11">
        <f>IFERROR(IF(Yearending&gt;B220,'5. Historical demand'!F221-'5. Historical demand'!C221-'5. Historical demand'!D221,""),"")</f>
        <v>16.050000000000011</v>
      </c>
      <c r="I221" s="11">
        <f t="shared" si="8"/>
        <v>101.59199999999998</v>
      </c>
    </row>
    <row r="222" spans="2:9" ht="13" x14ac:dyDescent="0.3">
      <c r="B222" s="192">
        <f t="shared" si="6"/>
        <v>45653</v>
      </c>
      <c r="C222" s="81">
        <v>147.94999999999999</v>
      </c>
      <c r="D222" s="81"/>
      <c r="E222" s="81">
        <v>38.209000000000003</v>
      </c>
      <c r="F222" s="81">
        <v>164</v>
      </c>
      <c r="G222" s="11">
        <f t="shared" si="7"/>
        <v>125.791</v>
      </c>
      <c r="H222" s="11">
        <f>IFERROR(IF(Yearending&gt;B221,'5. Historical demand'!F222-'5. Historical demand'!C222-'5. Historical demand'!D222,""),"")</f>
        <v>16.050000000000011</v>
      </c>
      <c r="I222" s="11">
        <f t="shared" si="8"/>
        <v>109.74099999999999</v>
      </c>
    </row>
    <row r="223" spans="2:9" ht="13" x14ac:dyDescent="0.3">
      <c r="B223" s="192">
        <f t="shared" si="6"/>
        <v>45654</v>
      </c>
      <c r="C223" s="81">
        <v>147.94999999999999</v>
      </c>
      <c r="D223" s="81"/>
      <c r="E223" s="81">
        <v>36.4</v>
      </c>
      <c r="F223" s="81">
        <v>164</v>
      </c>
      <c r="G223" s="11">
        <f t="shared" si="7"/>
        <v>127.6</v>
      </c>
      <c r="H223" s="11">
        <f>IFERROR(IF(Yearending&gt;B222,'5. Historical demand'!F223-'5. Historical demand'!C223-'5. Historical demand'!D223,""),"")</f>
        <v>16.050000000000011</v>
      </c>
      <c r="I223" s="11">
        <f t="shared" si="8"/>
        <v>111.54999999999998</v>
      </c>
    </row>
    <row r="224" spans="2:9" ht="13" x14ac:dyDescent="0.3">
      <c r="B224" s="192">
        <f t="shared" si="6"/>
        <v>45655</v>
      </c>
      <c r="C224" s="81">
        <v>147.94999999999999</v>
      </c>
      <c r="D224" s="81"/>
      <c r="E224" s="81">
        <v>50.179000000000002</v>
      </c>
      <c r="F224" s="81">
        <v>164</v>
      </c>
      <c r="G224" s="11">
        <f t="shared" si="7"/>
        <v>113.821</v>
      </c>
      <c r="H224" s="11">
        <f>IFERROR(IF(Yearending&gt;B223,'5. Historical demand'!F224-'5. Historical demand'!C224-'5. Historical demand'!D224,""),"")</f>
        <v>16.050000000000011</v>
      </c>
      <c r="I224" s="11">
        <f t="shared" si="8"/>
        <v>97.770999999999987</v>
      </c>
    </row>
    <row r="225" spans="2:9" ht="13" x14ac:dyDescent="0.3">
      <c r="B225" s="192">
        <f t="shared" si="6"/>
        <v>45656</v>
      </c>
      <c r="C225" s="81">
        <v>147.94999999999999</v>
      </c>
      <c r="D225" s="81"/>
      <c r="E225" s="81">
        <v>41.712000000000003</v>
      </c>
      <c r="F225" s="81">
        <v>164</v>
      </c>
      <c r="G225" s="11">
        <f t="shared" si="7"/>
        <v>122.288</v>
      </c>
      <c r="H225" s="11">
        <f>IFERROR(IF(Yearending&gt;B224,'5. Historical demand'!F225-'5. Historical demand'!C225-'5. Historical demand'!D225,""),"")</f>
        <v>16.050000000000011</v>
      </c>
      <c r="I225" s="11">
        <f t="shared" si="8"/>
        <v>106.23799999999999</v>
      </c>
    </row>
    <row r="226" spans="2:9" ht="13" x14ac:dyDescent="0.3">
      <c r="B226" s="192">
        <f t="shared" si="6"/>
        <v>45657</v>
      </c>
      <c r="C226" s="81">
        <v>147.94999999999999</v>
      </c>
      <c r="D226" s="81"/>
      <c r="E226" s="81">
        <v>48.2</v>
      </c>
      <c r="F226" s="81">
        <v>164</v>
      </c>
      <c r="G226" s="11">
        <f t="shared" si="7"/>
        <v>115.8</v>
      </c>
      <c r="H226" s="11">
        <f>IFERROR(IF(Yearending&gt;B225,'5. Historical demand'!F226-'5. Historical demand'!C226-'5. Historical demand'!D226,""),"")</f>
        <v>16.050000000000011</v>
      </c>
      <c r="I226" s="11">
        <f t="shared" si="8"/>
        <v>99.749999999999986</v>
      </c>
    </row>
    <row r="227" spans="2:9" ht="13" x14ac:dyDescent="0.3">
      <c r="B227" s="192">
        <f t="shared" si="6"/>
        <v>45658</v>
      </c>
      <c r="C227" s="81">
        <v>147.94999999999999</v>
      </c>
      <c r="D227" s="81"/>
      <c r="E227" s="81">
        <v>86.602999999999994</v>
      </c>
      <c r="F227" s="81">
        <v>164</v>
      </c>
      <c r="G227" s="11">
        <f t="shared" si="7"/>
        <v>77.397000000000006</v>
      </c>
      <c r="H227" s="11">
        <f>IFERROR(IF(Yearending&gt;B226,'5. Historical demand'!F227-'5. Historical demand'!C227-'5. Historical demand'!D227,""),"")</f>
        <v>16.050000000000011</v>
      </c>
      <c r="I227" s="11">
        <f t="shared" si="8"/>
        <v>61.346999999999994</v>
      </c>
    </row>
    <row r="228" spans="2:9" ht="13" x14ac:dyDescent="0.3">
      <c r="B228" s="192">
        <f t="shared" si="6"/>
        <v>45659</v>
      </c>
      <c r="C228" s="81">
        <v>147.94999999999999</v>
      </c>
      <c r="D228" s="81"/>
      <c r="E228" s="81">
        <v>75.908000000000001</v>
      </c>
      <c r="F228" s="81">
        <v>164</v>
      </c>
      <c r="G228" s="11">
        <f t="shared" si="7"/>
        <v>88.091999999999999</v>
      </c>
      <c r="H228" s="11">
        <f>IFERROR(IF(Yearending&gt;B227,'5. Historical demand'!F228-'5. Historical demand'!C228-'5. Historical demand'!D228,""),"")</f>
        <v>16.050000000000011</v>
      </c>
      <c r="I228" s="11">
        <f t="shared" si="8"/>
        <v>72.041999999999987</v>
      </c>
    </row>
    <row r="229" spans="2:9" ht="13" x14ac:dyDescent="0.3">
      <c r="B229" s="192">
        <f t="shared" si="6"/>
        <v>45660</v>
      </c>
      <c r="C229" s="81">
        <v>147.94999999999999</v>
      </c>
      <c r="D229" s="81"/>
      <c r="E229" s="81">
        <v>32.799999999999997</v>
      </c>
      <c r="F229" s="81">
        <v>164</v>
      </c>
      <c r="G229" s="11">
        <f t="shared" si="7"/>
        <v>131.19999999999999</v>
      </c>
      <c r="H229" s="11">
        <f>IFERROR(IF(Yearending&gt;B228,'5. Historical demand'!F229-'5. Historical demand'!C229-'5. Historical demand'!D229,""),"")</f>
        <v>16.050000000000011</v>
      </c>
      <c r="I229" s="11">
        <f t="shared" si="8"/>
        <v>115.14999999999999</v>
      </c>
    </row>
    <row r="230" spans="2:9" ht="13" x14ac:dyDescent="0.3">
      <c r="B230" s="192">
        <f t="shared" si="6"/>
        <v>45661</v>
      </c>
      <c r="C230" s="81">
        <v>147.94999999999999</v>
      </c>
      <c r="D230" s="81"/>
      <c r="E230" s="81">
        <v>39.677999999999997</v>
      </c>
      <c r="F230" s="81">
        <v>164</v>
      </c>
      <c r="G230" s="11">
        <f t="shared" si="7"/>
        <v>124.322</v>
      </c>
      <c r="H230" s="11">
        <f>IFERROR(IF(Yearending&gt;B229,'5. Historical demand'!F230-'5. Historical demand'!C230-'5. Historical demand'!D230,""),"")</f>
        <v>16.050000000000011</v>
      </c>
      <c r="I230" s="11">
        <f t="shared" si="8"/>
        <v>108.27199999999999</v>
      </c>
    </row>
    <row r="231" spans="2:9" ht="13" x14ac:dyDescent="0.3">
      <c r="B231" s="192">
        <f t="shared" si="6"/>
        <v>45662</v>
      </c>
      <c r="C231" s="81">
        <v>147.94999999999999</v>
      </c>
      <c r="D231" s="81"/>
      <c r="E231" s="81">
        <v>94.284999999999997</v>
      </c>
      <c r="F231" s="81">
        <v>164</v>
      </c>
      <c r="G231" s="11">
        <f t="shared" si="7"/>
        <v>69.715000000000003</v>
      </c>
      <c r="H231" s="11">
        <f>IFERROR(IF(Yearending&gt;B230,'5. Historical demand'!F231-'5. Historical demand'!C231-'5. Historical demand'!D231,""),"")</f>
        <v>16.050000000000011</v>
      </c>
      <c r="I231" s="11">
        <f t="shared" si="8"/>
        <v>53.664999999999992</v>
      </c>
    </row>
    <row r="232" spans="2:9" ht="13" x14ac:dyDescent="0.3">
      <c r="B232" s="192">
        <f t="shared" si="6"/>
        <v>45663</v>
      </c>
      <c r="C232" s="81">
        <v>147.94999999999999</v>
      </c>
      <c r="D232" s="81"/>
      <c r="E232" s="81">
        <v>65.492999999999995</v>
      </c>
      <c r="F232" s="81">
        <v>164</v>
      </c>
      <c r="G232" s="11">
        <f t="shared" si="7"/>
        <v>98.507000000000005</v>
      </c>
      <c r="H232" s="11">
        <f>IFERROR(IF(Yearending&gt;B231,'5. Historical demand'!F232-'5. Historical demand'!C232-'5. Historical demand'!D232,""),"")</f>
        <v>16.050000000000011</v>
      </c>
      <c r="I232" s="11">
        <f t="shared" si="8"/>
        <v>82.456999999999994</v>
      </c>
    </row>
    <row r="233" spans="2:9" ht="13" x14ac:dyDescent="0.3">
      <c r="B233" s="192">
        <f t="shared" si="6"/>
        <v>45664</v>
      </c>
      <c r="C233" s="81">
        <v>147.94999999999999</v>
      </c>
      <c r="D233" s="81"/>
      <c r="E233" s="81">
        <v>53.536000000000001</v>
      </c>
      <c r="F233" s="81">
        <v>164</v>
      </c>
      <c r="G233" s="11">
        <f t="shared" si="7"/>
        <v>110.464</v>
      </c>
      <c r="H233" s="11">
        <f>IFERROR(IF(Yearending&gt;B232,'5. Historical demand'!F233-'5. Historical demand'!C233-'5. Historical demand'!D233,""),"")</f>
        <v>16.050000000000011</v>
      </c>
      <c r="I233" s="11">
        <f t="shared" si="8"/>
        <v>94.413999999999987</v>
      </c>
    </row>
    <row r="234" spans="2:9" ht="13" x14ac:dyDescent="0.3">
      <c r="B234" s="192">
        <f t="shared" si="6"/>
        <v>45665</v>
      </c>
      <c r="C234" s="81">
        <v>147.94999999999999</v>
      </c>
      <c r="D234" s="81"/>
      <c r="E234" s="81">
        <v>70.429000000000002</v>
      </c>
      <c r="F234" s="81">
        <v>164</v>
      </c>
      <c r="G234" s="11">
        <f t="shared" si="7"/>
        <v>93.570999999999998</v>
      </c>
      <c r="H234" s="11">
        <f>IFERROR(IF(Yearending&gt;B233,'5. Historical demand'!F234-'5. Historical demand'!C234-'5. Historical demand'!D234,""),"")</f>
        <v>16.050000000000011</v>
      </c>
      <c r="I234" s="11">
        <f t="shared" si="8"/>
        <v>77.520999999999987</v>
      </c>
    </row>
    <row r="235" spans="2:9" ht="13" x14ac:dyDescent="0.3">
      <c r="B235" s="192">
        <f t="shared" si="6"/>
        <v>45666</v>
      </c>
      <c r="C235" s="81">
        <v>147.94999999999999</v>
      </c>
      <c r="D235" s="81"/>
      <c r="E235" s="81">
        <v>66.971999999999994</v>
      </c>
      <c r="F235" s="81">
        <v>164</v>
      </c>
      <c r="G235" s="11">
        <f t="shared" si="7"/>
        <v>97.028000000000006</v>
      </c>
      <c r="H235" s="11">
        <f>IFERROR(IF(Yearending&gt;B234,'5. Historical demand'!F235-'5. Historical demand'!C235-'5. Historical demand'!D235,""),"")</f>
        <v>16.050000000000011</v>
      </c>
      <c r="I235" s="11">
        <f t="shared" si="8"/>
        <v>80.977999999999994</v>
      </c>
    </row>
    <row r="236" spans="2:9" ht="13" x14ac:dyDescent="0.3">
      <c r="B236" s="192">
        <f t="shared" ref="B236:B299" si="9">IFERROR(IF(Yearending&gt;B235, B235+1, ""),"")</f>
        <v>45667</v>
      </c>
      <c r="C236" s="81">
        <v>147.94999999999999</v>
      </c>
      <c r="D236" s="81"/>
      <c r="E236" s="81">
        <v>71.516999999999996</v>
      </c>
      <c r="F236" s="81">
        <v>164</v>
      </c>
      <c r="G236" s="11">
        <f t="shared" ref="G236:G299" si="10">IFERROR(IF(Yearending&gt;B235,F236-E236,""),"")</f>
        <v>92.483000000000004</v>
      </c>
      <c r="H236" s="11">
        <f>IFERROR(IF(Yearending&gt;B235,'5. Historical demand'!F236-'5. Historical demand'!C236-'5. Historical demand'!D236,""),"")</f>
        <v>16.050000000000011</v>
      </c>
      <c r="I236" s="11">
        <f t="shared" ref="I236:I299" si="11">IFERROR(IF(Yearending&gt;B235,C236+D236-E236,""),"")</f>
        <v>76.432999999999993</v>
      </c>
    </row>
    <row r="237" spans="2:9" ht="13" x14ac:dyDescent="0.3">
      <c r="B237" s="192">
        <f t="shared" si="9"/>
        <v>45668</v>
      </c>
      <c r="C237" s="81">
        <v>147.94999999999999</v>
      </c>
      <c r="D237" s="81"/>
      <c r="E237" s="81">
        <v>96.132000000000005</v>
      </c>
      <c r="F237" s="81">
        <v>164</v>
      </c>
      <c r="G237" s="11">
        <f t="shared" si="10"/>
        <v>67.867999999999995</v>
      </c>
      <c r="H237" s="11">
        <f>IFERROR(IF(Yearending&gt;B236,'5. Historical demand'!F237-'5. Historical demand'!C237-'5. Historical demand'!D237,""),"")</f>
        <v>16.050000000000011</v>
      </c>
      <c r="I237" s="11">
        <f t="shared" si="11"/>
        <v>51.817999999999984</v>
      </c>
    </row>
    <row r="238" spans="2:9" ht="13" x14ac:dyDescent="0.3">
      <c r="B238" s="192">
        <f t="shared" si="9"/>
        <v>45669</v>
      </c>
      <c r="C238" s="81">
        <v>147.94999999999999</v>
      </c>
      <c r="D238" s="81"/>
      <c r="E238" s="81">
        <v>65.227000000000004</v>
      </c>
      <c r="F238" s="81">
        <v>164</v>
      </c>
      <c r="G238" s="11">
        <f t="shared" si="10"/>
        <v>98.772999999999996</v>
      </c>
      <c r="H238" s="11">
        <f>IFERROR(IF(Yearending&gt;B237,'5. Historical demand'!F238-'5. Historical demand'!C238-'5. Historical demand'!D238,""),"")</f>
        <v>16.050000000000011</v>
      </c>
      <c r="I238" s="11">
        <f t="shared" si="11"/>
        <v>82.722999999999985</v>
      </c>
    </row>
    <row r="239" spans="2:9" ht="13" x14ac:dyDescent="0.3">
      <c r="B239" s="192">
        <f t="shared" si="9"/>
        <v>45670</v>
      </c>
      <c r="C239" s="81">
        <v>147.94999999999999</v>
      </c>
      <c r="D239" s="81"/>
      <c r="E239" s="81">
        <v>116.774</v>
      </c>
      <c r="F239" s="81">
        <v>164</v>
      </c>
      <c r="G239" s="11">
        <f t="shared" si="10"/>
        <v>47.225999999999999</v>
      </c>
      <c r="H239" s="11">
        <f>IFERROR(IF(Yearending&gt;B238,'5. Historical demand'!F239-'5. Historical demand'!C239-'5. Historical demand'!D239,""),"")</f>
        <v>16.050000000000011</v>
      </c>
      <c r="I239" s="11">
        <f t="shared" si="11"/>
        <v>31.175999999999988</v>
      </c>
    </row>
    <row r="240" spans="2:9" ht="13" x14ac:dyDescent="0.3">
      <c r="B240" s="192">
        <f t="shared" si="9"/>
        <v>45671</v>
      </c>
      <c r="C240" s="81">
        <v>147.94999999999999</v>
      </c>
      <c r="D240" s="81"/>
      <c r="E240" s="81">
        <v>132.53800000000001</v>
      </c>
      <c r="F240" s="81">
        <v>164</v>
      </c>
      <c r="G240" s="11">
        <f t="shared" si="10"/>
        <v>31.461999999999989</v>
      </c>
      <c r="H240" s="11">
        <f>IFERROR(IF(Yearending&gt;B239,'5. Historical demand'!F240-'5. Historical demand'!C240-'5. Historical demand'!D240,""),"")</f>
        <v>16.050000000000011</v>
      </c>
      <c r="I240" s="11">
        <f t="shared" si="11"/>
        <v>15.411999999999978</v>
      </c>
    </row>
    <row r="241" spans="2:9" ht="13" x14ac:dyDescent="0.3">
      <c r="B241" s="192">
        <f t="shared" si="9"/>
        <v>45672</v>
      </c>
      <c r="C241" s="81">
        <v>147.94999999999999</v>
      </c>
      <c r="D241" s="81"/>
      <c r="E241" s="81">
        <v>130.208</v>
      </c>
      <c r="F241" s="81">
        <v>164</v>
      </c>
      <c r="G241" s="11">
        <f t="shared" si="10"/>
        <v>33.792000000000002</v>
      </c>
      <c r="H241" s="11">
        <f>IFERROR(IF(Yearending&gt;B240,'5. Historical demand'!F241-'5. Historical demand'!C241-'5. Historical demand'!D241,""),"")</f>
        <v>16.050000000000011</v>
      </c>
      <c r="I241" s="11">
        <f t="shared" si="11"/>
        <v>17.74199999999999</v>
      </c>
    </row>
    <row r="242" spans="2:9" ht="13" x14ac:dyDescent="0.3">
      <c r="B242" s="192">
        <f t="shared" si="9"/>
        <v>45673</v>
      </c>
      <c r="C242" s="81">
        <v>147.94999999999999</v>
      </c>
      <c r="D242" s="81"/>
      <c r="E242" s="81">
        <v>106.508</v>
      </c>
      <c r="F242" s="81">
        <v>164</v>
      </c>
      <c r="G242" s="11">
        <f t="shared" si="10"/>
        <v>57.492000000000004</v>
      </c>
      <c r="H242" s="11">
        <f>IFERROR(IF(Yearending&gt;B241,'5. Historical demand'!F242-'5. Historical demand'!C242-'5. Historical demand'!D242,""),"")</f>
        <v>16.050000000000011</v>
      </c>
      <c r="I242" s="11">
        <f t="shared" si="11"/>
        <v>41.441999999999993</v>
      </c>
    </row>
    <row r="243" spans="2:9" ht="13" x14ac:dyDescent="0.3">
      <c r="B243" s="192">
        <f t="shared" si="9"/>
        <v>45674</v>
      </c>
      <c r="C243" s="81">
        <v>147.94999999999999</v>
      </c>
      <c r="D243" s="81"/>
      <c r="E243" s="81">
        <v>102.05</v>
      </c>
      <c r="F243" s="81">
        <v>164</v>
      </c>
      <c r="G243" s="11">
        <f t="shared" si="10"/>
        <v>61.95</v>
      </c>
      <c r="H243" s="11">
        <f>IFERROR(IF(Yearending&gt;B242,'5. Historical demand'!F243-'5. Historical demand'!C243-'5. Historical demand'!D243,""),"")</f>
        <v>16.050000000000011</v>
      </c>
      <c r="I243" s="11">
        <f t="shared" si="11"/>
        <v>45.899999999999991</v>
      </c>
    </row>
    <row r="244" spans="2:9" ht="13" x14ac:dyDescent="0.3">
      <c r="B244" s="192">
        <f t="shared" si="9"/>
        <v>45675</v>
      </c>
      <c r="C244" s="81">
        <v>147.94999999999999</v>
      </c>
      <c r="D244" s="81"/>
      <c r="E244" s="81">
        <v>66.81</v>
      </c>
      <c r="F244" s="81">
        <v>164</v>
      </c>
      <c r="G244" s="11">
        <f t="shared" si="10"/>
        <v>97.19</v>
      </c>
      <c r="H244" s="11">
        <f>IFERROR(IF(Yearending&gt;B243,'5. Historical demand'!F244-'5. Historical demand'!C244-'5. Historical demand'!D244,""),"")</f>
        <v>16.050000000000011</v>
      </c>
      <c r="I244" s="11">
        <f t="shared" si="11"/>
        <v>81.139999999999986</v>
      </c>
    </row>
    <row r="245" spans="2:9" ht="13" x14ac:dyDescent="0.3">
      <c r="B245" s="192">
        <f t="shared" si="9"/>
        <v>45676</v>
      </c>
      <c r="C245" s="81">
        <v>147.94999999999999</v>
      </c>
      <c r="D245" s="81"/>
      <c r="E245" s="81">
        <v>66.146000000000001</v>
      </c>
      <c r="F245" s="81">
        <v>164</v>
      </c>
      <c r="G245" s="11">
        <f t="shared" si="10"/>
        <v>97.853999999999999</v>
      </c>
      <c r="H245" s="11">
        <f>IFERROR(IF(Yearending&gt;B244,'5. Historical demand'!F245-'5. Historical demand'!C245-'5. Historical demand'!D245,""),"")</f>
        <v>16.050000000000011</v>
      </c>
      <c r="I245" s="11">
        <f t="shared" si="11"/>
        <v>81.803999999999988</v>
      </c>
    </row>
    <row r="246" spans="2:9" ht="13" x14ac:dyDescent="0.3">
      <c r="B246" s="192">
        <f t="shared" si="9"/>
        <v>45677</v>
      </c>
      <c r="C246" s="81">
        <v>147.94999999999999</v>
      </c>
      <c r="D246" s="81"/>
      <c r="E246" s="81">
        <v>95.665000000000006</v>
      </c>
      <c r="F246" s="81">
        <v>164</v>
      </c>
      <c r="G246" s="11">
        <f t="shared" si="10"/>
        <v>68.334999999999994</v>
      </c>
      <c r="H246" s="11">
        <f>IFERROR(IF(Yearending&gt;B245,'5. Historical demand'!F246-'5. Historical demand'!C246-'5. Historical demand'!D246,""),"")</f>
        <v>16.050000000000011</v>
      </c>
      <c r="I246" s="11">
        <f t="shared" si="11"/>
        <v>52.284999999999982</v>
      </c>
    </row>
    <row r="247" spans="2:9" ht="13" x14ac:dyDescent="0.3">
      <c r="B247" s="192">
        <f t="shared" si="9"/>
        <v>45678</v>
      </c>
      <c r="C247" s="81">
        <v>147.94999999999999</v>
      </c>
      <c r="D247" s="81"/>
      <c r="E247" s="81">
        <v>80.872</v>
      </c>
      <c r="F247" s="81">
        <v>164</v>
      </c>
      <c r="G247" s="11">
        <f t="shared" si="10"/>
        <v>83.128</v>
      </c>
      <c r="H247" s="11">
        <f>IFERROR(IF(Yearending&gt;B246,'5. Historical demand'!F247-'5. Historical demand'!C247-'5. Historical demand'!D247,""),"")</f>
        <v>16.050000000000011</v>
      </c>
      <c r="I247" s="11">
        <f t="shared" si="11"/>
        <v>67.077999999999989</v>
      </c>
    </row>
    <row r="248" spans="2:9" ht="13" x14ac:dyDescent="0.3">
      <c r="B248" s="192">
        <f t="shared" si="9"/>
        <v>45679</v>
      </c>
      <c r="C248" s="81">
        <v>147.94999999999999</v>
      </c>
      <c r="D248" s="81"/>
      <c r="E248" s="81">
        <v>110.613</v>
      </c>
      <c r="F248" s="81">
        <v>164</v>
      </c>
      <c r="G248" s="11">
        <f t="shared" si="10"/>
        <v>53.387</v>
      </c>
      <c r="H248" s="11">
        <f>IFERROR(IF(Yearending&gt;B247,'5. Historical demand'!F248-'5. Historical demand'!C248-'5. Historical demand'!D248,""),"")</f>
        <v>16.050000000000011</v>
      </c>
      <c r="I248" s="11">
        <f t="shared" si="11"/>
        <v>37.336999999999989</v>
      </c>
    </row>
    <row r="249" spans="2:9" ht="13" x14ac:dyDescent="0.3">
      <c r="B249" s="192">
        <f t="shared" si="9"/>
        <v>45680</v>
      </c>
      <c r="C249" s="81">
        <v>147.94999999999999</v>
      </c>
      <c r="D249" s="81"/>
      <c r="E249" s="81">
        <v>130.483</v>
      </c>
      <c r="F249" s="81">
        <v>164</v>
      </c>
      <c r="G249" s="11">
        <f t="shared" si="10"/>
        <v>33.516999999999996</v>
      </c>
      <c r="H249" s="11">
        <f>IFERROR(IF(Yearending&gt;B248,'5. Historical demand'!F249-'5. Historical demand'!C249-'5. Historical demand'!D249,""),"")</f>
        <v>16.050000000000011</v>
      </c>
      <c r="I249" s="11">
        <f t="shared" si="11"/>
        <v>17.466999999999985</v>
      </c>
    </row>
    <row r="250" spans="2:9" ht="13" x14ac:dyDescent="0.3">
      <c r="B250" s="192">
        <f t="shared" si="9"/>
        <v>45681</v>
      </c>
      <c r="C250" s="81">
        <v>147.94999999999999</v>
      </c>
      <c r="D250" s="81"/>
      <c r="E250" s="81">
        <v>161.05799999999999</v>
      </c>
      <c r="F250" s="81">
        <v>164</v>
      </c>
      <c r="G250" s="11">
        <f t="shared" si="10"/>
        <v>2.9420000000000073</v>
      </c>
      <c r="H250" s="11">
        <f>IFERROR(IF(Yearending&gt;B249,'5. Historical demand'!F250-'5. Historical demand'!C250-'5. Historical demand'!D250,""),"")</f>
        <v>16.050000000000011</v>
      </c>
      <c r="I250" s="11">
        <f t="shared" si="11"/>
        <v>-13.108000000000004</v>
      </c>
    </row>
    <row r="251" spans="2:9" ht="13" x14ac:dyDescent="0.3">
      <c r="B251" s="192">
        <f t="shared" si="9"/>
        <v>45682</v>
      </c>
      <c r="C251" s="81">
        <v>147.94999999999999</v>
      </c>
      <c r="D251" s="81"/>
      <c r="E251" s="81">
        <v>100.42700000000001</v>
      </c>
      <c r="F251" s="81">
        <v>164</v>
      </c>
      <c r="G251" s="11">
        <f t="shared" si="10"/>
        <v>63.572999999999993</v>
      </c>
      <c r="H251" s="11">
        <f>IFERROR(IF(Yearending&gt;B250,'5. Historical demand'!F251-'5. Historical demand'!C251-'5. Historical demand'!D251,""),"")</f>
        <v>16.050000000000011</v>
      </c>
      <c r="I251" s="11">
        <f t="shared" si="11"/>
        <v>47.522999999999982</v>
      </c>
    </row>
    <row r="252" spans="2:9" ht="13" x14ac:dyDescent="0.3">
      <c r="B252" s="192">
        <f t="shared" si="9"/>
        <v>45683</v>
      </c>
      <c r="C252" s="81">
        <v>147.94999999999999</v>
      </c>
      <c r="D252" s="81"/>
      <c r="E252" s="81">
        <v>89.62</v>
      </c>
      <c r="F252" s="81">
        <v>164</v>
      </c>
      <c r="G252" s="11">
        <f t="shared" si="10"/>
        <v>74.38</v>
      </c>
      <c r="H252" s="11">
        <f>IFERROR(IF(Yearending&gt;B251,'5. Historical demand'!F252-'5. Historical demand'!C252-'5. Historical demand'!D252,""),"")</f>
        <v>16.050000000000011</v>
      </c>
      <c r="I252" s="11">
        <f t="shared" si="11"/>
        <v>58.329999999999984</v>
      </c>
    </row>
    <row r="253" spans="2:9" ht="13" x14ac:dyDescent="0.3">
      <c r="B253" s="192">
        <f t="shared" si="9"/>
        <v>45684</v>
      </c>
      <c r="C253" s="81">
        <v>147.94999999999999</v>
      </c>
      <c r="D253" s="81"/>
      <c r="E253" s="81">
        <v>75.775000000000006</v>
      </c>
      <c r="F253" s="81">
        <v>164</v>
      </c>
      <c r="G253" s="11">
        <f t="shared" si="10"/>
        <v>88.224999999999994</v>
      </c>
      <c r="H253" s="11">
        <f>IFERROR(IF(Yearending&gt;B252,'5. Historical demand'!F253-'5. Historical demand'!C253-'5. Historical demand'!D253,""),"")</f>
        <v>16.050000000000011</v>
      </c>
      <c r="I253" s="11">
        <f t="shared" si="11"/>
        <v>72.174999999999983</v>
      </c>
    </row>
    <row r="254" spans="2:9" ht="13" x14ac:dyDescent="0.3">
      <c r="B254" s="192">
        <f t="shared" si="9"/>
        <v>45685</v>
      </c>
      <c r="C254" s="81">
        <v>147.94999999999999</v>
      </c>
      <c r="D254" s="81"/>
      <c r="E254" s="81">
        <v>101.39</v>
      </c>
      <c r="F254" s="81">
        <v>164</v>
      </c>
      <c r="G254" s="11">
        <f t="shared" si="10"/>
        <v>62.61</v>
      </c>
      <c r="H254" s="11">
        <f>IFERROR(IF(Yearending&gt;B253,'5. Historical demand'!F254-'5. Historical demand'!C254-'5. Historical demand'!D254,""),"")</f>
        <v>16.050000000000011</v>
      </c>
      <c r="I254" s="11">
        <f t="shared" si="11"/>
        <v>46.559999999999988</v>
      </c>
    </row>
    <row r="255" spans="2:9" ht="13" x14ac:dyDescent="0.3">
      <c r="B255" s="192">
        <f t="shared" si="9"/>
        <v>45686</v>
      </c>
      <c r="C255" s="81">
        <v>147.94999999999999</v>
      </c>
      <c r="D255" s="81"/>
      <c r="E255" s="81">
        <v>102.68600000000001</v>
      </c>
      <c r="F255" s="81">
        <v>164</v>
      </c>
      <c r="G255" s="11">
        <f t="shared" si="10"/>
        <v>61.313999999999993</v>
      </c>
      <c r="H255" s="11">
        <f>IFERROR(IF(Yearending&gt;B254,'5. Historical demand'!F255-'5. Historical demand'!C255-'5. Historical demand'!D255,""),"")</f>
        <v>16.050000000000011</v>
      </c>
      <c r="I255" s="11">
        <f t="shared" si="11"/>
        <v>45.263999999999982</v>
      </c>
    </row>
    <row r="256" spans="2:9" ht="13" x14ac:dyDescent="0.3">
      <c r="B256" s="192">
        <f t="shared" si="9"/>
        <v>45687</v>
      </c>
      <c r="C256" s="81">
        <v>147.94999999999999</v>
      </c>
      <c r="D256" s="81"/>
      <c r="E256" s="81">
        <v>105.703</v>
      </c>
      <c r="F256" s="81">
        <v>164</v>
      </c>
      <c r="G256" s="11">
        <f t="shared" si="10"/>
        <v>58.296999999999997</v>
      </c>
      <c r="H256" s="11">
        <f>IFERROR(IF(Yearending&gt;B255,'5. Historical demand'!F256-'5. Historical demand'!C256-'5. Historical demand'!D256,""),"")</f>
        <v>16.050000000000011</v>
      </c>
      <c r="I256" s="11">
        <f t="shared" si="11"/>
        <v>42.246999999999986</v>
      </c>
    </row>
    <row r="257" spans="2:9" ht="13" x14ac:dyDescent="0.3">
      <c r="B257" s="192">
        <f t="shared" si="9"/>
        <v>45688</v>
      </c>
      <c r="C257" s="81">
        <v>147.94999999999999</v>
      </c>
      <c r="D257" s="81"/>
      <c r="E257" s="81">
        <v>109.746</v>
      </c>
      <c r="F257" s="81">
        <v>164</v>
      </c>
      <c r="G257" s="11">
        <f t="shared" si="10"/>
        <v>54.254000000000005</v>
      </c>
      <c r="H257" s="11">
        <f>IFERROR(IF(Yearending&gt;B256,'5. Historical demand'!F257-'5. Historical demand'!C257-'5. Historical demand'!D257,""),"")</f>
        <v>16.050000000000011</v>
      </c>
      <c r="I257" s="11">
        <f t="shared" si="11"/>
        <v>38.203999999999994</v>
      </c>
    </row>
    <row r="258" spans="2:9" ht="13" x14ac:dyDescent="0.3">
      <c r="B258" s="192">
        <f t="shared" si="9"/>
        <v>45689</v>
      </c>
      <c r="C258" s="81">
        <v>147.94999999999999</v>
      </c>
      <c r="D258" s="81"/>
      <c r="E258" s="81">
        <v>91.608000000000004</v>
      </c>
      <c r="F258" s="81">
        <v>164</v>
      </c>
      <c r="G258" s="11">
        <f t="shared" si="10"/>
        <v>72.391999999999996</v>
      </c>
      <c r="H258" s="11">
        <f>IFERROR(IF(Yearending&gt;B257,'5. Historical demand'!F258-'5. Historical demand'!C258-'5. Historical demand'!D258,""),"")</f>
        <v>16.050000000000011</v>
      </c>
      <c r="I258" s="11">
        <f t="shared" si="11"/>
        <v>56.341999999999985</v>
      </c>
    </row>
    <row r="259" spans="2:9" ht="13" x14ac:dyDescent="0.3">
      <c r="B259" s="192">
        <f t="shared" si="9"/>
        <v>45690</v>
      </c>
      <c r="C259" s="81">
        <v>147.94999999999999</v>
      </c>
      <c r="D259" s="81"/>
      <c r="E259" s="81">
        <v>46.261000000000003</v>
      </c>
      <c r="F259" s="81">
        <v>164</v>
      </c>
      <c r="G259" s="11">
        <f t="shared" si="10"/>
        <v>117.739</v>
      </c>
      <c r="H259" s="11">
        <f>IFERROR(IF(Yearending&gt;B258,'5. Historical demand'!F259-'5. Historical demand'!C259-'5. Historical demand'!D259,""),"")</f>
        <v>16.050000000000011</v>
      </c>
      <c r="I259" s="11">
        <f t="shared" si="11"/>
        <v>101.68899999999999</v>
      </c>
    </row>
    <row r="260" spans="2:9" ht="13" x14ac:dyDescent="0.3">
      <c r="B260" s="192">
        <f t="shared" si="9"/>
        <v>45691</v>
      </c>
      <c r="C260" s="81">
        <v>147.94999999999999</v>
      </c>
      <c r="D260" s="81"/>
      <c r="E260" s="81">
        <v>119.79300000000001</v>
      </c>
      <c r="F260" s="81">
        <v>164</v>
      </c>
      <c r="G260" s="11">
        <f t="shared" si="10"/>
        <v>44.206999999999994</v>
      </c>
      <c r="H260" s="11">
        <f>IFERROR(IF(Yearending&gt;B259,'5. Historical demand'!F260-'5. Historical demand'!C260-'5. Historical demand'!D260,""),"")</f>
        <v>16.050000000000011</v>
      </c>
      <c r="I260" s="11">
        <f t="shared" si="11"/>
        <v>28.156999999999982</v>
      </c>
    </row>
    <row r="261" spans="2:9" ht="13" x14ac:dyDescent="0.3">
      <c r="B261" s="192">
        <f t="shared" si="9"/>
        <v>45692</v>
      </c>
      <c r="C261" s="81">
        <v>147.94999999999999</v>
      </c>
      <c r="D261" s="81"/>
      <c r="E261" s="81">
        <v>143.839</v>
      </c>
      <c r="F261" s="81">
        <v>164</v>
      </c>
      <c r="G261" s="11">
        <f t="shared" si="10"/>
        <v>20.161000000000001</v>
      </c>
      <c r="H261" s="11">
        <f>IFERROR(IF(Yearending&gt;B260,'5. Historical demand'!F261-'5. Historical demand'!C261-'5. Historical demand'!D261,""),"")</f>
        <v>16.050000000000011</v>
      </c>
      <c r="I261" s="11">
        <f t="shared" si="11"/>
        <v>4.11099999999999</v>
      </c>
    </row>
    <row r="262" spans="2:9" ht="13" x14ac:dyDescent="0.3">
      <c r="B262" s="192">
        <f t="shared" si="9"/>
        <v>45693</v>
      </c>
      <c r="C262" s="81">
        <v>147.94999999999999</v>
      </c>
      <c r="D262" s="81"/>
      <c r="E262" s="81">
        <v>49.878999999999998</v>
      </c>
      <c r="F262" s="81">
        <v>164</v>
      </c>
      <c r="G262" s="11">
        <f t="shared" si="10"/>
        <v>114.12100000000001</v>
      </c>
      <c r="H262" s="11">
        <f>IFERROR(IF(Yearending&gt;B261,'5. Historical demand'!F262-'5. Historical demand'!C262-'5. Historical demand'!D262,""),"")</f>
        <v>16.050000000000011</v>
      </c>
      <c r="I262" s="11">
        <f t="shared" si="11"/>
        <v>98.070999999999998</v>
      </c>
    </row>
    <row r="263" spans="2:9" ht="13" x14ac:dyDescent="0.3">
      <c r="B263" s="192">
        <f t="shared" si="9"/>
        <v>45694</v>
      </c>
      <c r="C263" s="81">
        <v>147.94999999999999</v>
      </c>
      <c r="D263" s="81"/>
      <c r="E263" s="81">
        <v>126.123</v>
      </c>
      <c r="F263" s="81">
        <v>164</v>
      </c>
      <c r="G263" s="11">
        <f t="shared" si="10"/>
        <v>37.876999999999995</v>
      </c>
      <c r="H263" s="11">
        <f>IFERROR(IF(Yearending&gt;B262,'5. Historical demand'!F263-'5. Historical demand'!C263-'5. Historical demand'!D263,""),"")</f>
        <v>16.050000000000011</v>
      </c>
      <c r="I263" s="11">
        <f t="shared" si="11"/>
        <v>21.826999999999984</v>
      </c>
    </row>
    <row r="264" spans="2:9" ht="13" x14ac:dyDescent="0.3">
      <c r="B264" s="192">
        <f t="shared" si="9"/>
        <v>45695</v>
      </c>
      <c r="C264" s="81">
        <v>147.94999999999999</v>
      </c>
      <c r="D264" s="81"/>
      <c r="E264" s="81">
        <v>117.285</v>
      </c>
      <c r="F264" s="81">
        <v>164</v>
      </c>
      <c r="G264" s="11">
        <f t="shared" si="10"/>
        <v>46.715000000000003</v>
      </c>
      <c r="H264" s="11">
        <f>IFERROR(IF(Yearending&gt;B263,'5. Historical demand'!F264-'5. Historical demand'!C264-'5. Historical demand'!D264,""),"")</f>
        <v>16.050000000000011</v>
      </c>
      <c r="I264" s="11">
        <f t="shared" si="11"/>
        <v>30.664999999999992</v>
      </c>
    </row>
    <row r="265" spans="2:9" ht="13" x14ac:dyDescent="0.3">
      <c r="B265" s="192">
        <f t="shared" si="9"/>
        <v>45696</v>
      </c>
      <c r="C265" s="81">
        <v>147.94999999999999</v>
      </c>
      <c r="D265" s="81"/>
      <c r="E265" s="81">
        <v>66.563999999999993</v>
      </c>
      <c r="F265" s="81">
        <v>164</v>
      </c>
      <c r="G265" s="11">
        <f t="shared" si="10"/>
        <v>97.436000000000007</v>
      </c>
      <c r="H265" s="11">
        <f>IFERROR(IF(Yearending&gt;B264,'5. Historical demand'!F265-'5. Historical demand'!C265-'5. Historical demand'!D265,""),"")</f>
        <v>16.050000000000011</v>
      </c>
      <c r="I265" s="11">
        <f t="shared" si="11"/>
        <v>81.385999999999996</v>
      </c>
    </row>
    <row r="266" spans="2:9" ht="13" x14ac:dyDescent="0.3">
      <c r="B266" s="192">
        <f t="shared" si="9"/>
        <v>45697</v>
      </c>
      <c r="C266" s="81">
        <v>147.94999999999999</v>
      </c>
      <c r="D266" s="81"/>
      <c r="E266" s="81">
        <v>48.886000000000003</v>
      </c>
      <c r="F266" s="81">
        <v>164</v>
      </c>
      <c r="G266" s="11">
        <f t="shared" si="10"/>
        <v>115.114</v>
      </c>
      <c r="H266" s="11">
        <f>IFERROR(IF(Yearending&gt;B265,'5. Historical demand'!F266-'5. Historical demand'!C266-'5. Historical demand'!D266,""),"")</f>
        <v>16.050000000000011</v>
      </c>
      <c r="I266" s="11">
        <f t="shared" si="11"/>
        <v>99.063999999999993</v>
      </c>
    </row>
    <row r="267" spans="2:9" ht="13" x14ac:dyDescent="0.3">
      <c r="B267" s="192">
        <f t="shared" si="9"/>
        <v>45698</v>
      </c>
      <c r="C267" s="81">
        <v>147.94999999999999</v>
      </c>
      <c r="D267" s="81"/>
      <c r="E267" s="81">
        <v>77.905000000000001</v>
      </c>
      <c r="F267" s="81">
        <v>164</v>
      </c>
      <c r="G267" s="11">
        <f t="shared" si="10"/>
        <v>86.094999999999999</v>
      </c>
      <c r="H267" s="11">
        <f>IFERROR(IF(Yearending&gt;B266,'5. Historical demand'!F267-'5. Historical demand'!C267-'5. Historical demand'!D267,""),"")</f>
        <v>16.050000000000011</v>
      </c>
      <c r="I267" s="11">
        <f t="shared" si="11"/>
        <v>70.044999999999987</v>
      </c>
    </row>
    <row r="268" spans="2:9" ht="13" x14ac:dyDescent="0.3">
      <c r="B268" s="192">
        <f t="shared" si="9"/>
        <v>45699</v>
      </c>
      <c r="C268" s="81">
        <v>147.94999999999999</v>
      </c>
      <c r="D268" s="81"/>
      <c r="E268" s="81">
        <v>67.313999999999993</v>
      </c>
      <c r="F268" s="81">
        <v>164</v>
      </c>
      <c r="G268" s="11">
        <f t="shared" si="10"/>
        <v>96.686000000000007</v>
      </c>
      <c r="H268" s="11">
        <f>IFERROR(IF(Yearending&gt;B267,'5. Historical demand'!F268-'5. Historical demand'!C268-'5. Historical demand'!D268,""),"")</f>
        <v>16.050000000000011</v>
      </c>
      <c r="I268" s="11">
        <f t="shared" si="11"/>
        <v>80.635999999999996</v>
      </c>
    </row>
    <row r="269" spans="2:9" ht="13" x14ac:dyDescent="0.3">
      <c r="B269" s="192">
        <f t="shared" si="9"/>
        <v>45700</v>
      </c>
      <c r="C269" s="81">
        <v>147.94999999999999</v>
      </c>
      <c r="D269" s="81"/>
      <c r="E269" s="81">
        <v>99.421999999999997</v>
      </c>
      <c r="F269" s="81">
        <v>164</v>
      </c>
      <c r="G269" s="11">
        <f t="shared" si="10"/>
        <v>64.578000000000003</v>
      </c>
      <c r="H269" s="11">
        <f>IFERROR(IF(Yearending&gt;B268,'5. Historical demand'!F269-'5. Historical demand'!C269-'5. Historical demand'!D269,""),"")</f>
        <v>16.050000000000011</v>
      </c>
      <c r="I269" s="11">
        <f t="shared" si="11"/>
        <v>48.527999999999992</v>
      </c>
    </row>
    <row r="270" spans="2:9" ht="13" x14ac:dyDescent="0.3">
      <c r="B270" s="192">
        <f t="shared" si="9"/>
        <v>45701</v>
      </c>
      <c r="C270" s="81">
        <v>147.94999999999999</v>
      </c>
      <c r="D270" s="81"/>
      <c r="E270" s="81">
        <v>69.307000000000002</v>
      </c>
      <c r="F270" s="81">
        <v>164</v>
      </c>
      <c r="G270" s="11">
        <f t="shared" si="10"/>
        <v>94.692999999999998</v>
      </c>
      <c r="H270" s="11">
        <f>IFERROR(IF(Yearending&gt;B269,'5. Historical demand'!F270-'5. Historical demand'!C270-'5. Historical demand'!D270,""),"")</f>
        <v>16.050000000000011</v>
      </c>
      <c r="I270" s="11">
        <f t="shared" si="11"/>
        <v>78.642999999999986</v>
      </c>
    </row>
    <row r="271" spans="2:9" ht="13" x14ac:dyDescent="0.3">
      <c r="B271" s="192">
        <f t="shared" si="9"/>
        <v>45702</v>
      </c>
      <c r="C271" s="81">
        <v>147.94999999999999</v>
      </c>
      <c r="D271" s="81"/>
      <c r="E271" s="81">
        <v>60.054000000000002</v>
      </c>
      <c r="F271" s="81">
        <v>164</v>
      </c>
      <c r="G271" s="11">
        <f t="shared" si="10"/>
        <v>103.946</v>
      </c>
      <c r="H271" s="11">
        <f>IFERROR(IF(Yearending&gt;B270,'5. Historical demand'!F271-'5. Historical demand'!C271-'5. Historical demand'!D271,""),"")</f>
        <v>16.050000000000011</v>
      </c>
      <c r="I271" s="11">
        <f t="shared" si="11"/>
        <v>87.895999999999987</v>
      </c>
    </row>
    <row r="272" spans="2:9" ht="13" x14ac:dyDescent="0.3">
      <c r="B272" s="192">
        <f t="shared" si="9"/>
        <v>45703</v>
      </c>
      <c r="C272" s="81">
        <v>147.94999999999999</v>
      </c>
      <c r="D272" s="81"/>
      <c r="E272" s="81">
        <v>59.643000000000001</v>
      </c>
      <c r="F272" s="81">
        <v>164</v>
      </c>
      <c r="G272" s="11">
        <f t="shared" si="10"/>
        <v>104.357</v>
      </c>
      <c r="H272" s="11">
        <f>IFERROR(IF(Yearending&gt;B271,'5. Historical demand'!F272-'5. Historical demand'!C272-'5. Historical demand'!D272,""),"")</f>
        <v>16.050000000000011</v>
      </c>
      <c r="I272" s="11">
        <f t="shared" si="11"/>
        <v>88.306999999999988</v>
      </c>
    </row>
    <row r="273" spans="2:9" ht="13" x14ac:dyDescent="0.3">
      <c r="B273" s="192">
        <f t="shared" si="9"/>
        <v>45704</v>
      </c>
      <c r="C273" s="81">
        <v>147.94999999999999</v>
      </c>
      <c r="D273" s="81"/>
      <c r="E273" s="81">
        <v>98.597999999999999</v>
      </c>
      <c r="F273" s="81">
        <v>164</v>
      </c>
      <c r="G273" s="11">
        <f t="shared" si="10"/>
        <v>65.402000000000001</v>
      </c>
      <c r="H273" s="11">
        <f>IFERROR(IF(Yearending&gt;B272,'5. Historical demand'!F273-'5. Historical demand'!C273-'5. Historical demand'!D273,""),"")</f>
        <v>16.050000000000011</v>
      </c>
      <c r="I273" s="11">
        <f t="shared" si="11"/>
        <v>49.35199999999999</v>
      </c>
    </row>
    <row r="274" spans="2:9" ht="13" x14ac:dyDescent="0.3">
      <c r="B274" s="192">
        <f t="shared" si="9"/>
        <v>45705</v>
      </c>
      <c r="C274" s="81">
        <v>147.94999999999999</v>
      </c>
      <c r="D274" s="81"/>
      <c r="E274" s="81">
        <v>39.454999999999998</v>
      </c>
      <c r="F274" s="81">
        <v>164</v>
      </c>
      <c r="G274" s="11">
        <f t="shared" si="10"/>
        <v>124.545</v>
      </c>
      <c r="H274" s="11">
        <f>IFERROR(IF(Yearending&gt;B273,'5. Historical demand'!F274-'5. Historical demand'!C274-'5. Historical demand'!D274,""),"")</f>
        <v>16.050000000000011</v>
      </c>
      <c r="I274" s="11">
        <f t="shared" si="11"/>
        <v>108.49499999999999</v>
      </c>
    </row>
    <row r="275" spans="2:9" ht="13" x14ac:dyDescent="0.3">
      <c r="B275" s="192">
        <f t="shared" si="9"/>
        <v>45706</v>
      </c>
      <c r="C275" s="81">
        <v>147.94999999999999</v>
      </c>
      <c r="D275" s="81"/>
      <c r="E275" s="81">
        <v>73.864999999999995</v>
      </c>
      <c r="F275" s="81">
        <v>164</v>
      </c>
      <c r="G275" s="11">
        <f t="shared" si="10"/>
        <v>90.135000000000005</v>
      </c>
      <c r="H275" s="11">
        <f>IFERROR(IF(Yearending&gt;B274,'5. Historical demand'!F275-'5. Historical demand'!C275-'5. Historical demand'!D275,""),"")</f>
        <v>16.050000000000011</v>
      </c>
      <c r="I275" s="11">
        <f t="shared" si="11"/>
        <v>74.084999999999994</v>
      </c>
    </row>
    <row r="276" spans="2:9" ht="13" x14ac:dyDescent="0.3">
      <c r="B276" s="192">
        <f t="shared" si="9"/>
        <v>45707</v>
      </c>
      <c r="C276" s="81">
        <v>147.94999999999999</v>
      </c>
      <c r="D276" s="81"/>
      <c r="E276" s="81">
        <v>66.239000000000004</v>
      </c>
      <c r="F276" s="81">
        <v>164</v>
      </c>
      <c r="G276" s="11">
        <f t="shared" si="10"/>
        <v>97.760999999999996</v>
      </c>
      <c r="H276" s="11">
        <f>IFERROR(IF(Yearending&gt;B275,'5. Historical demand'!F276-'5. Historical demand'!C276-'5. Historical demand'!D276,""),"")</f>
        <v>16.050000000000011</v>
      </c>
      <c r="I276" s="11">
        <f t="shared" si="11"/>
        <v>81.710999999999984</v>
      </c>
    </row>
    <row r="277" spans="2:9" ht="13" x14ac:dyDescent="0.3">
      <c r="B277" s="192">
        <f t="shared" si="9"/>
        <v>45708</v>
      </c>
      <c r="C277" s="81">
        <v>147.94999999999999</v>
      </c>
      <c r="D277" s="81"/>
      <c r="E277" s="81">
        <v>72.519000000000005</v>
      </c>
      <c r="F277" s="81">
        <v>164</v>
      </c>
      <c r="G277" s="11">
        <f t="shared" si="10"/>
        <v>91.480999999999995</v>
      </c>
      <c r="H277" s="11">
        <f>IFERROR(IF(Yearending&gt;B276,'5. Historical demand'!F277-'5. Historical demand'!C277-'5. Historical demand'!D277,""),"")</f>
        <v>16.050000000000011</v>
      </c>
      <c r="I277" s="11">
        <f t="shared" si="11"/>
        <v>75.430999999999983</v>
      </c>
    </row>
    <row r="278" spans="2:9" ht="13" x14ac:dyDescent="0.3">
      <c r="B278" s="192">
        <f t="shared" si="9"/>
        <v>45709</v>
      </c>
      <c r="C278" s="81">
        <v>147.94999999999999</v>
      </c>
      <c r="D278" s="81"/>
      <c r="E278" s="81">
        <v>141.28</v>
      </c>
      <c r="F278" s="81">
        <v>164</v>
      </c>
      <c r="G278" s="11">
        <f t="shared" si="10"/>
        <v>22.72</v>
      </c>
      <c r="H278" s="11">
        <f>IFERROR(IF(Yearending&gt;B277,'5. Historical demand'!F278-'5. Historical demand'!C278-'5. Historical demand'!D278,""),"")</f>
        <v>16.050000000000011</v>
      </c>
      <c r="I278" s="11">
        <f t="shared" si="11"/>
        <v>6.6699999999999875</v>
      </c>
    </row>
    <row r="279" spans="2:9" ht="13" x14ac:dyDescent="0.3">
      <c r="B279" s="192">
        <f t="shared" si="9"/>
        <v>45710</v>
      </c>
      <c r="C279" s="81">
        <v>147.94999999999999</v>
      </c>
      <c r="D279" s="81"/>
      <c r="E279" s="81">
        <v>141.50800000000001</v>
      </c>
      <c r="F279" s="81">
        <v>164</v>
      </c>
      <c r="G279" s="11">
        <f t="shared" si="10"/>
        <v>22.49199999999999</v>
      </c>
      <c r="H279" s="11">
        <f>IFERROR(IF(Yearending&gt;B278,'5. Historical demand'!F279-'5. Historical demand'!C279-'5. Historical demand'!D279,""),"")</f>
        <v>16.050000000000011</v>
      </c>
      <c r="I279" s="11">
        <f t="shared" si="11"/>
        <v>6.4419999999999789</v>
      </c>
    </row>
    <row r="280" spans="2:9" ht="13" x14ac:dyDescent="0.3">
      <c r="B280" s="192">
        <f t="shared" si="9"/>
        <v>45711</v>
      </c>
      <c r="C280" s="81">
        <v>147.94999999999999</v>
      </c>
      <c r="D280" s="81"/>
      <c r="E280" s="81">
        <v>125.629</v>
      </c>
      <c r="F280" s="81">
        <v>164</v>
      </c>
      <c r="G280" s="11">
        <f t="shared" si="10"/>
        <v>38.370999999999995</v>
      </c>
      <c r="H280" s="11">
        <f>IFERROR(IF(Yearending&gt;B279,'5. Historical demand'!F280-'5. Historical demand'!C280-'5. Historical demand'!D280,""),"")</f>
        <v>16.050000000000011</v>
      </c>
      <c r="I280" s="11">
        <f t="shared" si="11"/>
        <v>22.320999999999984</v>
      </c>
    </row>
    <row r="281" spans="2:9" ht="13" x14ac:dyDescent="0.3">
      <c r="B281" s="192">
        <f t="shared" si="9"/>
        <v>45712</v>
      </c>
      <c r="C281" s="81">
        <v>147.94999999999999</v>
      </c>
      <c r="D281" s="81"/>
      <c r="E281" s="81">
        <v>160.06700000000001</v>
      </c>
      <c r="F281" s="81">
        <v>164</v>
      </c>
      <c r="G281" s="11">
        <f t="shared" si="10"/>
        <v>3.9329999999999927</v>
      </c>
      <c r="H281" s="11">
        <f>IFERROR(IF(Yearending&gt;B280,'5. Historical demand'!F281-'5. Historical demand'!C281-'5. Historical demand'!D281,""),"")</f>
        <v>16.050000000000011</v>
      </c>
      <c r="I281" s="11">
        <f t="shared" si="11"/>
        <v>-12.117000000000019</v>
      </c>
    </row>
    <row r="282" spans="2:9" ht="13" x14ac:dyDescent="0.3">
      <c r="B282" s="192">
        <f t="shared" si="9"/>
        <v>45713</v>
      </c>
      <c r="C282" s="81">
        <v>147.94999999999999</v>
      </c>
      <c r="D282" s="81"/>
      <c r="E282" s="81">
        <v>146.47800000000001</v>
      </c>
      <c r="F282" s="81">
        <v>164</v>
      </c>
      <c r="G282" s="11">
        <f t="shared" si="10"/>
        <v>17.521999999999991</v>
      </c>
      <c r="H282" s="11">
        <f>IFERROR(IF(Yearending&gt;B281,'5. Historical demand'!F282-'5. Historical demand'!C282-'5. Historical demand'!D282,""),"")</f>
        <v>16.050000000000011</v>
      </c>
      <c r="I282" s="11">
        <f t="shared" si="11"/>
        <v>1.47199999999998</v>
      </c>
    </row>
    <row r="283" spans="2:9" ht="13" x14ac:dyDescent="0.3">
      <c r="B283" s="192">
        <f t="shared" si="9"/>
        <v>45714</v>
      </c>
      <c r="C283" s="81">
        <v>147.94999999999999</v>
      </c>
      <c r="D283" s="81"/>
      <c r="E283" s="81">
        <v>161.22499999999999</v>
      </c>
      <c r="F283" s="81">
        <v>164</v>
      </c>
      <c r="G283" s="11">
        <f t="shared" si="10"/>
        <v>2.7750000000000057</v>
      </c>
      <c r="H283" s="11">
        <f>IFERROR(IF(Yearending&gt;B282,'5. Historical demand'!F283-'5. Historical demand'!C283-'5. Historical demand'!D283,""),"")</f>
        <v>16.050000000000011</v>
      </c>
      <c r="I283" s="11">
        <f t="shared" si="11"/>
        <v>-13.275000000000006</v>
      </c>
    </row>
    <row r="284" spans="2:9" ht="13" x14ac:dyDescent="0.3">
      <c r="B284" s="192">
        <f t="shared" si="9"/>
        <v>45715</v>
      </c>
      <c r="C284" s="81">
        <v>147.94999999999999</v>
      </c>
      <c r="D284" s="81"/>
      <c r="E284" s="81">
        <v>160.001</v>
      </c>
      <c r="F284" s="81">
        <v>164</v>
      </c>
      <c r="G284" s="11">
        <f t="shared" si="10"/>
        <v>3.9989999999999952</v>
      </c>
      <c r="H284" s="11">
        <f>IFERROR(IF(Yearending&gt;B283,'5. Historical demand'!F284-'5. Historical demand'!C284-'5. Historical demand'!D284,""),"")</f>
        <v>16.050000000000011</v>
      </c>
      <c r="I284" s="11">
        <f t="shared" si="11"/>
        <v>-12.051000000000016</v>
      </c>
    </row>
    <row r="285" spans="2:9" ht="13" x14ac:dyDescent="0.3">
      <c r="B285" s="192">
        <f t="shared" si="9"/>
        <v>45716</v>
      </c>
      <c r="C285" s="81">
        <v>147.94999999999999</v>
      </c>
      <c r="D285" s="81"/>
      <c r="E285" s="81">
        <v>164.119</v>
      </c>
      <c r="F285" s="81">
        <v>164</v>
      </c>
      <c r="G285" s="11">
        <f t="shared" si="10"/>
        <v>-0.11899999999999977</v>
      </c>
      <c r="H285" s="11">
        <f>IFERROR(IF(Yearending&gt;B284,'5. Historical demand'!F285-'5. Historical demand'!C285-'5. Historical demand'!D285,""),"")</f>
        <v>16.050000000000011</v>
      </c>
      <c r="I285" s="11">
        <f t="shared" si="11"/>
        <v>-16.169000000000011</v>
      </c>
    </row>
    <row r="286" spans="2:9" ht="13" x14ac:dyDescent="0.3">
      <c r="B286" s="192">
        <f t="shared" si="9"/>
        <v>45717</v>
      </c>
      <c r="C286" s="81">
        <v>147.94999999999999</v>
      </c>
      <c r="D286" s="81"/>
      <c r="E286" s="81">
        <v>164.976</v>
      </c>
      <c r="F286" s="81">
        <v>164</v>
      </c>
      <c r="G286" s="11">
        <f t="shared" si="10"/>
        <v>-0.97599999999999909</v>
      </c>
      <c r="H286" s="11">
        <f>IFERROR(IF(Yearending&gt;B285,'5. Historical demand'!F286-'5. Historical demand'!C286-'5. Historical demand'!D286,""),"")</f>
        <v>16.050000000000011</v>
      </c>
      <c r="I286" s="11">
        <f t="shared" si="11"/>
        <v>-17.02600000000001</v>
      </c>
    </row>
    <row r="287" spans="2:9" ht="13" x14ac:dyDescent="0.3">
      <c r="B287" s="192">
        <f t="shared" si="9"/>
        <v>45718</v>
      </c>
      <c r="C287" s="81">
        <v>147.94999999999999</v>
      </c>
      <c r="D287" s="81"/>
      <c r="E287" s="81">
        <v>0</v>
      </c>
      <c r="F287" s="81">
        <v>164</v>
      </c>
      <c r="G287" s="11">
        <f t="shared" si="10"/>
        <v>164</v>
      </c>
      <c r="H287" s="11">
        <f>IFERROR(IF(Yearending&gt;B286,'5. Historical demand'!F287-'5. Historical demand'!C287-'5. Historical demand'!D287,""),"")</f>
        <v>16.050000000000011</v>
      </c>
      <c r="I287" s="11">
        <f t="shared" si="11"/>
        <v>147.94999999999999</v>
      </c>
    </row>
    <row r="288" spans="2:9" ht="13" x14ac:dyDescent="0.3">
      <c r="B288" s="192">
        <f t="shared" si="9"/>
        <v>45719</v>
      </c>
      <c r="C288" s="81">
        <v>147.94999999999999</v>
      </c>
      <c r="D288" s="81"/>
      <c r="E288" s="81">
        <v>0</v>
      </c>
      <c r="F288" s="81">
        <v>164</v>
      </c>
      <c r="G288" s="11">
        <f t="shared" si="10"/>
        <v>164</v>
      </c>
      <c r="H288" s="11">
        <f>IFERROR(IF(Yearending&gt;B287,'5. Historical demand'!F288-'5. Historical demand'!C288-'5. Historical demand'!D288,""),"")</f>
        <v>16.050000000000011</v>
      </c>
      <c r="I288" s="11">
        <f t="shared" si="11"/>
        <v>147.94999999999999</v>
      </c>
    </row>
    <row r="289" spans="2:9" ht="13" x14ac:dyDescent="0.3">
      <c r="B289" s="192">
        <f t="shared" si="9"/>
        <v>45720</v>
      </c>
      <c r="C289" s="81">
        <v>147.94999999999999</v>
      </c>
      <c r="D289" s="81"/>
      <c r="E289" s="81">
        <v>30.797999999999998</v>
      </c>
      <c r="F289" s="81">
        <v>164</v>
      </c>
      <c r="G289" s="11">
        <f t="shared" si="10"/>
        <v>133.202</v>
      </c>
      <c r="H289" s="11">
        <f>IFERROR(IF(Yearending&gt;B288,'5. Historical demand'!F289-'5. Historical demand'!C289-'5. Historical demand'!D289,""),"")</f>
        <v>16.050000000000011</v>
      </c>
      <c r="I289" s="11">
        <f t="shared" si="11"/>
        <v>117.15199999999999</v>
      </c>
    </row>
    <row r="290" spans="2:9" ht="13" x14ac:dyDescent="0.3">
      <c r="B290" s="192">
        <f t="shared" si="9"/>
        <v>45721</v>
      </c>
      <c r="C290" s="81">
        <v>147.94999999999999</v>
      </c>
      <c r="D290" s="81"/>
      <c r="E290" s="81">
        <v>121.149</v>
      </c>
      <c r="F290" s="81">
        <v>164</v>
      </c>
      <c r="G290" s="11">
        <f t="shared" si="10"/>
        <v>42.850999999999999</v>
      </c>
      <c r="H290" s="11">
        <f>IFERROR(IF(Yearending&gt;B289,'5. Historical demand'!F290-'5. Historical demand'!C290-'5. Historical demand'!D290,""),"")</f>
        <v>16.050000000000011</v>
      </c>
      <c r="I290" s="11">
        <f t="shared" si="11"/>
        <v>26.800999999999988</v>
      </c>
    </row>
    <row r="291" spans="2:9" ht="13" x14ac:dyDescent="0.3">
      <c r="B291" s="192">
        <f t="shared" si="9"/>
        <v>45722</v>
      </c>
      <c r="C291" s="81">
        <v>147.94999999999999</v>
      </c>
      <c r="D291" s="81"/>
      <c r="E291" s="81">
        <v>161.18600000000001</v>
      </c>
      <c r="F291" s="81">
        <v>164</v>
      </c>
      <c r="G291" s="11">
        <f t="shared" si="10"/>
        <v>2.813999999999993</v>
      </c>
      <c r="H291" s="11">
        <f>IFERROR(IF(Yearending&gt;B290,'5. Historical demand'!F291-'5. Historical demand'!C291-'5. Historical demand'!D291,""),"")</f>
        <v>16.050000000000011</v>
      </c>
      <c r="I291" s="11">
        <f t="shared" si="11"/>
        <v>-13.236000000000018</v>
      </c>
    </row>
    <row r="292" spans="2:9" ht="13" x14ac:dyDescent="0.3">
      <c r="B292" s="192">
        <f t="shared" si="9"/>
        <v>45723</v>
      </c>
      <c r="C292" s="81">
        <v>147.94999999999999</v>
      </c>
      <c r="D292" s="81"/>
      <c r="E292" s="81">
        <v>164.489</v>
      </c>
      <c r="F292" s="81">
        <v>164</v>
      </c>
      <c r="G292" s="11">
        <f t="shared" si="10"/>
        <v>-0.48900000000000432</v>
      </c>
      <c r="H292" s="11">
        <f>IFERROR(IF(Yearending&gt;B291,'5. Historical demand'!F292-'5. Historical demand'!C292-'5. Historical demand'!D292,""),"")</f>
        <v>16.050000000000011</v>
      </c>
      <c r="I292" s="11">
        <f t="shared" si="11"/>
        <v>-16.539000000000016</v>
      </c>
    </row>
    <row r="293" spans="2:9" ht="13" x14ac:dyDescent="0.3">
      <c r="B293" s="192">
        <f t="shared" si="9"/>
        <v>45724</v>
      </c>
      <c r="C293" s="81">
        <v>147.94999999999999</v>
      </c>
      <c r="D293" s="81"/>
      <c r="E293" s="81">
        <v>158.87799999999999</v>
      </c>
      <c r="F293" s="81">
        <v>164</v>
      </c>
      <c r="G293" s="11">
        <f t="shared" si="10"/>
        <v>5.1220000000000141</v>
      </c>
      <c r="H293" s="11">
        <f>IFERROR(IF(Yearending&gt;B292,'5. Historical demand'!F293-'5. Historical demand'!C293-'5. Historical demand'!D293,""),"")</f>
        <v>16.050000000000011</v>
      </c>
      <c r="I293" s="11">
        <f t="shared" si="11"/>
        <v>-10.927999999999997</v>
      </c>
    </row>
    <row r="294" spans="2:9" ht="13" x14ac:dyDescent="0.3">
      <c r="B294" s="192">
        <f t="shared" si="9"/>
        <v>45725</v>
      </c>
      <c r="C294" s="81">
        <v>147.94999999999999</v>
      </c>
      <c r="D294" s="81"/>
      <c r="E294" s="81">
        <v>136.51400000000001</v>
      </c>
      <c r="F294" s="81">
        <v>164</v>
      </c>
      <c r="G294" s="11">
        <f t="shared" si="10"/>
        <v>27.48599999999999</v>
      </c>
      <c r="H294" s="11">
        <f>IFERROR(IF(Yearending&gt;B293,'5. Historical demand'!F294-'5. Historical demand'!C294-'5. Historical demand'!D294,""),"")</f>
        <v>16.050000000000011</v>
      </c>
      <c r="I294" s="11">
        <f t="shared" si="11"/>
        <v>11.435999999999979</v>
      </c>
    </row>
    <row r="295" spans="2:9" ht="13" x14ac:dyDescent="0.3">
      <c r="B295" s="192">
        <f t="shared" si="9"/>
        <v>45726</v>
      </c>
      <c r="C295" s="81">
        <v>147.94999999999999</v>
      </c>
      <c r="D295" s="81"/>
      <c r="E295" s="81">
        <v>103.80800000000001</v>
      </c>
      <c r="F295" s="81">
        <v>164</v>
      </c>
      <c r="G295" s="11">
        <f t="shared" si="10"/>
        <v>60.191999999999993</v>
      </c>
      <c r="H295" s="11">
        <f>IFERROR(IF(Yearending&gt;B294,'5. Historical demand'!F295-'5. Historical demand'!C295-'5. Historical demand'!D295,""),"")</f>
        <v>16.050000000000011</v>
      </c>
      <c r="I295" s="11">
        <f t="shared" si="11"/>
        <v>44.141999999999982</v>
      </c>
    </row>
    <row r="296" spans="2:9" ht="13" x14ac:dyDescent="0.3">
      <c r="B296" s="192">
        <f t="shared" si="9"/>
        <v>45727</v>
      </c>
      <c r="C296" s="81">
        <v>147.94999999999999</v>
      </c>
      <c r="D296" s="81"/>
      <c r="E296" s="81">
        <v>96.762</v>
      </c>
      <c r="F296" s="81">
        <v>164</v>
      </c>
      <c r="G296" s="11">
        <f t="shared" si="10"/>
        <v>67.238</v>
      </c>
      <c r="H296" s="11">
        <f>IFERROR(IF(Yearending&gt;B295,'5. Historical demand'!F296-'5. Historical demand'!C296-'5. Historical demand'!D296,""),"")</f>
        <v>16.050000000000011</v>
      </c>
      <c r="I296" s="11">
        <f t="shared" si="11"/>
        <v>51.187999999999988</v>
      </c>
    </row>
    <row r="297" spans="2:9" ht="13" x14ac:dyDescent="0.3">
      <c r="B297" s="192">
        <f t="shared" si="9"/>
        <v>45728</v>
      </c>
      <c r="C297" s="81">
        <v>147.94999999999999</v>
      </c>
      <c r="D297" s="81"/>
      <c r="E297" s="81">
        <v>96.721000000000004</v>
      </c>
      <c r="F297" s="81">
        <v>164</v>
      </c>
      <c r="G297" s="11">
        <f t="shared" si="10"/>
        <v>67.278999999999996</v>
      </c>
      <c r="H297" s="11">
        <f>IFERROR(IF(Yearending&gt;B296,'5. Historical demand'!F297-'5. Historical demand'!C297-'5. Historical demand'!D297,""),"")</f>
        <v>16.050000000000011</v>
      </c>
      <c r="I297" s="11">
        <f t="shared" si="11"/>
        <v>51.228999999999985</v>
      </c>
    </row>
    <row r="298" spans="2:9" ht="13" x14ac:dyDescent="0.3">
      <c r="B298" s="192">
        <f t="shared" si="9"/>
        <v>45729</v>
      </c>
      <c r="C298" s="81">
        <v>147.94999999999999</v>
      </c>
      <c r="D298" s="81"/>
      <c r="E298" s="81">
        <v>48.374000000000002</v>
      </c>
      <c r="F298" s="81">
        <v>164</v>
      </c>
      <c r="G298" s="11">
        <f t="shared" si="10"/>
        <v>115.626</v>
      </c>
      <c r="H298" s="11">
        <f>IFERROR(IF(Yearending&gt;B297,'5. Historical demand'!F298-'5. Historical demand'!C298-'5. Historical demand'!D298,""),"")</f>
        <v>16.050000000000011</v>
      </c>
      <c r="I298" s="11">
        <f t="shared" si="11"/>
        <v>99.575999999999993</v>
      </c>
    </row>
    <row r="299" spans="2:9" ht="13" x14ac:dyDescent="0.3">
      <c r="B299" s="192">
        <f t="shared" si="9"/>
        <v>45730</v>
      </c>
      <c r="C299" s="81">
        <v>147.94999999999999</v>
      </c>
      <c r="D299" s="81"/>
      <c r="E299" s="81">
        <v>51.179000000000002</v>
      </c>
      <c r="F299" s="81">
        <v>164</v>
      </c>
      <c r="G299" s="11">
        <f t="shared" si="10"/>
        <v>112.821</v>
      </c>
      <c r="H299" s="11">
        <f>IFERROR(IF(Yearending&gt;B298,'5. Historical demand'!F299-'5. Historical demand'!C299-'5. Historical demand'!D299,""),"")</f>
        <v>16.050000000000011</v>
      </c>
      <c r="I299" s="11">
        <f t="shared" si="11"/>
        <v>96.770999999999987</v>
      </c>
    </row>
    <row r="300" spans="2:9" ht="13" x14ac:dyDescent="0.3">
      <c r="B300" s="192">
        <f t="shared" ref="B300:B363" si="12">IFERROR(IF(Yearending&gt;B299, B299+1, ""),"")</f>
        <v>45731</v>
      </c>
      <c r="C300" s="81">
        <v>147.94999999999999</v>
      </c>
      <c r="D300" s="81"/>
      <c r="E300" s="81">
        <v>26.375</v>
      </c>
      <c r="F300" s="81">
        <v>164</v>
      </c>
      <c r="G300" s="11">
        <f t="shared" ref="G300:G363" si="13">IFERROR(IF(Yearending&gt;B299,F300-E300,""),"")</f>
        <v>137.625</v>
      </c>
      <c r="H300" s="11">
        <f>IFERROR(IF(Yearending&gt;B299,'5. Historical demand'!F300-'5. Historical demand'!C300-'5. Historical demand'!D300,""),"")</f>
        <v>16.050000000000011</v>
      </c>
      <c r="I300" s="11">
        <f t="shared" ref="I300:I363" si="14">IFERROR(IF(Yearending&gt;B299,C300+D300-E300,""),"")</f>
        <v>121.57499999999999</v>
      </c>
    </row>
    <row r="301" spans="2:9" ht="13" x14ac:dyDescent="0.3">
      <c r="B301" s="192">
        <f t="shared" si="12"/>
        <v>45732</v>
      </c>
      <c r="C301" s="81">
        <v>147.94999999999999</v>
      </c>
      <c r="D301" s="81"/>
      <c r="E301" s="81">
        <v>35.042999999999999</v>
      </c>
      <c r="F301" s="81">
        <v>164</v>
      </c>
      <c r="G301" s="11">
        <f t="shared" si="13"/>
        <v>128.95699999999999</v>
      </c>
      <c r="H301" s="11">
        <f>IFERROR(IF(Yearending&gt;B300,'5. Historical demand'!F301-'5. Historical demand'!C301-'5. Historical demand'!D301,""),"")</f>
        <v>16.050000000000011</v>
      </c>
      <c r="I301" s="11">
        <f t="shared" si="14"/>
        <v>112.90699999999998</v>
      </c>
    </row>
    <row r="302" spans="2:9" ht="13" x14ac:dyDescent="0.3">
      <c r="B302" s="192">
        <f t="shared" si="12"/>
        <v>45733</v>
      </c>
      <c r="C302" s="81">
        <v>147.94999999999999</v>
      </c>
      <c r="D302" s="81"/>
      <c r="E302" s="81">
        <v>21.457999999999998</v>
      </c>
      <c r="F302" s="81">
        <v>164</v>
      </c>
      <c r="G302" s="11">
        <f t="shared" si="13"/>
        <v>142.542</v>
      </c>
      <c r="H302" s="11">
        <f>IFERROR(IF(Yearending&gt;B301,'5. Historical demand'!F302-'5. Historical demand'!C302-'5. Historical demand'!D302,""),"")</f>
        <v>16.050000000000011</v>
      </c>
      <c r="I302" s="11">
        <f t="shared" si="14"/>
        <v>126.49199999999999</v>
      </c>
    </row>
    <row r="303" spans="2:9" ht="13" x14ac:dyDescent="0.3">
      <c r="B303" s="192">
        <f t="shared" si="12"/>
        <v>45734</v>
      </c>
      <c r="C303" s="81">
        <v>147.94999999999999</v>
      </c>
      <c r="D303" s="81"/>
      <c r="E303" s="81">
        <v>24.65</v>
      </c>
      <c r="F303" s="81">
        <v>164</v>
      </c>
      <c r="G303" s="11">
        <f t="shared" si="13"/>
        <v>139.35</v>
      </c>
      <c r="H303" s="11">
        <f>IFERROR(IF(Yearending&gt;B302,'5. Historical demand'!F303-'5. Historical demand'!C303-'5. Historical demand'!D303,""),"")</f>
        <v>16.050000000000011</v>
      </c>
      <c r="I303" s="11">
        <f t="shared" si="14"/>
        <v>123.29999999999998</v>
      </c>
    </row>
    <row r="304" spans="2:9" ht="13" x14ac:dyDescent="0.3">
      <c r="B304" s="192">
        <f t="shared" si="12"/>
        <v>45735</v>
      </c>
      <c r="C304" s="81">
        <v>147.94999999999999</v>
      </c>
      <c r="D304" s="81"/>
      <c r="E304" s="81">
        <v>18.190000000000001</v>
      </c>
      <c r="F304" s="81">
        <v>164</v>
      </c>
      <c r="G304" s="11">
        <f t="shared" si="13"/>
        <v>145.81</v>
      </c>
      <c r="H304" s="11">
        <f>IFERROR(IF(Yearending&gt;B303,'5. Historical demand'!F304-'5. Historical demand'!C304-'5. Historical demand'!D304,""),"")</f>
        <v>16.050000000000011</v>
      </c>
      <c r="I304" s="11">
        <f t="shared" si="14"/>
        <v>129.76</v>
      </c>
    </row>
    <row r="305" spans="2:9" ht="13" x14ac:dyDescent="0.3">
      <c r="B305" s="192">
        <f t="shared" si="12"/>
        <v>45736</v>
      </c>
      <c r="C305" s="81">
        <v>147.94999999999999</v>
      </c>
      <c r="D305" s="81"/>
      <c r="E305" s="81">
        <v>17.262</v>
      </c>
      <c r="F305" s="81">
        <v>164</v>
      </c>
      <c r="G305" s="11">
        <f t="shared" si="13"/>
        <v>146.738</v>
      </c>
      <c r="H305" s="11">
        <f>IFERROR(IF(Yearending&gt;B304,'5. Historical demand'!F305-'5. Historical demand'!C305-'5. Historical demand'!D305,""),"")</f>
        <v>16.050000000000011</v>
      </c>
      <c r="I305" s="11">
        <f t="shared" si="14"/>
        <v>130.68799999999999</v>
      </c>
    </row>
    <row r="306" spans="2:9" ht="13" x14ac:dyDescent="0.3">
      <c r="B306" s="192">
        <f t="shared" si="12"/>
        <v>45737</v>
      </c>
      <c r="C306" s="81">
        <v>147.94999999999999</v>
      </c>
      <c r="D306" s="81"/>
      <c r="E306" s="81">
        <v>12.222</v>
      </c>
      <c r="F306" s="81">
        <v>164</v>
      </c>
      <c r="G306" s="11">
        <f t="shared" si="13"/>
        <v>151.77799999999999</v>
      </c>
      <c r="H306" s="11">
        <f>IFERROR(IF(Yearending&gt;B305,'5. Historical demand'!F306-'5. Historical demand'!C306-'5. Historical demand'!D306,""),"")</f>
        <v>16.050000000000011</v>
      </c>
      <c r="I306" s="11">
        <f t="shared" si="14"/>
        <v>135.72799999999998</v>
      </c>
    </row>
    <row r="307" spans="2:9" ht="13" x14ac:dyDescent="0.3">
      <c r="B307" s="192">
        <f t="shared" si="12"/>
        <v>45738</v>
      </c>
      <c r="C307" s="81">
        <v>147.94999999999999</v>
      </c>
      <c r="D307" s="81"/>
      <c r="E307" s="81">
        <v>52.122999999999998</v>
      </c>
      <c r="F307" s="81">
        <v>164</v>
      </c>
      <c r="G307" s="11">
        <f t="shared" si="13"/>
        <v>111.87700000000001</v>
      </c>
      <c r="H307" s="11">
        <f>IFERROR(IF(Yearending&gt;B306,'5. Historical demand'!F307-'5. Historical demand'!C307-'5. Historical demand'!D307,""),"")</f>
        <v>16.050000000000011</v>
      </c>
      <c r="I307" s="11">
        <f t="shared" si="14"/>
        <v>95.826999999999998</v>
      </c>
    </row>
    <row r="308" spans="2:9" ht="13" x14ac:dyDescent="0.3">
      <c r="B308" s="192">
        <f t="shared" si="12"/>
        <v>45739</v>
      </c>
      <c r="C308" s="81">
        <v>147.94999999999999</v>
      </c>
      <c r="D308" s="81"/>
      <c r="E308" s="81">
        <v>22.995999999999999</v>
      </c>
      <c r="F308" s="81">
        <v>164</v>
      </c>
      <c r="G308" s="11">
        <f t="shared" si="13"/>
        <v>141.00399999999999</v>
      </c>
      <c r="H308" s="11">
        <f>IFERROR(IF(Yearending&gt;B307,'5. Historical demand'!F308-'5. Historical demand'!C308-'5. Historical demand'!D308,""),"")</f>
        <v>16.050000000000011</v>
      </c>
      <c r="I308" s="11">
        <f t="shared" si="14"/>
        <v>124.95399999999999</v>
      </c>
    </row>
    <row r="309" spans="2:9" ht="13" x14ac:dyDescent="0.3">
      <c r="B309" s="192">
        <f t="shared" si="12"/>
        <v>45740</v>
      </c>
      <c r="C309" s="81">
        <v>147.94999999999999</v>
      </c>
      <c r="D309" s="81"/>
      <c r="E309" s="81">
        <v>51.503999999999998</v>
      </c>
      <c r="F309" s="81">
        <v>164</v>
      </c>
      <c r="G309" s="11">
        <f t="shared" si="13"/>
        <v>112.49600000000001</v>
      </c>
      <c r="H309" s="11">
        <f>IFERROR(IF(Yearending&gt;B308,'5. Historical demand'!F309-'5. Historical demand'!C309-'5. Historical demand'!D309,""),"")</f>
        <v>16.050000000000011</v>
      </c>
      <c r="I309" s="11">
        <f t="shared" si="14"/>
        <v>96.445999999999998</v>
      </c>
    </row>
    <row r="310" spans="2:9" ht="13" x14ac:dyDescent="0.3">
      <c r="B310" s="192">
        <f t="shared" si="12"/>
        <v>45741</v>
      </c>
      <c r="C310" s="81">
        <v>147.94999999999999</v>
      </c>
      <c r="D310" s="81"/>
      <c r="E310" s="81">
        <v>12.746</v>
      </c>
      <c r="F310" s="81">
        <v>164</v>
      </c>
      <c r="G310" s="11">
        <f t="shared" si="13"/>
        <v>151.25399999999999</v>
      </c>
      <c r="H310" s="11">
        <f>IFERROR(IF(Yearending&gt;B309,'5. Historical demand'!F310-'5. Historical demand'!C310-'5. Historical demand'!D310,""),"")</f>
        <v>16.050000000000011</v>
      </c>
      <c r="I310" s="11">
        <f t="shared" si="14"/>
        <v>135.20399999999998</v>
      </c>
    </row>
    <row r="311" spans="2:9" ht="13" x14ac:dyDescent="0.3">
      <c r="B311" s="192">
        <f t="shared" si="12"/>
        <v>45742</v>
      </c>
      <c r="C311" s="81">
        <v>147.94999999999999</v>
      </c>
      <c r="D311" s="81"/>
      <c r="E311" s="81">
        <v>59.207999999999998</v>
      </c>
      <c r="F311" s="81">
        <v>164</v>
      </c>
      <c r="G311" s="11">
        <f t="shared" si="13"/>
        <v>104.792</v>
      </c>
      <c r="H311" s="11">
        <f>IFERROR(IF(Yearending&gt;B310,'5. Historical demand'!F311-'5. Historical demand'!C311-'5. Historical demand'!D311,""),"")</f>
        <v>16.050000000000011</v>
      </c>
      <c r="I311" s="11">
        <f t="shared" si="14"/>
        <v>88.74199999999999</v>
      </c>
    </row>
    <row r="312" spans="2:9" ht="13" x14ac:dyDescent="0.3">
      <c r="B312" s="192">
        <f t="shared" si="12"/>
        <v>45743</v>
      </c>
      <c r="C312" s="81">
        <v>147.94999999999999</v>
      </c>
      <c r="D312" s="81"/>
      <c r="E312" s="81">
        <v>97.007000000000005</v>
      </c>
      <c r="F312" s="81">
        <v>164</v>
      </c>
      <c r="G312" s="11">
        <f t="shared" si="13"/>
        <v>66.992999999999995</v>
      </c>
      <c r="H312" s="11">
        <f>IFERROR(IF(Yearending&gt;B311,'5. Historical demand'!F312-'5. Historical demand'!C312-'5. Historical demand'!D312,""),"")</f>
        <v>16.050000000000011</v>
      </c>
      <c r="I312" s="11">
        <f t="shared" si="14"/>
        <v>50.942999999999984</v>
      </c>
    </row>
    <row r="313" spans="2:9" ht="13" x14ac:dyDescent="0.3">
      <c r="B313" s="192">
        <f t="shared" si="12"/>
        <v>45744</v>
      </c>
      <c r="C313" s="81">
        <v>147.94999999999999</v>
      </c>
      <c r="D313" s="81"/>
      <c r="E313" s="81">
        <v>98.369</v>
      </c>
      <c r="F313" s="81">
        <v>164</v>
      </c>
      <c r="G313" s="11">
        <f t="shared" si="13"/>
        <v>65.631</v>
      </c>
      <c r="H313" s="11">
        <f>IFERROR(IF(Yearending&gt;B312,'5. Historical demand'!F313-'5. Historical demand'!C313-'5. Historical demand'!D313,""),"")</f>
        <v>16.050000000000011</v>
      </c>
      <c r="I313" s="11">
        <f t="shared" si="14"/>
        <v>49.580999999999989</v>
      </c>
    </row>
    <row r="314" spans="2:9" ht="13" x14ac:dyDescent="0.3">
      <c r="B314" s="192">
        <f t="shared" si="12"/>
        <v>45745</v>
      </c>
      <c r="C314" s="81">
        <v>147.94999999999999</v>
      </c>
      <c r="D314" s="81"/>
      <c r="E314" s="81">
        <v>25.099</v>
      </c>
      <c r="F314" s="81">
        <v>164</v>
      </c>
      <c r="G314" s="11">
        <f t="shared" si="13"/>
        <v>138.90100000000001</v>
      </c>
      <c r="H314" s="11">
        <f>IFERROR(IF(Yearending&gt;B313,'5. Historical demand'!F314-'5. Historical demand'!C314-'5. Historical demand'!D314,""),"")</f>
        <v>16.050000000000011</v>
      </c>
      <c r="I314" s="11">
        <f t="shared" si="14"/>
        <v>122.85099999999998</v>
      </c>
    </row>
    <row r="315" spans="2:9" ht="13" x14ac:dyDescent="0.3">
      <c r="B315" s="192">
        <f t="shared" si="12"/>
        <v>45746</v>
      </c>
      <c r="C315" s="81">
        <v>147.94999999999999</v>
      </c>
      <c r="D315" s="81"/>
      <c r="E315" s="81">
        <v>61.598999999999997</v>
      </c>
      <c r="F315" s="81">
        <v>164</v>
      </c>
      <c r="G315" s="11">
        <f t="shared" si="13"/>
        <v>102.40100000000001</v>
      </c>
      <c r="H315" s="11">
        <f>IFERROR(IF(Yearending&gt;B314,'5. Historical demand'!F315-'5. Historical demand'!C315-'5. Historical demand'!D315,""),"")</f>
        <v>16.050000000000011</v>
      </c>
      <c r="I315" s="11">
        <f t="shared" si="14"/>
        <v>86.350999999999999</v>
      </c>
    </row>
    <row r="316" spans="2:9" ht="13" x14ac:dyDescent="0.3">
      <c r="B316" s="192">
        <f t="shared" si="12"/>
        <v>45747</v>
      </c>
      <c r="C316" s="81">
        <v>147.94999999999999</v>
      </c>
      <c r="D316" s="81"/>
      <c r="E316" s="81">
        <v>33.271000000000001</v>
      </c>
      <c r="F316" s="81">
        <v>164</v>
      </c>
      <c r="G316" s="11">
        <f t="shared" si="13"/>
        <v>130.72899999999998</v>
      </c>
      <c r="H316" s="11">
        <f>IFERROR(IF(Yearending&gt;B315,'5. Historical demand'!F316-'5. Historical demand'!C316-'5. Historical demand'!D316,""),"")</f>
        <v>16.050000000000011</v>
      </c>
      <c r="I316" s="11">
        <f t="shared" si="14"/>
        <v>114.67899999999999</v>
      </c>
    </row>
    <row r="317" spans="2:9" ht="13" x14ac:dyDescent="0.3">
      <c r="B317" s="192">
        <f t="shared" si="12"/>
        <v>45748</v>
      </c>
      <c r="C317" s="81">
        <v>147.94999999999999</v>
      </c>
      <c r="D317" s="81"/>
      <c r="E317" s="81">
        <v>60.594000000000001</v>
      </c>
      <c r="F317" s="81">
        <v>164</v>
      </c>
      <c r="G317" s="11">
        <f t="shared" si="13"/>
        <v>103.40600000000001</v>
      </c>
      <c r="H317" s="11">
        <f>IFERROR(IF(Yearending&gt;B316,'5. Historical demand'!F317-'5. Historical demand'!C317-'5. Historical demand'!D317,""),"")</f>
        <v>16.050000000000011</v>
      </c>
      <c r="I317" s="11">
        <f t="shared" si="14"/>
        <v>87.355999999999995</v>
      </c>
    </row>
    <row r="318" spans="2:9" ht="13" x14ac:dyDescent="0.3">
      <c r="B318" s="192">
        <f t="shared" si="12"/>
        <v>45749</v>
      </c>
      <c r="C318" s="81">
        <v>147.94999999999999</v>
      </c>
      <c r="D318" s="81"/>
      <c r="E318" s="81">
        <v>72.783000000000001</v>
      </c>
      <c r="F318" s="81">
        <v>164</v>
      </c>
      <c r="G318" s="11">
        <f t="shared" si="13"/>
        <v>91.216999999999999</v>
      </c>
      <c r="H318" s="11">
        <f>IFERROR(IF(Yearending&gt;B317,'5. Historical demand'!F318-'5. Historical demand'!C318-'5. Historical demand'!D318,""),"")</f>
        <v>16.050000000000011</v>
      </c>
      <c r="I318" s="11">
        <f t="shared" si="14"/>
        <v>75.166999999999987</v>
      </c>
    </row>
    <row r="319" spans="2:9" ht="13" x14ac:dyDescent="0.3">
      <c r="B319" s="192">
        <f t="shared" si="12"/>
        <v>45750</v>
      </c>
      <c r="C319" s="81">
        <v>147.94999999999999</v>
      </c>
      <c r="D319" s="81"/>
      <c r="E319" s="81">
        <v>77.861999999999995</v>
      </c>
      <c r="F319" s="81">
        <v>164</v>
      </c>
      <c r="G319" s="11">
        <f t="shared" si="13"/>
        <v>86.138000000000005</v>
      </c>
      <c r="H319" s="11">
        <f>IFERROR(IF(Yearending&gt;B318,'5. Historical demand'!F319-'5. Historical demand'!C319-'5. Historical demand'!D319,""),"")</f>
        <v>16.050000000000011</v>
      </c>
      <c r="I319" s="11">
        <f t="shared" si="14"/>
        <v>70.087999999999994</v>
      </c>
    </row>
    <row r="320" spans="2:9" ht="13" x14ac:dyDescent="0.3">
      <c r="B320" s="192">
        <f t="shared" si="12"/>
        <v>45751</v>
      </c>
      <c r="C320" s="81">
        <v>147.94999999999999</v>
      </c>
      <c r="D320" s="81"/>
      <c r="E320" s="81">
        <v>73.445999999999998</v>
      </c>
      <c r="F320" s="81">
        <v>164</v>
      </c>
      <c r="G320" s="11">
        <f t="shared" si="13"/>
        <v>90.554000000000002</v>
      </c>
      <c r="H320" s="11">
        <f>IFERROR(IF(Yearending&gt;B319,'5. Historical demand'!F320-'5. Historical demand'!C320-'5. Historical demand'!D320,""),"")</f>
        <v>16.050000000000011</v>
      </c>
      <c r="I320" s="11">
        <f t="shared" si="14"/>
        <v>74.503999999999991</v>
      </c>
    </row>
    <row r="321" spans="2:9" ht="13" x14ac:dyDescent="0.3">
      <c r="B321" s="192">
        <f t="shared" si="12"/>
        <v>45752</v>
      </c>
      <c r="C321" s="81">
        <v>147.94999999999999</v>
      </c>
      <c r="D321" s="81"/>
      <c r="E321" s="81">
        <v>122.595</v>
      </c>
      <c r="F321" s="81">
        <v>164</v>
      </c>
      <c r="G321" s="11">
        <f t="shared" si="13"/>
        <v>41.405000000000001</v>
      </c>
      <c r="H321" s="11">
        <f>IFERROR(IF(Yearending&gt;B320,'5. Historical demand'!F321-'5. Historical demand'!C321-'5. Historical demand'!D321,""),"")</f>
        <v>16.050000000000011</v>
      </c>
      <c r="I321" s="11">
        <f t="shared" si="14"/>
        <v>25.35499999999999</v>
      </c>
    </row>
    <row r="322" spans="2:9" ht="13" x14ac:dyDescent="0.3">
      <c r="B322" s="192">
        <f t="shared" si="12"/>
        <v>45753</v>
      </c>
      <c r="C322" s="81">
        <v>147.94999999999999</v>
      </c>
      <c r="D322" s="81"/>
      <c r="E322" s="81">
        <v>104.902</v>
      </c>
      <c r="F322" s="81">
        <v>164</v>
      </c>
      <c r="G322" s="11">
        <f t="shared" si="13"/>
        <v>59.097999999999999</v>
      </c>
      <c r="H322" s="11">
        <f>IFERROR(IF(Yearending&gt;B321,'5. Historical demand'!F322-'5. Historical demand'!C322-'5. Historical demand'!D322,""),"")</f>
        <v>16.050000000000011</v>
      </c>
      <c r="I322" s="11">
        <f t="shared" si="14"/>
        <v>43.047999999999988</v>
      </c>
    </row>
    <row r="323" spans="2:9" ht="13" x14ac:dyDescent="0.3">
      <c r="B323" s="192">
        <f t="shared" si="12"/>
        <v>45754</v>
      </c>
      <c r="C323" s="81">
        <v>147.94999999999999</v>
      </c>
      <c r="D323" s="81"/>
      <c r="E323" s="81">
        <v>76.292000000000002</v>
      </c>
      <c r="F323" s="81">
        <v>164</v>
      </c>
      <c r="G323" s="11">
        <f t="shared" si="13"/>
        <v>87.707999999999998</v>
      </c>
      <c r="H323" s="11">
        <f>IFERROR(IF(Yearending&gt;B322,'5. Historical demand'!F323-'5. Historical demand'!C323-'5. Historical demand'!D323,""),"")</f>
        <v>16.050000000000011</v>
      </c>
      <c r="I323" s="11">
        <f t="shared" si="14"/>
        <v>71.657999999999987</v>
      </c>
    </row>
    <row r="324" spans="2:9" ht="13" x14ac:dyDescent="0.3">
      <c r="B324" s="192">
        <f t="shared" si="12"/>
        <v>45755</v>
      </c>
      <c r="C324" s="81">
        <v>147.94999999999999</v>
      </c>
      <c r="D324" s="81"/>
      <c r="E324" s="81">
        <v>54.463999999999999</v>
      </c>
      <c r="F324" s="81">
        <v>164</v>
      </c>
      <c r="G324" s="11">
        <f t="shared" si="13"/>
        <v>109.536</v>
      </c>
      <c r="H324" s="11">
        <f>IFERROR(IF(Yearending&gt;B323,'5. Historical demand'!F324-'5. Historical demand'!C324-'5. Historical demand'!D324,""),"")</f>
        <v>16.050000000000011</v>
      </c>
      <c r="I324" s="11">
        <f t="shared" si="14"/>
        <v>93.48599999999999</v>
      </c>
    </row>
    <row r="325" spans="2:9" ht="13" x14ac:dyDescent="0.3">
      <c r="B325" s="192">
        <f t="shared" si="12"/>
        <v>45756</v>
      </c>
      <c r="C325" s="81">
        <v>147.94999999999999</v>
      </c>
      <c r="D325" s="81"/>
      <c r="E325" s="81">
        <v>54.118000000000002</v>
      </c>
      <c r="F325" s="81">
        <v>164</v>
      </c>
      <c r="G325" s="11">
        <f t="shared" si="13"/>
        <v>109.88200000000001</v>
      </c>
      <c r="H325" s="11">
        <f>IFERROR(IF(Yearending&gt;B324,'5. Historical demand'!F325-'5. Historical demand'!C325-'5. Historical demand'!D325,""),"")</f>
        <v>16.050000000000011</v>
      </c>
      <c r="I325" s="11">
        <f t="shared" si="14"/>
        <v>93.831999999999994</v>
      </c>
    </row>
    <row r="326" spans="2:9" ht="13" x14ac:dyDescent="0.3">
      <c r="B326" s="192">
        <f t="shared" si="12"/>
        <v>45757</v>
      </c>
      <c r="C326" s="81">
        <v>147.94999999999999</v>
      </c>
      <c r="D326" s="81"/>
      <c r="E326" s="81">
        <v>88.114999999999995</v>
      </c>
      <c r="F326" s="81">
        <v>164</v>
      </c>
      <c r="G326" s="11">
        <f t="shared" si="13"/>
        <v>75.885000000000005</v>
      </c>
      <c r="H326" s="11">
        <f>IFERROR(IF(Yearending&gt;B325,'5. Historical demand'!F326-'5. Historical demand'!C326-'5. Historical demand'!D326,""),"")</f>
        <v>16.050000000000011</v>
      </c>
      <c r="I326" s="11">
        <f t="shared" si="14"/>
        <v>59.834999999999994</v>
      </c>
    </row>
    <row r="327" spans="2:9" ht="13" x14ac:dyDescent="0.3">
      <c r="B327" s="192">
        <f t="shared" si="12"/>
        <v>45758</v>
      </c>
      <c r="C327" s="81">
        <v>147.94999999999999</v>
      </c>
      <c r="D327" s="81"/>
      <c r="E327" s="81">
        <v>50.238999999999997</v>
      </c>
      <c r="F327" s="81">
        <v>164</v>
      </c>
      <c r="G327" s="11">
        <f t="shared" si="13"/>
        <v>113.761</v>
      </c>
      <c r="H327" s="11">
        <f>IFERROR(IF(Yearending&gt;B326,'5. Historical demand'!F327-'5. Historical demand'!C327-'5. Historical demand'!D327,""),"")</f>
        <v>16.050000000000011</v>
      </c>
      <c r="I327" s="11">
        <f t="shared" si="14"/>
        <v>97.710999999999984</v>
      </c>
    </row>
    <row r="328" spans="2:9" ht="13" x14ac:dyDescent="0.3">
      <c r="B328" s="192">
        <f t="shared" si="12"/>
        <v>45759</v>
      </c>
      <c r="C328" s="81">
        <v>147.94999999999999</v>
      </c>
      <c r="D328" s="81"/>
      <c r="E328" s="81">
        <v>67.147000000000006</v>
      </c>
      <c r="F328" s="81">
        <v>164</v>
      </c>
      <c r="G328" s="11">
        <f t="shared" si="13"/>
        <v>96.852999999999994</v>
      </c>
      <c r="H328" s="11">
        <f>IFERROR(IF(Yearending&gt;B327,'5. Historical demand'!F328-'5. Historical demand'!C328-'5. Historical demand'!D328,""),"")</f>
        <v>16.050000000000011</v>
      </c>
      <c r="I328" s="11">
        <f t="shared" si="14"/>
        <v>80.802999999999983</v>
      </c>
    </row>
    <row r="329" spans="2:9" ht="13" x14ac:dyDescent="0.3">
      <c r="B329" s="192">
        <f t="shared" si="12"/>
        <v>45760</v>
      </c>
      <c r="C329" s="81">
        <v>147.94999999999999</v>
      </c>
      <c r="D329" s="81"/>
      <c r="E329" s="81">
        <v>61.518000000000001</v>
      </c>
      <c r="F329" s="81">
        <v>164</v>
      </c>
      <c r="G329" s="11">
        <f t="shared" si="13"/>
        <v>102.482</v>
      </c>
      <c r="H329" s="11">
        <f>IFERROR(IF(Yearending&gt;B328,'5. Historical demand'!F329-'5. Historical demand'!C329-'5. Historical demand'!D329,""),"")</f>
        <v>16.050000000000011</v>
      </c>
      <c r="I329" s="11">
        <f t="shared" si="14"/>
        <v>86.431999999999988</v>
      </c>
    </row>
    <row r="330" spans="2:9" ht="13" x14ac:dyDescent="0.3">
      <c r="B330" s="192">
        <f t="shared" si="12"/>
        <v>45761</v>
      </c>
      <c r="C330" s="81">
        <v>147.94999999999999</v>
      </c>
      <c r="D330" s="81"/>
      <c r="E330" s="81">
        <v>57.966000000000001</v>
      </c>
      <c r="F330" s="81">
        <v>164</v>
      </c>
      <c r="G330" s="11">
        <f t="shared" si="13"/>
        <v>106.03399999999999</v>
      </c>
      <c r="H330" s="11">
        <f>IFERROR(IF(Yearending&gt;B329,'5. Historical demand'!F330-'5. Historical demand'!C330-'5. Historical demand'!D330,""),"")</f>
        <v>16.050000000000011</v>
      </c>
      <c r="I330" s="11">
        <f t="shared" si="14"/>
        <v>89.98399999999998</v>
      </c>
    </row>
    <row r="331" spans="2:9" ht="13" x14ac:dyDescent="0.3">
      <c r="B331" s="192">
        <f t="shared" si="12"/>
        <v>45762</v>
      </c>
      <c r="C331" s="81">
        <v>147.94999999999999</v>
      </c>
      <c r="D331" s="81"/>
      <c r="E331" s="81">
        <v>45.37</v>
      </c>
      <c r="F331" s="81">
        <v>164</v>
      </c>
      <c r="G331" s="11">
        <f t="shared" si="13"/>
        <v>118.63</v>
      </c>
      <c r="H331" s="11">
        <f>IFERROR(IF(Yearending&gt;B330,'5. Historical demand'!F331-'5. Historical demand'!C331-'5. Historical demand'!D331,""),"")</f>
        <v>16.050000000000011</v>
      </c>
      <c r="I331" s="11">
        <f t="shared" si="14"/>
        <v>102.57999999999998</v>
      </c>
    </row>
    <row r="332" spans="2:9" ht="13" x14ac:dyDescent="0.3">
      <c r="B332" s="192">
        <f t="shared" si="12"/>
        <v>45763</v>
      </c>
      <c r="C332" s="81">
        <v>147.94999999999999</v>
      </c>
      <c r="D332" s="81"/>
      <c r="E332" s="81">
        <v>140.56</v>
      </c>
      <c r="F332" s="81">
        <v>164</v>
      </c>
      <c r="G332" s="11">
        <f t="shared" si="13"/>
        <v>23.439999999999998</v>
      </c>
      <c r="H332" s="11">
        <f>IFERROR(IF(Yearending&gt;B331,'5. Historical demand'!F332-'5. Historical demand'!C332-'5. Historical demand'!D332,""),"")</f>
        <v>16.050000000000011</v>
      </c>
      <c r="I332" s="11">
        <f t="shared" si="14"/>
        <v>7.3899999999999864</v>
      </c>
    </row>
    <row r="333" spans="2:9" ht="13" x14ac:dyDescent="0.3">
      <c r="B333" s="192">
        <f t="shared" si="12"/>
        <v>45764</v>
      </c>
      <c r="C333" s="81">
        <v>147.94999999999999</v>
      </c>
      <c r="D333" s="81"/>
      <c r="E333" s="81">
        <v>118.187</v>
      </c>
      <c r="F333" s="81">
        <v>164</v>
      </c>
      <c r="G333" s="11">
        <f t="shared" si="13"/>
        <v>45.813000000000002</v>
      </c>
      <c r="H333" s="11">
        <f>IFERROR(IF(Yearending&gt;B332,'5. Historical demand'!F333-'5. Historical demand'!C333-'5. Historical demand'!D333,""),"")</f>
        <v>16.050000000000011</v>
      </c>
      <c r="I333" s="11">
        <f t="shared" si="14"/>
        <v>29.762999999999991</v>
      </c>
    </row>
    <row r="334" spans="2:9" ht="13" x14ac:dyDescent="0.3">
      <c r="B334" s="192">
        <f t="shared" si="12"/>
        <v>45765</v>
      </c>
      <c r="C334" s="81">
        <v>147.94999999999999</v>
      </c>
      <c r="D334" s="81"/>
      <c r="E334" s="81">
        <v>22.898</v>
      </c>
      <c r="F334" s="81">
        <v>164</v>
      </c>
      <c r="G334" s="11">
        <f t="shared" si="13"/>
        <v>141.102</v>
      </c>
      <c r="H334" s="11">
        <f>IFERROR(IF(Yearending&gt;B333,'5. Historical demand'!F334-'5. Historical demand'!C334-'5. Historical demand'!D334,""),"")</f>
        <v>16.050000000000011</v>
      </c>
      <c r="I334" s="11">
        <f t="shared" si="14"/>
        <v>125.05199999999999</v>
      </c>
    </row>
    <row r="335" spans="2:9" ht="13" x14ac:dyDescent="0.3">
      <c r="B335" s="192">
        <f t="shared" si="12"/>
        <v>45766</v>
      </c>
      <c r="C335" s="81">
        <v>147.94999999999999</v>
      </c>
      <c r="D335" s="81"/>
      <c r="E335" s="81">
        <v>16.507999999999999</v>
      </c>
      <c r="F335" s="81">
        <v>164</v>
      </c>
      <c r="G335" s="11">
        <f t="shared" si="13"/>
        <v>147.49199999999999</v>
      </c>
      <c r="H335" s="11">
        <f>IFERROR(IF(Yearending&gt;B334,'5. Historical demand'!F335-'5. Historical demand'!C335-'5. Historical demand'!D335,""),"")</f>
        <v>16.050000000000011</v>
      </c>
      <c r="I335" s="11">
        <f t="shared" si="14"/>
        <v>131.44199999999998</v>
      </c>
    </row>
    <row r="336" spans="2:9" ht="13" x14ac:dyDescent="0.3">
      <c r="B336" s="192">
        <f t="shared" si="12"/>
        <v>45767</v>
      </c>
      <c r="C336" s="81">
        <v>147.94999999999999</v>
      </c>
      <c r="D336" s="81"/>
      <c r="E336" s="81">
        <v>30.667000000000002</v>
      </c>
      <c r="F336" s="81">
        <v>164</v>
      </c>
      <c r="G336" s="11">
        <f t="shared" si="13"/>
        <v>133.333</v>
      </c>
      <c r="H336" s="11">
        <f>IFERROR(IF(Yearending&gt;B335,'5. Historical demand'!F336-'5. Historical demand'!C336-'5. Historical demand'!D336,""),"")</f>
        <v>16.050000000000011</v>
      </c>
      <c r="I336" s="11">
        <f t="shared" si="14"/>
        <v>117.28299999999999</v>
      </c>
    </row>
    <row r="337" spans="2:9" ht="13" x14ac:dyDescent="0.3">
      <c r="B337" s="192">
        <f t="shared" si="12"/>
        <v>45768</v>
      </c>
      <c r="C337" s="81">
        <v>147.94999999999999</v>
      </c>
      <c r="D337" s="81"/>
      <c r="E337" s="81">
        <v>35.716999999999999</v>
      </c>
      <c r="F337" s="81">
        <v>164</v>
      </c>
      <c r="G337" s="11">
        <f t="shared" si="13"/>
        <v>128.28300000000002</v>
      </c>
      <c r="H337" s="11">
        <f>IFERROR(IF(Yearending&gt;B336,'5. Historical demand'!F337-'5. Historical demand'!C337-'5. Historical demand'!D337,""),"")</f>
        <v>16.050000000000011</v>
      </c>
      <c r="I337" s="11">
        <f t="shared" si="14"/>
        <v>112.23299999999999</v>
      </c>
    </row>
    <row r="338" spans="2:9" ht="13" x14ac:dyDescent="0.3">
      <c r="B338" s="192">
        <f t="shared" si="12"/>
        <v>45769</v>
      </c>
      <c r="C338" s="81">
        <v>147.94999999999999</v>
      </c>
      <c r="D338" s="81"/>
      <c r="E338" s="81">
        <v>9.3529999999999998</v>
      </c>
      <c r="F338" s="81">
        <v>164</v>
      </c>
      <c r="G338" s="11">
        <f t="shared" si="13"/>
        <v>154.64699999999999</v>
      </c>
      <c r="H338" s="11">
        <f>IFERROR(IF(Yearending&gt;B337,'5. Historical demand'!F338-'5. Historical demand'!C338-'5. Historical demand'!D338,""),"")</f>
        <v>16.050000000000011</v>
      </c>
      <c r="I338" s="11">
        <f t="shared" si="14"/>
        <v>138.59699999999998</v>
      </c>
    </row>
    <row r="339" spans="2:9" ht="13" x14ac:dyDescent="0.3">
      <c r="B339" s="192">
        <f t="shared" si="12"/>
        <v>45770</v>
      </c>
      <c r="C339" s="81">
        <v>147.94999999999999</v>
      </c>
      <c r="D339" s="81"/>
      <c r="E339" s="81">
        <v>23.792000000000002</v>
      </c>
      <c r="F339" s="81">
        <v>164</v>
      </c>
      <c r="G339" s="11">
        <f t="shared" si="13"/>
        <v>140.208</v>
      </c>
      <c r="H339" s="11">
        <f>IFERROR(IF(Yearending&gt;B338,'5. Historical demand'!F339-'5. Historical demand'!C339-'5. Historical demand'!D339,""),"")</f>
        <v>16.050000000000011</v>
      </c>
      <c r="I339" s="11">
        <f t="shared" si="14"/>
        <v>124.15799999999999</v>
      </c>
    </row>
    <row r="340" spans="2:9" ht="13" x14ac:dyDescent="0.3">
      <c r="B340" s="192">
        <f t="shared" si="12"/>
        <v>45771</v>
      </c>
      <c r="C340" s="81">
        <v>147.94999999999999</v>
      </c>
      <c r="D340" s="81"/>
      <c r="E340" s="81">
        <v>27.827999999999999</v>
      </c>
      <c r="F340" s="81">
        <v>164</v>
      </c>
      <c r="G340" s="11">
        <f t="shared" si="13"/>
        <v>136.172</v>
      </c>
      <c r="H340" s="11">
        <f>IFERROR(IF(Yearending&gt;B339,'5. Historical demand'!F340-'5. Historical demand'!C340-'5. Historical demand'!D340,""),"")</f>
        <v>16.050000000000011</v>
      </c>
      <c r="I340" s="11">
        <f t="shared" si="14"/>
        <v>120.12199999999999</v>
      </c>
    </row>
    <row r="341" spans="2:9" ht="13" x14ac:dyDescent="0.3">
      <c r="B341" s="192">
        <f t="shared" si="12"/>
        <v>45772</v>
      </c>
      <c r="C341" s="81">
        <v>147.94999999999999</v>
      </c>
      <c r="D341" s="81"/>
      <c r="E341" s="81">
        <v>39.899000000000001</v>
      </c>
      <c r="F341" s="81">
        <v>164</v>
      </c>
      <c r="G341" s="11">
        <f t="shared" si="13"/>
        <v>124.101</v>
      </c>
      <c r="H341" s="11">
        <f>IFERROR(IF(Yearending&gt;B340,'5. Historical demand'!F341-'5. Historical demand'!C341-'5. Historical demand'!D341,""),"")</f>
        <v>16.050000000000011</v>
      </c>
      <c r="I341" s="11">
        <f t="shared" si="14"/>
        <v>108.05099999999999</v>
      </c>
    </row>
    <row r="342" spans="2:9" ht="13" x14ac:dyDescent="0.3">
      <c r="B342" s="192">
        <f t="shared" si="12"/>
        <v>45773</v>
      </c>
      <c r="C342" s="81">
        <v>147.94999999999999</v>
      </c>
      <c r="D342" s="81"/>
      <c r="E342" s="81">
        <v>59.484000000000002</v>
      </c>
      <c r="F342" s="81">
        <v>164</v>
      </c>
      <c r="G342" s="11">
        <f t="shared" si="13"/>
        <v>104.51599999999999</v>
      </c>
      <c r="H342" s="11">
        <f>IFERROR(IF(Yearending&gt;B341,'5. Historical demand'!F342-'5. Historical demand'!C342-'5. Historical demand'!D342,""),"")</f>
        <v>16.050000000000011</v>
      </c>
      <c r="I342" s="11">
        <f t="shared" si="14"/>
        <v>88.46599999999998</v>
      </c>
    </row>
    <row r="343" spans="2:9" ht="13" x14ac:dyDescent="0.3">
      <c r="B343" s="192">
        <f t="shared" si="12"/>
        <v>45774</v>
      </c>
      <c r="C343" s="81">
        <v>147.94999999999999</v>
      </c>
      <c r="D343" s="81"/>
      <c r="E343" s="81">
        <v>92.317999999999998</v>
      </c>
      <c r="F343" s="81">
        <v>164</v>
      </c>
      <c r="G343" s="11">
        <f t="shared" si="13"/>
        <v>71.682000000000002</v>
      </c>
      <c r="H343" s="11">
        <f>IFERROR(IF(Yearending&gt;B342,'5. Historical demand'!F343-'5. Historical demand'!C343-'5. Historical demand'!D343,""),"")</f>
        <v>16.050000000000011</v>
      </c>
      <c r="I343" s="11">
        <f t="shared" si="14"/>
        <v>55.631999999999991</v>
      </c>
    </row>
    <row r="344" spans="2:9" ht="13" x14ac:dyDescent="0.3">
      <c r="B344" s="192">
        <f t="shared" si="12"/>
        <v>45775</v>
      </c>
      <c r="C344" s="81">
        <v>147.94999999999999</v>
      </c>
      <c r="D344" s="81"/>
      <c r="E344" s="81">
        <v>84.05</v>
      </c>
      <c r="F344" s="81">
        <v>164</v>
      </c>
      <c r="G344" s="11">
        <f t="shared" si="13"/>
        <v>79.95</v>
      </c>
      <c r="H344" s="11">
        <f>IFERROR(IF(Yearending&gt;B343,'5. Historical demand'!F344-'5. Historical demand'!C344-'5. Historical demand'!D344,""),"")</f>
        <v>16.050000000000011</v>
      </c>
      <c r="I344" s="11">
        <f t="shared" si="14"/>
        <v>63.899999999999991</v>
      </c>
    </row>
    <row r="345" spans="2:9" ht="13" x14ac:dyDescent="0.3">
      <c r="B345" s="192">
        <f t="shared" si="12"/>
        <v>45776</v>
      </c>
      <c r="C345" s="81">
        <v>147.94999999999999</v>
      </c>
      <c r="D345" s="81"/>
      <c r="E345" s="81">
        <v>67.492999999999995</v>
      </c>
      <c r="F345" s="81">
        <v>164</v>
      </c>
      <c r="G345" s="11">
        <f t="shared" si="13"/>
        <v>96.507000000000005</v>
      </c>
      <c r="H345" s="11">
        <f>IFERROR(IF(Yearending&gt;B344,'5. Historical demand'!F345-'5. Historical demand'!C345-'5. Historical demand'!D345,""),"")</f>
        <v>16.050000000000011</v>
      </c>
      <c r="I345" s="11">
        <f t="shared" si="14"/>
        <v>80.456999999999994</v>
      </c>
    </row>
    <row r="346" spans="2:9" ht="13" x14ac:dyDescent="0.3">
      <c r="B346" s="192">
        <f t="shared" si="12"/>
        <v>45777</v>
      </c>
      <c r="C346" s="81">
        <v>147.94999999999999</v>
      </c>
      <c r="D346" s="81"/>
      <c r="E346" s="81">
        <v>78.259</v>
      </c>
      <c r="F346" s="81">
        <v>164</v>
      </c>
      <c r="G346" s="11">
        <f t="shared" si="13"/>
        <v>85.741</v>
      </c>
      <c r="H346" s="11">
        <f>IFERROR(IF(Yearending&gt;B345,'5. Historical demand'!F346-'5. Historical demand'!C346-'5. Historical demand'!D346,""),"")</f>
        <v>16.050000000000011</v>
      </c>
      <c r="I346" s="11">
        <f t="shared" si="14"/>
        <v>69.690999999999988</v>
      </c>
    </row>
    <row r="347" spans="2:9" ht="13" x14ac:dyDescent="0.3">
      <c r="B347" s="192">
        <f t="shared" si="12"/>
        <v>45778</v>
      </c>
      <c r="C347" s="81">
        <v>164</v>
      </c>
      <c r="D347" s="81"/>
      <c r="E347" s="81">
        <v>78.789000000000001</v>
      </c>
      <c r="F347" s="81">
        <v>164</v>
      </c>
      <c r="G347" s="11">
        <f t="shared" si="13"/>
        <v>85.210999999999999</v>
      </c>
      <c r="H347" s="11">
        <f>IFERROR(IF(Yearending&gt;B346,'5. Historical demand'!F347-'5. Historical demand'!C347-'5. Historical demand'!D347,""),"")</f>
        <v>0</v>
      </c>
      <c r="I347" s="11">
        <f t="shared" si="14"/>
        <v>85.210999999999999</v>
      </c>
    </row>
    <row r="348" spans="2:9" ht="13" x14ac:dyDescent="0.3">
      <c r="B348" s="192">
        <f t="shared" si="12"/>
        <v>45779</v>
      </c>
      <c r="C348" s="81">
        <v>164</v>
      </c>
      <c r="D348" s="81"/>
      <c r="E348" s="81">
        <v>72.552999999999997</v>
      </c>
      <c r="F348" s="81">
        <v>164</v>
      </c>
      <c r="G348" s="11">
        <f t="shared" si="13"/>
        <v>91.447000000000003</v>
      </c>
      <c r="H348" s="11">
        <f>IFERROR(IF(Yearending&gt;B347,'5. Historical demand'!F348-'5. Historical demand'!C348-'5. Historical demand'!D348,""),"")</f>
        <v>0</v>
      </c>
      <c r="I348" s="11">
        <f t="shared" si="14"/>
        <v>91.447000000000003</v>
      </c>
    </row>
    <row r="349" spans="2:9" ht="13" x14ac:dyDescent="0.3">
      <c r="B349" s="192">
        <f t="shared" si="12"/>
        <v>45780</v>
      </c>
      <c r="C349" s="81">
        <v>164</v>
      </c>
      <c r="D349" s="81"/>
      <c r="E349" s="81">
        <v>64.938999999999993</v>
      </c>
      <c r="F349" s="81">
        <v>164</v>
      </c>
      <c r="G349" s="11">
        <f t="shared" si="13"/>
        <v>99.061000000000007</v>
      </c>
      <c r="H349" s="11">
        <f>IFERROR(IF(Yearending&gt;B348,'5. Historical demand'!F349-'5. Historical demand'!C349-'5. Historical demand'!D349,""),"")</f>
        <v>0</v>
      </c>
      <c r="I349" s="11">
        <f t="shared" si="14"/>
        <v>99.061000000000007</v>
      </c>
    </row>
    <row r="350" spans="2:9" ht="13" x14ac:dyDescent="0.3">
      <c r="B350" s="192">
        <f t="shared" si="12"/>
        <v>45781</v>
      </c>
      <c r="C350" s="81">
        <v>164</v>
      </c>
      <c r="D350" s="81"/>
      <c r="E350" s="81">
        <v>45.252000000000002</v>
      </c>
      <c r="F350" s="81">
        <v>164</v>
      </c>
      <c r="G350" s="11">
        <f t="shared" si="13"/>
        <v>118.74799999999999</v>
      </c>
      <c r="H350" s="11">
        <f>IFERROR(IF(Yearending&gt;B349,'5. Historical demand'!F350-'5. Historical demand'!C350-'5. Historical demand'!D350,""),"")</f>
        <v>0</v>
      </c>
      <c r="I350" s="11">
        <f t="shared" si="14"/>
        <v>118.74799999999999</v>
      </c>
    </row>
    <row r="351" spans="2:9" ht="13" x14ac:dyDescent="0.3">
      <c r="B351" s="192">
        <f t="shared" si="12"/>
        <v>45782</v>
      </c>
      <c r="C351" s="81">
        <v>164</v>
      </c>
      <c r="D351" s="81"/>
      <c r="E351" s="81">
        <v>44.732999999999997</v>
      </c>
      <c r="F351" s="81">
        <v>164</v>
      </c>
      <c r="G351" s="11">
        <f t="shared" si="13"/>
        <v>119.267</v>
      </c>
      <c r="H351" s="11">
        <f>IFERROR(IF(Yearending&gt;B350,'5. Historical demand'!F351-'5. Historical demand'!C351-'5. Historical demand'!D351,""),"")</f>
        <v>0</v>
      </c>
      <c r="I351" s="11">
        <f t="shared" si="14"/>
        <v>119.267</v>
      </c>
    </row>
    <row r="352" spans="2:9" ht="13" x14ac:dyDescent="0.3">
      <c r="B352" s="192">
        <f t="shared" si="12"/>
        <v>45783</v>
      </c>
      <c r="C352" s="81">
        <v>164</v>
      </c>
      <c r="D352" s="81"/>
      <c r="E352" s="81">
        <v>46.762999999999998</v>
      </c>
      <c r="F352" s="81">
        <v>164</v>
      </c>
      <c r="G352" s="11">
        <f t="shared" si="13"/>
        <v>117.23699999999999</v>
      </c>
      <c r="H352" s="11">
        <f>IFERROR(IF(Yearending&gt;B351,'5. Historical demand'!F352-'5. Historical demand'!C352-'5. Historical demand'!D352,""),"")</f>
        <v>0</v>
      </c>
      <c r="I352" s="11">
        <f t="shared" si="14"/>
        <v>117.23699999999999</v>
      </c>
    </row>
    <row r="353" spans="2:9" ht="13" x14ac:dyDescent="0.3">
      <c r="B353" s="192">
        <f t="shared" si="12"/>
        <v>45784</v>
      </c>
      <c r="C353" s="81">
        <v>164</v>
      </c>
      <c r="D353" s="81"/>
      <c r="E353" s="81">
        <v>1.4059999999999999</v>
      </c>
      <c r="F353" s="81">
        <v>164</v>
      </c>
      <c r="G353" s="11">
        <f t="shared" si="13"/>
        <v>162.59399999999999</v>
      </c>
      <c r="H353" s="11">
        <f>IFERROR(IF(Yearending&gt;B352,'5. Historical demand'!F353-'5. Historical demand'!C353-'5. Historical demand'!D353,""),"")</f>
        <v>0</v>
      </c>
      <c r="I353" s="11">
        <f t="shared" si="14"/>
        <v>162.59399999999999</v>
      </c>
    </row>
    <row r="354" spans="2:9" ht="13" x14ac:dyDescent="0.3">
      <c r="B354" s="192">
        <f t="shared" si="12"/>
        <v>45785</v>
      </c>
      <c r="C354" s="81">
        <v>164</v>
      </c>
      <c r="D354" s="81"/>
      <c r="E354" s="81">
        <v>28.931999999999999</v>
      </c>
      <c r="F354" s="81">
        <v>164</v>
      </c>
      <c r="G354" s="11">
        <f t="shared" si="13"/>
        <v>135.06800000000001</v>
      </c>
      <c r="H354" s="11">
        <f>IFERROR(IF(Yearending&gt;B353,'5. Historical demand'!F354-'5. Historical demand'!C354-'5. Historical demand'!D354,""),"")</f>
        <v>0</v>
      </c>
      <c r="I354" s="11">
        <f t="shared" si="14"/>
        <v>135.06800000000001</v>
      </c>
    </row>
    <row r="355" spans="2:9" ht="13" x14ac:dyDescent="0.3">
      <c r="B355" s="192">
        <f t="shared" si="12"/>
        <v>45786</v>
      </c>
      <c r="C355" s="81">
        <v>164</v>
      </c>
      <c r="D355" s="81"/>
      <c r="E355" s="81">
        <v>47.273000000000003</v>
      </c>
      <c r="F355" s="81">
        <v>164</v>
      </c>
      <c r="G355" s="11">
        <f t="shared" si="13"/>
        <v>116.727</v>
      </c>
      <c r="H355" s="11">
        <f>IFERROR(IF(Yearending&gt;B354,'5. Historical demand'!F355-'5. Historical demand'!C355-'5. Historical demand'!D355,""),"")</f>
        <v>0</v>
      </c>
      <c r="I355" s="11">
        <f t="shared" si="14"/>
        <v>116.727</v>
      </c>
    </row>
    <row r="356" spans="2:9" ht="13" x14ac:dyDescent="0.3">
      <c r="B356" s="192">
        <f t="shared" si="12"/>
        <v>45787</v>
      </c>
      <c r="C356" s="81">
        <v>164</v>
      </c>
      <c r="D356" s="81"/>
      <c r="E356" s="81">
        <v>102.765</v>
      </c>
      <c r="F356" s="81">
        <v>164</v>
      </c>
      <c r="G356" s="11">
        <f t="shared" si="13"/>
        <v>61.234999999999999</v>
      </c>
      <c r="H356" s="11">
        <f>IFERROR(IF(Yearending&gt;B355,'5. Historical demand'!F356-'5. Historical demand'!C356-'5. Historical demand'!D356,""),"")</f>
        <v>0</v>
      </c>
      <c r="I356" s="11">
        <f t="shared" si="14"/>
        <v>61.234999999999999</v>
      </c>
    </row>
    <row r="357" spans="2:9" ht="13" x14ac:dyDescent="0.3">
      <c r="B357" s="192">
        <f t="shared" si="12"/>
        <v>45788</v>
      </c>
      <c r="C357" s="81">
        <v>164</v>
      </c>
      <c r="D357" s="81"/>
      <c r="E357" s="81">
        <v>113.771</v>
      </c>
      <c r="F357" s="81">
        <v>164</v>
      </c>
      <c r="G357" s="11">
        <f t="shared" si="13"/>
        <v>50.228999999999999</v>
      </c>
      <c r="H357" s="11">
        <f>IFERROR(IF(Yearending&gt;B356,'5. Historical demand'!F357-'5. Historical demand'!C357-'5. Historical demand'!D357,""),"")</f>
        <v>0</v>
      </c>
      <c r="I357" s="11">
        <f t="shared" si="14"/>
        <v>50.228999999999999</v>
      </c>
    </row>
    <row r="358" spans="2:9" ht="13" x14ac:dyDescent="0.3">
      <c r="B358" s="192">
        <f t="shared" si="12"/>
        <v>45789</v>
      </c>
      <c r="C358" s="81">
        <v>164</v>
      </c>
      <c r="D358" s="81"/>
      <c r="E358" s="81">
        <v>105.32899999999999</v>
      </c>
      <c r="F358" s="81">
        <v>164</v>
      </c>
      <c r="G358" s="11">
        <f t="shared" si="13"/>
        <v>58.671000000000006</v>
      </c>
      <c r="H358" s="11">
        <f>IFERROR(IF(Yearending&gt;B357,'5. Historical demand'!F358-'5. Historical demand'!C358-'5. Historical demand'!D358,""),"")</f>
        <v>0</v>
      </c>
      <c r="I358" s="11">
        <f t="shared" si="14"/>
        <v>58.671000000000006</v>
      </c>
    </row>
    <row r="359" spans="2:9" ht="13" x14ac:dyDescent="0.3">
      <c r="B359" s="192">
        <f t="shared" si="12"/>
        <v>45790</v>
      </c>
      <c r="C359" s="81">
        <v>164</v>
      </c>
      <c r="D359" s="81"/>
      <c r="E359" s="81">
        <v>92.703999999999994</v>
      </c>
      <c r="F359" s="81">
        <v>164</v>
      </c>
      <c r="G359" s="11">
        <f t="shared" si="13"/>
        <v>71.296000000000006</v>
      </c>
      <c r="H359" s="11">
        <f>IFERROR(IF(Yearending&gt;B358,'5. Historical demand'!F359-'5. Historical demand'!C359-'5. Historical demand'!D359,""),"")</f>
        <v>0</v>
      </c>
      <c r="I359" s="11">
        <f t="shared" si="14"/>
        <v>71.296000000000006</v>
      </c>
    </row>
    <row r="360" spans="2:9" ht="13" x14ac:dyDescent="0.3">
      <c r="B360" s="192">
        <f t="shared" si="12"/>
        <v>45791</v>
      </c>
      <c r="C360" s="81">
        <v>164</v>
      </c>
      <c r="D360" s="81"/>
      <c r="E360" s="81">
        <v>72.588999999999999</v>
      </c>
      <c r="F360" s="81">
        <v>164</v>
      </c>
      <c r="G360" s="11">
        <f t="shared" si="13"/>
        <v>91.411000000000001</v>
      </c>
      <c r="H360" s="11">
        <f>IFERROR(IF(Yearending&gt;B359,'5. Historical demand'!F360-'5. Historical demand'!C360-'5. Historical demand'!D360,""),"")</f>
        <v>0</v>
      </c>
      <c r="I360" s="11">
        <f t="shared" si="14"/>
        <v>91.411000000000001</v>
      </c>
    </row>
    <row r="361" spans="2:9" ht="13" x14ac:dyDescent="0.3">
      <c r="B361" s="192">
        <f t="shared" si="12"/>
        <v>45792</v>
      </c>
      <c r="C361" s="81">
        <v>164</v>
      </c>
      <c r="D361" s="81"/>
      <c r="E361" s="81">
        <v>4.0540000000000003</v>
      </c>
      <c r="F361" s="81">
        <v>164</v>
      </c>
      <c r="G361" s="11">
        <f t="shared" si="13"/>
        <v>159.946</v>
      </c>
      <c r="H361" s="11">
        <f>IFERROR(IF(Yearending&gt;B360,'5. Historical demand'!F361-'5. Historical demand'!C361-'5. Historical demand'!D361,""),"")</f>
        <v>0</v>
      </c>
      <c r="I361" s="11">
        <f t="shared" si="14"/>
        <v>159.946</v>
      </c>
    </row>
    <row r="362" spans="2:9" ht="13" x14ac:dyDescent="0.3">
      <c r="B362" s="192">
        <f t="shared" si="12"/>
        <v>45793</v>
      </c>
      <c r="C362" s="81">
        <v>164</v>
      </c>
      <c r="D362" s="81"/>
      <c r="E362" s="81">
        <v>154.649</v>
      </c>
      <c r="F362" s="81">
        <v>164</v>
      </c>
      <c r="G362" s="11">
        <f t="shared" si="13"/>
        <v>9.3509999999999991</v>
      </c>
      <c r="H362" s="11">
        <f>IFERROR(IF(Yearending&gt;B361,'5. Historical demand'!F362-'5. Historical demand'!C362-'5. Historical demand'!D362,""),"")</f>
        <v>0</v>
      </c>
      <c r="I362" s="11">
        <f t="shared" si="14"/>
        <v>9.3509999999999991</v>
      </c>
    </row>
    <row r="363" spans="2:9" ht="13" x14ac:dyDescent="0.3">
      <c r="B363" s="192">
        <f t="shared" si="12"/>
        <v>45794</v>
      </c>
      <c r="C363" s="81">
        <v>164</v>
      </c>
      <c r="D363" s="81"/>
      <c r="E363" s="81">
        <v>162.90100000000001</v>
      </c>
      <c r="F363" s="81">
        <v>164</v>
      </c>
      <c r="G363" s="11">
        <f t="shared" si="13"/>
        <v>1.0989999999999895</v>
      </c>
      <c r="H363" s="11">
        <f>IFERROR(IF(Yearending&gt;B362,'5. Historical demand'!F363-'5. Historical demand'!C363-'5. Historical demand'!D363,""),"")</f>
        <v>0</v>
      </c>
      <c r="I363" s="11">
        <f t="shared" si="14"/>
        <v>1.0989999999999895</v>
      </c>
    </row>
    <row r="364" spans="2:9" ht="13" x14ac:dyDescent="0.3">
      <c r="B364" s="192">
        <f t="shared" ref="B364:B408" si="15">IFERROR(IF(Yearending&gt;B363, B363+1, ""),"")</f>
        <v>45795</v>
      </c>
      <c r="C364" s="81">
        <v>164</v>
      </c>
      <c r="D364" s="81"/>
      <c r="E364" s="81">
        <v>157.29300000000001</v>
      </c>
      <c r="F364" s="81">
        <v>164</v>
      </c>
      <c r="G364" s="11">
        <f t="shared" ref="G364:G408" si="16">IFERROR(IF(Yearending&gt;B363,F364-E364,""),"")</f>
        <v>6.7069999999999936</v>
      </c>
      <c r="H364" s="11">
        <f>IFERROR(IF(Yearending&gt;B363,'5. Historical demand'!F364-'5. Historical demand'!C364-'5. Historical demand'!D364,""),"")</f>
        <v>0</v>
      </c>
      <c r="I364" s="11">
        <f t="shared" ref="I364:I408" si="17">IFERROR(IF(Yearending&gt;B363,C364+D364-E364,""),"")</f>
        <v>6.7069999999999936</v>
      </c>
    </row>
    <row r="365" spans="2:9" ht="13" x14ac:dyDescent="0.3">
      <c r="B365" s="192">
        <f t="shared" si="15"/>
        <v>45796</v>
      </c>
      <c r="C365" s="81">
        <v>164</v>
      </c>
      <c r="D365" s="81"/>
      <c r="E365" s="81">
        <v>161.065</v>
      </c>
      <c r="F365" s="81">
        <v>164</v>
      </c>
      <c r="G365" s="11">
        <f t="shared" si="16"/>
        <v>2.9350000000000023</v>
      </c>
      <c r="H365" s="11">
        <f>IFERROR(IF(Yearending&gt;B364,'5. Historical demand'!F365-'5. Historical demand'!C365-'5. Historical demand'!D365,""),"")</f>
        <v>0</v>
      </c>
      <c r="I365" s="11">
        <f t="shared" si="17"/>
        <v>2.9350000000000023</v>
      </c>
    </row>
    <row r="366" spans="2:9" ht="13" x14ac:dyDescent="0.3">
      <c r="B366" s="192">
        <f t="shared" si="15"/>
        <v>45797</v>
      </c>
      <c r="C366" s="81">
        <v>164</v>
      </c>
      <c r="D366" s="81"/>
      <c r="E366" s="81">
        <v>160.214</v>
      </c>
      <c r="F366" s="81">
        <v>164</v>
      </c>
      <c r="G366" s="11">
        <f t="shared" si="16"/>
        <v>3.7860000000000014</v>
      </c>
      <c r="H366" s="11">
        <f>IFERROR(IF(Yearending&gt;B365,'5. Historical demand'!F366-'5. Historical demand'!C366-'5. Historical demand'!D366,""),"")</f>
        <v>0</v>
      </c>
      <c r="I366" s="11">
        <f t="shared" si="17"/>
        <v>3.7860000000000014</v>
      </c>
    </row>
    <row r="367" spans="2:9" ht="13" x14ac:dyDescent="0.3">
      <c r="B367" s="192">
        <f t="shared" si="15"/>
        <v>45798</v>
      </c>
      <c r="C367" s="81">
        <v>164</v>
      </c>
      <c r="D367" s="81"/>
      <c r="E367" s="81">
        <v>161.59</v>
      </c>
      <c r="F367" s="81">
        <v>164</v>
      </c>
      <c r="G367" s="11">
        <f t="shared" si="16"/>
        <v>2.4099999999999966</v>
      </c>
      <c r="H367" s="11">
        <f>IFERROR(IF(Yearending&gt;B366,'5. Historical demand'!F367-'5. Historical demand'!C367-'5. Historical demand'!D367,""),"")</f>
        <v>0</v>
      </c>
      <c r="I367" s="11">
        <f t="shared" si="17"/>
        <v>2.4099999999999966</v>
      </c>
    </row>
    <row r="368" spans="2:9" ht="13" x14ac:dyDescent="0.3">
      <c r="B368" s="192">
        <f t="shared" si="15"/>
        <v>45799</v>
      </c>
      <c r="C368" s="81">
        <v>164</v>
      </c>
      <c r="D368" s="81"/>
      <c r="E368" s="81">
        <v>163.66999999999999</v>
      </c>
      <c r="F368" s="81">
        <v>164</v>
      </c>
      <c r="G368" s="11">
        <f t="shared" si="16"/>
        <v>0.33000000000001251</v>
      </c>
      <c r="H368" s="11">
        <f>IFERROR(IF(Yearending&gt;B367,'5. Historical demand'!F368-'5. Historical demand'!C368-'5. Historical demand'!D368,""),"")</f>
        <v>0</v>
      </c>
      <c r="I368" s="11">
        <f t="shared" si="17"/>
        <v>0.33000000000001251</v>
      </c>
    </row>
    <row r="369" spans="2:9" ht="13" x14ac:dyDescent="0.3">
      <c r="B369" s="192">
        <f t="shared" si="15"/>
        <v>45800</v>
      </c>
      <c r="C369" s="81">
        <v>164</v>
      </c>
      <c r="D369" s="81"/>
      <c r="E369" s="81">
        <v>121.17700000000001</v>
      </c>
      <c r="F369" s="81">
        <v>164</v>
      </c>
      <c r="G369" s="11">
        <f t="shared" si="16"/>
        <v>42.822999999999993</v>
      </c>
      <c r="H369" s="11">
        <f>IFERROR(IF(Yearending&gt;B368,'5. Historical demand'!F369-'5. Historical demand'!C369-'5. Historical demand'!D369,""),"")</f>
        <v>0</v>
      </c>
      <c r="I369" s="11">
        <f t="shared" si="17"/>
        <v>42.822999999999993</v>
      </c>
    </row>
    <row r="370" spans="2:9" ht="13" x14ac:dyDescent="0.3">
      <c r="B370" s="192">
        <f t="shared" si="15"/>
        <v>45801</v>
      </c>
      <c r="C370" s="81">
        <v>164</v>
      </c>
      <c r="D370" s="81"/>
      <c r="E370" s="81">
        <v>160.07400000000001</v>
      </c>
      <c r="F370" s="81">
        <v>164</v>
      </c>
      <c r="G370" s="11">
        <f t="shared" si="16"/>
        <v>3.9259999999999877</v>
      </c>
      <c r="H370" s="11">
        <f>IFERROR(IF(Yearending&gt;B369,'5. Historical demand'!F370-'5. Historical demand'!C370-'5. Historical demand'!D370,""),"")</f>
        <v>0</v>
      </c>
      <c r="I370" s="11">
        <f t="shared" si="17"/>
        <v>3.9259999999999877</v>
      </c>
    </row>
    <row r="371" spans="2:9" ht="13" x14ac:dyDescent="0.3">
      <c r="B371" s="192">
        <f t="shared" si="15"/>
        <v>45802</v>
      </c>
      <c r="C371" s="81">
        <v>164</v>
      </c>
      <c r="D371" s="81"/>
      <c r="E371" s="81">
        <v>163.74199999999999</v>
      </c>
      <c r="F371" s="81">
        <v>164</v>
      </c>
      <c r="G371" s="11">
        <f t="shared" si="16"/>
        <v>0.25800000000000978</v>
      </c>
      <c r="H371" s="11">
        <f>IFERROR(IF(Yearending&gt;B370,'5. Historical demand'!F371-'5. Historical demand'!C371-'5. Historical demand'!D371,""),"")</f>
        <v>0</v>
      </c>
      <c r="I371" s="11">
        <f t="shared" si="17"/>
        <v>0.25800000000000978</v>
      </c>
    </row>
    <row r="372" spans="2:9" ht="13" x14ac:dyDescent="0.3">
      <c r="B372" s="192">
        <f t="shared" si="15"/>
        <v>45803</v>
      </c>
      <c r="C372" s="81">
        <v>164</v>
      </c>
      <c r="D372" s="81"/>
      <c r="E372" s="81">
        <v>136.45099999999999</v>
      </c>
      <c r="F372" s="81">
        <v>164</v>
      </c>
      <c r="G372" s="11">
        <f t="shared" si="16"/>
        <v>27.549000000000007</v>
      </c>
      <c r="H372" s="11">
        <f>IFERROR(IF(Yearending&gt;B371,'5. Historical demand'!F372-'5. Historical demand'!C372-'5. Historical demand'!D372,""),"")</f>
        <v>0</v>
      </c>
      <c r="I372" s="11">
        <f t="shared" si="17"/>
        <v>27.549000000000007</v>
      </c>
    </row>
    <row r="373" spans="2:9" ht="13" x14ac:dyDescent="0.3">
      <c r="B373" s="192">
        <f t="shared" si="15"/>
        <v>45804</v>
      </c>
      <c r="C373" s="81">
        <v>164</v>
      </c>
      <c r="D373" s="81"/>
      <c r="E373" s="81">
        <v>154.886</v>
      </c>
      <c r="F373" s="81">
        <v>164</v>
      </c>
      <c r="G373" s="11">
        <f t="shared" si="16"/>
        <v>9.1140000000000043</v>
      </c>
      <c r="H373" s="11">
        <f>IFERROR(IF(Yearending&gt;B372,'5. Historical demand'!F373-'5. Historical demand'!C373-'5. Historical demand'!D373,""),"")</f>
        <v>0</v>
      </c>
      <c r="I373" s="11">
        <f t="shared" si="17"/>
        <v>9.1140000000000043</v>
      </c>
    </row>
    <row r="374" spans="2:9" ht="13" x14ac:dyDescent="0.3">
      <c r="B374" s="192">
        <f t="shared" si="15"/>
        <v>45805</v>
      </c>
      <c r="C374" s="81">
        <v>164</v>
      </c>
      <c r="D374" s="81"/>
      <c r="E374" s="81">
        <v>162.89400000000001</v>
      </c>
      <c r="F374" s="81">
        <v>164</v>
      </c>
      <c r="G374" s="11">
        <f t="shared" si="16"/>
        <v>1.1059999999999945</v>
      </c>
      <c r="H374" s="11">
        <f>IFERROR(IF(Yearending&gt;B373,'5. Historical demand'!F374-'5. Historical demand'!C374-'5. Historical demand'!D374,""),"")</f>
        <v>0</v>
      </c>
      <c r="I374" s="11">
        <f t="shared" si="17"/>
        <v>1.1059999999999945</v>
      </c>
    </row>
    <row r="375" spans="2:9" ht="13" x14ac:dyDescent="0.3">
      <c r="B375" s="192">
        <f t="shared" si="15"/>
        <v>45806</v>
      </c>
      <c r="C375" s="81">
        <v>164</v>
      </c>
      <c r="D375" s="81"/>
      <c r="E375" s="81">
        <v>165.114</v>
      </c>
      <c r="F375" s="81">
        <v>164</v>
      </c>
      <c r="G375" s="11">
        <f t="shared" si="16"/>
        <v>-1.1140000000000043</v>
      </c>
      <c r="H375" s="11">
        <f>IFERROR(IF(Yearending&gt;B374,'5. Historical demand'!F375-'5. Historical demand'!C375-'5. Historical demand'!D375,""),"")</f>
        <v>0</v>
      </c>
      <c r="I375" s="11">
        <f t="shared" si="17"/>
        <v>-1.1140000000000043</v>
      </c>
    </row>
    <row r="376" spans="2:9" ht="13" x14ac:dyDescent="0.3">
      <c r="B376" s="192">
        <f t="shared" si="15"/>
        <v>45807</v>
      </c>
      <c r="C376" s="81">
        <v>164</v>
      </c>
      <c r="D376" s="81"/>
      <c r="E376" s="81">
        <v>163.68</v>
      </c>
      <c r="F376" s="81">
        <v>164</v>
      </c>
      <c r="G376" s="11">
        <f t="shared" si="16"/>
        <v>0.31999999999999318</v>
      </c>
      <c r="H376" s="11">
        <f>IFERROR(IF(Yearending&gt;B375,'5. Historical demand'!F376-'5. Historical demand'!C376-'5. Historical demand'!D376,""),"")</f>
        <v>0</v>
      </c>
      <c r="I376" s="11">
        <f t="shared" si="17"/>
        <v>0.31999999999999318</v>
      </c>
    </row>
    <row r="377" spans="2:9" ht="13" x14ac:dyDescent="0.3">
      <c r="B377" s="192">
        <f t="shared" si="15"/>
        <v>45808</v>
      </c>
      <c r="C377" s="81">
        <v>164</v>
      </c>
      <c r="D377" s="81"/>
      <c r="E377" s="81">
        <v>164.09</v>
      </c>
      <c r="F377" s="81">
        <v>164</v>
      </c>
      <c r="G377" s="11">
        <f t="shared" si="16"/>
        <v>-9.0000000000003411E-2</v>
      </c>
      <c r="H377" s="11">
        <f>IFERROR(IF(Yearending&gt;B376,'5. Historical demand'!F377-'5. Historical demand'!C377-'5. Historical demand'!D377,""),"")</f>
        <v>0</v>
      </c>
      <c r="I377" s="11">
        <f t="shared" si="17"/>
        <v>-9.0000000000003411E-2</v>
      </c>
    </row>
    <row r="378" spans="2:9" ht="13" x14ac:dyDescent="0.3">
      <c r="B378" s="192">
        <f t="shared" si="15"/>
        <v>45809</v>
      </c>
      <c r="C378" s="81">
        <v>164</v>
      </c>
      <c r="D378" s="81"/>
      <c r="E378" s="81">
        <v>140.76499999999999</v>
      </c>
      <c r="F378" s="81">
        <v>164</v>
      </c>
      <c r="G378" s="11">
        <f t="shared" si="16"/>
        <v>23.235000000000014</v>
      </c>
      <c r="H378" s="11">
        <f>IFERROR(IF(Yearending&gt;B377,'5. Historical demand'!F378-'5. Historical demand'!C378-'5. Historical demand'!D378,""),"")</f>
        <v>0</v>
      </c>
      <c r="I378" s="11">
        <f t="shared" si="17"/>
        <v>23.235000000000014</v>
      </c>
    </row>
    <row r="379" spans="2:9" ht="13" x14ac:dyDescent="0.3">
      <c r="B379" s="192">
        <f t="shared" si="15"/>
        <v>45810</v>
      </c>
      <c r="C379" s="81">
        <v>164</v>
      </c>
      <c r="D379" s="81"/>
      <c r="E379" s="81">
        <v>163.27199999999999</v>
      </c>
      <c r="F379" s="81">
        <v>164</v>
      </c>
      <c r="G379" s="11">
        <f t="shared" si="16"/>
        <v>0.72800000000000864</v>
      </c>
      <c r="H379" s="11">
        <f>IFERROR(IF(Yearending&gt;B378,'5. Historical demand'!F379-'5. Historical demand'!C379-'5. Historical demand'!D379,""),"")</f>
        <v>0</v>
      </c>
      <c r="I379" s="11">
        <f t="shared" si="17"/>
        <v>0.72800000000000864</v>
      </c>
    </row>
    <row r="380" spans="2:9" ht="13" x14ac:dyDescent="0.3">
      <c r="B380" s="192">
        <f t="shared" si="15"/>
        <v>45811</v>
      </c>
      <c r="C380" s="81">
        <v>164</v>
      </c>
      <c r="D380" s="81"/>
      <c r="E380" s="81">
        <v>164.119</v>
      </c>
      <c r="F380" s="81">
        <v>164</v>
      </c>
      <c r="G380" s="11">
        <f t="shared" si="16"/>
        <v>-0.11899999999999977</v>
      </c>
      <c r="H380" s="11">
        <f>IFERROR(IF(Yearending&gt;B379,'5. Historical demand'!F380-'5. Historical demand'!C380-'5. Historical demand'!D380,""),"")</f>
        <v>0</v>
      </c>
      <c r="I380" s="11">
        <f t="shared" si="17"/>
        <v>-0.11899999999999977</v>
      </c>
    </row>
    <row r="381" spans="2:9" ht="13" x14ac:dyDescent="0.3">
      <c r="B381" s="192">
        <f t="shared" si="15"/>
        <v>45812</v>
      </c>
      <c r="C381" s="81">
        <v>164</v>
      </c>
      <c r="D381" s="81"/>
      <c r="E381" s="81">
        <v>163.85400000000001</v>
      </c>
      <c r="F381" s="81">
        <v>164</v>
      </c>
      <c r="G381" s="11">
        <f t="shared" si="16"/>
        <v>0.14599999999998658</v>
      </c>
      <c r="H381" s="11">
        <f>IFERROR(IF(Yearending&gt;B380,'5. Historical demand'!F381-'5. Historical demand'!C381-'5. Historical demand'!D381,""),"")</f>
        <v>0</v>
      </c>
      <c r="I381" s="11">
        <f t="shared" si="17"/>
        <v>0.14599999999998658</v>
      </c>
    </row>
    <row r="382" spans="2:9" ht="13" x14ac:dyDescent="0.3">
      <c r="B382" s="192">
        <f t="shared" si="15"/>
        <v>45813</v>
      </c>
      <c r="C382" s="81">
        <v>164</v>
      </c>
      <c r="D382" s="81"/>
      <c r="E382" s="81">
        <v>164.017</v>
      </c>
      <c r="F382" s="81">
        <v>164</v>
      </c>
      <c r="G382" s="11">
        <f t="shared" si="16"/>
        <v>-1.6999999999995907E-2</v>
      </c>
      <c r="H382" s="11">
        <f>IFERROR(IF(Yearending&gt;B381,'5. Historical demand'!F382-'5. Historical demand'!C382-'5. Historical demand'!D382,""),"")</f>
        <v>0</v>
      </c>
      <c r="I382" s="11">
        <f t="shared" si="17"/>
        <v>-1.6999999999995907E-2</v>
      </c>
    </row>
    <row r="383" spans="2:9" ht="13" x14ac:dyDescent="0.3">
      <c r="B383" s="192">
        <f t="shared" si="15"/>
        <v>45814</v>
      </c>
      <c r="C383" s="81">
        <v>164</v>
      </c>
      <c r="D383" s="81"/>
      <c r="E383" s="81">
        <v>163.94499999999999</v>
      </c>
      <c r="F383" s="81">
        <v>164</v>
      </c>
      <c r="G383" s="11">
        <f t="shared" si="16"/>
        <v>5.5000000000006821E-2</v>
      </c>
      <c r="H383" s="11">
        <f>IFERROR(IF(Yearending&gt;B382,'5. Historical demand'!F383-'5. Historical demand'!C383-'5. Historical demand'!D383,""),"")</f>
        <v>0</v>
      </c>
      <c r="I383" s="11">
        <f t="shared" si="17"/>
        <v>5.5000000000006821E-2</v>
      </c>
    </row>
    <row r="384" spans="2:9" ht="13" x14ac:dyDescent="0.3">
      <c r="B384" s="192">
        <f t="shared" si="15"/>
        <v>45815</v>
      </c>
      <c r="C384" s="81">
        <v>164</v>
      </c>
      <c r="D384" s="81"/>
      <c r="E384" s="81">
        <v>162.28200000000001</v>
      </c>
      <c r="F384" s="81">
        <v>164</v>
      </c>
      <c r="G384" s="11">
        <f t="shared" si="16"/>
        <v>1.7179999999999893</v>
      </c>
      <c r="H384" s="11">
        <f>IFERROR(IF(Yearending&gt;B383,'5. Historical demand'!F384-'5. Historical demand'!C384-'5. Historical demand'!D384,""),"")</f>
        <v>0</v>
      </c>
      <c r="I384" s="11">
        <f t="shared" si="17"/>
        <v>1.7179999999999893</v>
      </c>
    </row>
    <row r="385" spans="2:9" ht="13" x14ac:dyDescent="0.3">
      <c r="B385" s="192">
        <f t="shared" si="15"/>
        <v>45816</v>
      </c>
      <c r="C385" s="81">
        <v>164</v>
      </c>
      <c r="D385" s="81"/>
      <c r="E385" s="81">
        <v>163.39699999999999</v>
      </c>
      <c r="F385" s="81">
        <v>164</v>
      </c>
      <c r="G385" s="11">
        <f t="shared" si="16"/>
        <v>0.60300000000000864</v>
      </c>
      <c r="H385" s="11">
        <f>IFERROR(IF(Yearending&gt;B384,'5. Historical demand'!F385-'5. Historical demand'!C385-'5. Historical demand'!D385,""),"")</f>
        <v>0</v>
      </c>
      <c r="I385" s="11">
        <f t="shared" si="17"/>
        <v>0.60300000000000864</v>
      </c>
    </row>
    <row r="386" spans="2:9" ht="13" x14ac:dyDescent="0.3">
      <c r="B386" s="192">
        <f t="shared" si="15"/>
        <v>45817</v>
      </c>
      <c r="C386" s="81">
        <v>164</v>
      </c>
      <c r="D386" s="81"/>
      <c r="E386" s="81">
        <v>163.37700000000001</v>
      </c>
      <c r="F386" s="81">
        <v>164</v>
      </c>
      <c r="G386" s="11">
        <f t="shared" si="16"/>
        <v>0.62299999999999045</v>
      </c>
      <c r="H386" s="11">
        <f>IFERROR(IF(Yearending&gt;B385,'5. Historical demand'!F386-'5. Historical demand'!C386-'5. Historical demand'!D386,""),"")</f>
        <v>0</v>
      </c>
      <c r="I386" s="11">
        <f t="shared" si="17"/>
        <v>0.62299999999999045</v>
      </c>
    </row>
    <row r="387" spans="2:9" ht="13" x14ac:dyDescent="0.3">
      <c r="B387" s="192">
        <f t="shared" si="15"/>
        <v>45818</v>
      </c>
      <c r="C387" s="81">
        <v>164</v>
      </c>
      <c r="D387" s="81"/>
      <c r="E387" s="81">
        <v>163.59200000000001</v>
      </c>
      <c r="F387" s="81">
        <v>164</v>
      </c>
      <c r="G387" s="11">
        <f t="shared" si="16"/>
        <v>0.40799999999998704</v>
      </c>
      <c r="H387" s="11">
        <f>IFERROR(IF(Yearending&gt;B386,'5. Historical demand'!F387-'5. Historical demand'!C387-'5. Historical demand'!D387,""),"")</f>
        <v>0</v>
      </c>
      <c r="I387" s="11">
        <f t="shared" si="17"/>
        <v>0.40799999999998704</v>
      </c>
    </row>
    <row r="388" spans="2:9" ht="13" x14ac:dyDescent="0.3">
      <c r="B388" s="192">
        <f t="shared" si="15"/>
        <v>45819</v>
      </c>
      <c r="C388" s="81">
        <v>164</v>
      </c>
      <c r="D388" s="81"/>
      <c r="E388" s="81">
        <v>164.06399999999999</v>
      </c>
      <c r="F388" s="81">
        <v>164</v>
      </c>
      <c r="G388" s="11">
        <f t="shared" si="16"/>
        <v>-6.3999999999992951E-2</v>
      </c>
      <c r="H388" s="11">
        <f>IFERROR(IF(Yearending&gt;B387,'5. Historical demand'!F388-'5. Historical demand'!C388-'5. Historical demand'!D388,""),"")</f>
        <v>0</v>
      </c>
      <c r="I388" s="11">
        <f t="shared" si="17"/>
        <v>-6.3999999999992951E-2</v>
      </c>
    </row>
    <row r="389" spans="2:9" ht="13" x14ac:dyDescent="0.3">
      <c r="B389" s="192">
        <f t="shared" si="15"/>
        <v>45820</v>
      </c>
      <c r="C389" s="81">
        <v>164</v>
      </c>
      <c r="D389" s="81"/>
      <c r="E389" s="81">
        <v>113.051</v>
      </c>
      <c r="F389" s="81">
        <v>164</v>
      </c>
      <c r="G389" s="11">
        <f t="shared" si="16"/>
        <v>50.948999999999998</v>
      </c>
      <c r="H389" s="11">
        <f>IFERROR(IF(Yearending&gt;B388,'5. Historical demand'!F389-'5. Historical demand'!C389-'5. Historical demand'!D389,""),"")</f>
        <v>0</v>
      </c>
      <c r="I389" s="11">
        <f t="shared" si="17"/>
        <v>50.948999999999998</v>
      </c>
    </row>
    <row r="390" spans="2:9" ht="13" x14ac:dyDescent="0.3">
      <c r="B390" s="192">
        <f t="shared" si="15"/>
        <v>45821</v>
      </c>
      <c r="C390" s="81">
        <v>164</v>
      </c>
      <c r="D390" s="81"/>
      <c r="E390" s="81">
        <v>129.458</v>
      </c>
      <c r="F390" s="81">
        <v>164</v>
      </c>
      <c r="G390" s="11">
        <f t="shared" si="16"/>
        <v>34.542000000000002</v>
      </c>
      <c r="H390" s="11">
        <f>IFERROR(IF(Yearending&gt;B389,'5. Historical demand'!F390-'5. Historical demand'!C390-'5. Historical demand'!D390,""),"")</f>
        <v>0</v>
      </c>
      <c r="I390" s="11">
        <f t="shared" si="17"/>
        <v>34.542000000000002</v>
      </c>
    </row>
    <row r="391" spans="2:9" ht="13" x14ac:dyDescent="0.3">
      <c r="B391" s="192">
        <f t="shared" si="15"/>
        <v>45822</v>
      </c>
      <c r="C391" s="81">
        <v>164</v>
      </c>
      <c r="D391" s="81"/>
      <c r="E391" s="81">
        <v>114.562</v>
      </c>
      <c r="F391" s="81">
        <v>164</v>
      </c>
      <c r="G391" s="11">
        <f t="shared" si="16"/>
        <v>49.438000000000002</v>
      </c>
      <c r="H391" s="11">
        <f>IFERROR(IF(Yearending&gt;B390,'5. Historical demand'!F391-'5. Historical demand'!C391-'5. Historical demand'!D391,""),"")</f>
        <v>0</v>
      </c>
      <c r="I391" s="11">
        <f t="shared" si="17"/>
        <v>49.438000000000002</v>
      </c>
    </row>
    <row r="392" spans="2:9" ht="13" x14ac:dyDescent="0.3">
      <c r="B392" s="192">
        <f t="shared" si="15"/>
        <v>45823</v>
      </c>
      <c r="C392" s="81">
        <v>164</v>
      </c>
      <c r="D392" s="81"/>
      <c r="E392" s="81">
        <v>85.718999999999994</v>
      </c>
      <c r="F392" s="81">
        <v>164</v>
      </c>
      <c r="G392" s="11">
        <f t="shared" si="16"/>
        <v>78.281000000000006</v>
      </c>
      <c r="H392" s="11">
        <f>IFERROR(IF(Yearending&gt;B391,'5. Historical demand'!F392-'5. Historical demand'!C392-'5. Historical demand'!D392,""),"")</f>
        <v>0</v>
      </c>
      <c r="I392" s="11">
        <f t="shared" si="17"/>
        <v>78.281000000000006</v>
      </c>
    </row>
    <row r="393" spans="2:9" ht="13" x14ac:dyDescent="0.3">
      <c r="B393" s="192">
        <f t="shared" si="15"/>
        <v>45824</v>
      </c>
      <c r="C393" s="81">
        <v>164</v>
      </c>
      <c r="D393" s="81"/>
      <c r="E393" s="81">
        <v>63.012</v>
      </c>
      <c r="F393" s="81">
        <v>164</v>
      </c>
      <c r="G393" s="11">
        <f t="shared" si="16"/>
        <v>100.988</v>
      </c>
      <c r="H393" s="11">
        <f>IFERROR(IF(Yearending&gt;B392,'5. Historical demand'!F393-'5. Historical demand'!C393-'5. Historical demand'!D393,""),"")</f>
        <v>0</v>
      </c>
      <c r="I393" s="11">
        <f t="shared" si="17"/>
        <v>100.988</v>
      </c>
    </row>
    <row r="394" spans="2:9" ht="13" x14ac:dyDescent="0.3">
      <c r="B394" s="192">
        <f t="shared" si="15"/>
        <v>45825</v>
      </c>
      <c r="C394" s="81">
        <v>164</v>
      </c>
      <c r="D394" s="81"/>
      <c r="E394" s="81">
        <v>77.108000000000004</v>
      </c>
      <c r="F394" s="81">
        <v>164</v>
      </c>
      <c r="G394" s="11">
        <f t="shared" si="16"/>
        <v>86.891999999999996</v>
      </c>
      <c r="H394" s="11">
        <f>IFERROR(IF(Yearending&gt;B393,'5. Historical demand'!F394-'5. Historical demand'!C394-'5. Historical demand'!D394,""),"")</f>
        <v>0</v>
      </c>
      <c r="I394" s="11">
        <f t="shared" si="17"/>
        <v>86.891999999999996</v>
      </c>
    </row>
    <row r="395" spans="2:9" ht="13" x14ac:dyDescent="0.3">
      <c r="B395" s="192">
        <f t="shared" si="15"/>
        <v>45826</v>
      </c>
      <c r="C395" s="81">
        <v>164</v>
      </c>
      <c r="D395" s="81"/>
      <c r="E395" s="81">
        <v>118.95099999999999</v>
      </c>
      <c r="F395" s="81">
        <v>164</v>
      </c>
      <c r="G395" s="11">
        <f t="shared" si="16"/>
        <v>45.049000000000007</v>
      </c>
      <c r="H395" s="11">
        <f>IFERROR(IF(Yearending&gt;B394,'5. Historical demand'!F395-'5. Historical demand'!C395-'5. Historical demand'!D395,""),"")</f>
        <v>0</v>
      </c>
      <c r="I395" s="11">
        <f t="shared" si="17"/>
        <v>45.049000000000007</v>
      </c>
    </row>
    <row r="396" spans="2:9" ht="13" x14ac:dyDescent="0.3">
      <c r="B396" s="192">
        <f t="shared" si="15"/>
        <v>45827</v>
      </c>
      <c r="C396" s="81">
        <v>164</v>
      </c>
      <c r="D396" s="81"/>
      <c r="E396" s="81">
        <v>70.8</v>
      </c>
      <c r="F396" s="81">
        <v>164</v>
      </c>
      <c r="G396" s="11">
        <f t="shared" si="16"/>
        <v>93.2</v>
      </c>
      <c r="H396" s="11">
        <f>IFERROR(IF(Yearending&gt;B395,'5. Historical demand'!F396-'5. Historical demand'!C396-'5. Historical demand'!D396,""),"")</f>
        <v>0</v>
      </c>
      <c r="I396" s="11">
        <f t="shared" si="17"/>
        <v>93.2</v>
      </c>
    </row>
    <row r="397" spans="2:9" ht="13" x14ac:dyDescent="0.3">
      <c r="B397" s="192">
        <f t="shared" si="15"/>
        <v>45828</v>
      </c>
      <c r="C397" s="81">
        <v>164</v>
      </c>
      <c r="D397" s="81"/>
      <c r="E397" s="81">
        <v>77.831000000000003</v>
      </c>
      <c r="F397" s="81">
        <v>164</v>
      </c>
      <c r="G397" s="11">
        <f t="shared" si="16"/>
        <v>86.168999999999997</v>
      </c>
      <c r="H397" s="11">
        <f>IFERROR(IF(Yearending&gt;B396,'5. Historical demand'!F397-'5. Historical demand'!C397-'5. Historical demand'!D397,""),"")</f>
        <v>0</v>
      </c>
      <c r="I397" s="11">
        <f t="shared" si="17"/>
        <v>86.168999999999997</v>
      </c>
    </row>
    <row r="398" spans="2:9" ht="13" x14ac:dyDescent="0.3">
      <c r="B398" s="192">
        <f t="shared" si="15"/>
        <v>45829</v>
      </c>
      <c r="C398" s="81">
        <v>164</v>
      </c>
      <c r="D398" s="81"/>
      <c r="E398" s="81">
        <v>50.795999999999999</v>
      </c>
      <c r="F398" s="81">
        <v>164</v>
      </c>
      <c r="G398" s="11">
        <f t="shared" si="16"/>
        <v>113.20400000000001</v>
      </c>
      <c r="H398" s="11">
        <f>IFERROR(IF(Yearending&gt;B397,'5. Historical demand'!F398-'5. Historical demand'!C398-'5. Historical demand'!D398,""),"")</f>
        <v>0</v>
      </c>
      <c r="I398" s="11">
        <f t="shared" si="17"/>
        <v>113.20400000000001</v>
      </c>
    </row>
    <row r="399" spans="2:9" ht="13" x14ac:dyDescent="0.3">
      <c r="B399" s="192">
        <f t="shared" si="15"/>
        <v>45830</v>
      </c>
      <c r="C399" s="81">
        <v>164</v>
      </c>
      <c r="D399" s="81"/>
      <c r="E399" s="81">
        <v>57.991999999999997</v>
      </c>
      <c r="F399" s="81">
        <v>164</v>
      </c>
      <c r="G399" s="11">
        <f t="shared" si="16"/>
        <v>106.00800000000001</v>
      </c>
      <c r="H399" s="11">
        <f>IFERROR(IF(Yearending&gt;B398,'5. Historical demand'!F399-'5. Historical demand'!C399-'5. Historical demand'!D399,""),"")</f>
        <v>0</v>
      </c>
      <c r="I399" s="11">
        <f t="shared" si="17"/>
        <v>106.00800000000001</v>
      </c>
    </row>
    <row r="400" spans="2:9" ht="13" x14ac:dyDescent="0.3">
      <c r="B400" s="192">
        <f t="shared" si="15"/>
        <v>45831</v>
      </c>
      <c r="C400" s="81">
        <v>164</v>
      </c>
      <c r="D400" s="81"/>
      <c r="E400" s="81">
        <v>20.917999999999999</v>
      </c>
      <c r="F400" s="81">
        <v>164</v>
      </c>
      <c r="G400" s="11">
        <f t="shared" si="16"/>
        <v>143.08199999999999</v>
      </c>
      <c r="H400" s="11">
        <f>IFERROR(IF(Yearending&gt;B399,'5. Historical demand'!F400-'5. Historical demand'!C400-'5. Historical demand'!D400,""),"")</f>
        <v>0</v>
      </c>
      <c r="I400" s="11">
        <f t="shared" si="17"/>
        <v>143.08199999999999</v>
      </c>
    </row>
    <row r="401" spans="2:9" ht="13" x14ac:dyDescent="0.3">
      <c r="B401" s="192">
        <f t="shared" si="15"/>
        <v>45832</v>
      </c>
      <c r="C401" s="81">
        <v>164</v>
      </c>
      <c r="D401" s="81"/>
      <c r="E401" s="81">
        <v>0</v>
      </c>
      <c r="F401" s="81">
        <v>164</v>
      </c>
      <c r="G401" s="11">
        <f t="shared" si="16"/>
        <v>164</v>
      </c>
      <c r="H401" s="11">
        <f>IFERROR(IF(Yearending&gt;B400,'5. Historical demand'!F401-'5. Historical demand'!C401-'5. Historical demand'!D401,""),"")</f>
        <v>0</v>
      </c>
      <c r="I401" s="11">
        <f t="shared" si="17"/>
        <v>164</v>
      </c>
    </row>
    <row r="402" spans="2:9" ht="13" x14ac:dyDescent="0.3">
      <c r="B402" s="192">
        <f t="shared" si="15"/>
        <v>45833</v>
      </c>
      <c r="C402" s="81">
        <v>164</v>
      </c>
      <c r="D402" s="81"/>
      <c r="E402" s="81">
        <v>85.727000000000004</v>
      </c>
      <c r="F402" s="81">
        <v>164</v>
      </c>
      <c r="G402" s="11">
        <f t="shared" si="16"/>
        <v>78.272999999999996</v>
      </c>
      <c r="H402" s="11">
        <f>IFERROR(IF(Yearending&gt;B401,'5. Historical demand'!F402-'5. Historical demand'!C402-'5. Historical demand'!D402,""),"")</f>
        <v>0</v>
      </c>
      <c r="I402" s="11">
        <f t="shared" si="17"/>
        <v>78.272999999999996</v>
      </c>
    </row>
    <row r="403" spans="2:9" ht="13" x14ac:dyDescent="0.3">
      <c r="B403" s="192">
        <f t="shared" si="15"/>
        <v>45834</v>
      </c>
      <c r="C403" s="81">
        <v>164</v>
      </c>
      <c r="D403" s="81"/>
      <c r="E403" s="81">
        <v>146.65700000000001</v>
      </c>
      <c r="F403" s="81">
        <v>164</v>
      </c>
      <c r="G403" s="11">
        <f t="shared" si="16"/>
        <v>17.342999999999989</v>
      </c>
      <c r="H403" s="11">
        <f>IFERROR(IF(Yearending&gt;B402,'5. Historical demand'!F403-'5. Historical demand'!C403-'5. Historical demand'!D403,""),"")</f>
        <v>0</v>
      </c>
      <c r="I403" s="11">
        <f t="shared" si="17"/>
        <v>17.342999999999989</v>
      </c>
    </row>
    <row r="404" spans="2:9" ht="13" x14ac:dyDescent="0.3">
      <c r="B404" s="192">
        <f t="shared" si="15"/>
        <v>45835</v>
      </c>
      <c r="C404" s="81">
        <v>164</v>
      </c>
      <c r="D404" s="81"/>
      <c r="E404" s="81">
        <v>136.828</v>
      </c>
      <c r="F404" s="81">
        <v>164</v>
      </c>
      <c r="G404" s="11">
        <f t="shared" si="16"/>
        <v>27.171999999999997</v>
      </c>
      <c r="H404" s="11">
        <f>IFERROR(IF(Yearending&gt;B403,'5. Historical demand'!F404-'5. Historical demand'!C404-'5. Historical demand'!D404,""),"")</f>
        <v>0</v>
      </c>
      <c r="I404" s="11">
        <f t="shared" si="17"/>
        <v>27.171999999999997</v>
      </c>
    </row>
    <row r="405" spans="2:9" ht="13" x14ac:dyDescent="0.3">
      <c r="B405" s="192">
        <f t="shared" si="15"/>
        <v>45836</v>
      </c>
      <c r="C405" s="81">
        <v>164</v>
      </c>
      <c r="D405" s="81"/>
      <c r="E405" s="81">
        <v>101.658</v>
      </c>
      <c r="F405" s="81">
        <v>164</v>
      </c>
      <c r="G405" s="11">
        <f t="shared" si="16"/>
        <v>62.341999999999999</v>
      </c>
      <c r="H405" s="11">
        <f>IFERROR(IF(Yearending&gt;B404,'5. Historical demand'!F405-'5. Historical demand'!C405-'5. Historical demand'!D405,""),"")</f>
        <v>0</v>
      </c>
      <c r="I405" s="11">
        <f t="shared" si="17"/>
        <v>62.341999999999999</v>
      </c>
    </row>
    <row r="406" spans="2:9" ht="13" x14ac:dyDescent="0.3">
      <c r="B406" s="192">
        <f t="shared" si="15"/>
        <v>45837</v>
      </c>
      <c r="C406" s="81">
        <v>164</v>
      </c>
      <c r="D406" s="81"/>
      <c r="E406" s="81">
        <v>159.64599999999999</v>
      </c>
      <c r="F406" s="81">
        <v>164</v>
      </c>
      <c r="G406" s="11">
        <f t="shared" si="16"/>
        <v>4.3540000000000134</v>
      </c>
      <c r="H406" s="11">
        <f>IFERROR(IF(Yearending&gt;B405,'5. Historical demand'!F406-'5. Historical demand'!C406-'5. Historical demand'!D406,""),"")</f>
        <v>0</v>
      </c>
      <c r="I406" s="11">
        <f t="shared" si="17"/>
        <v>4.3540000000000134</v>
      </c>
    </row>
    <row r="407" spans="2:9" ht="13" x14ac:dyDescent="0.3">
      <c r="B407" s="192">
        <f t="shared" si="15"/>
        <v>45838</v>
      </c>
      <c r="C407" s="81">
        <v>164</v>
      </c>
      <c r="D407" s="81"/>
      <c r="E407" s="81">
        <v>162.399</v>
      </c>
      <c r="F407" s="81">
        <v>164</v>
      </c>
      <c r="G407" s="11">
        <f t="shared" si="16"/>
        <v>1.6009999999999991</v>
      </c>
      <c r="H407" s="11">
        <f>IFERROR(IF(Yearending&gt;B406,'5. Historical demand'!F407-'5. Historical demand'!C407-'5. Historical demand'!D407,""),"")</f>
        <v>0</v>
      </c>
      <c r="I407" s="11">
        <f t="shared" si="17"/>
        <v>1.6009999999999991</v>
      </c>
    </row>
    <row r="408" spans="2:9" ht="13" x14ac:dyDescent="0.3">
      <c r="B408" s="192" t="str">
        <f t="shared" si="15"/>
        <v/>
      </c>
      <c r="C408" s="81"/>
      <c r="D408" s="81"/>
      <c r="E408" s="81"/>
      <c r="F408" s="81"/>
      <c r="G408" s="11" t="str">
        <f t="shared" si="16"/>
        <v/>
      </c>
      <c r="H408" s="11" t="str">
        <f>IFERROR(IF(Yearending&gt;B407,'5. Historical demand'!F408-'5. Historical demand'!C408-'5. Historical demand'!D408,""),"")</f>
        <v/>
      </c>
      <c r="I408" s="11"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DE7E0-08C0-447F-AA0C-CBBF6F8E89A3}">
  <sheetPr>
    <tabColor theme="9" tint="0.79998168889431442"/>
  </sheetPr>
  <dimension ref="A1"/>
  <sheetViews>
    <sheetView showGridLines="0" workbookViewId="0"/>
  </sheetViews>
  <sheetFormatPr defaultRowHeight="12.5" x14ac:dyDescent="0.25"/>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4AF93-D41F-4ED6-BDB7-924549D90790}">
  <sheetPr codeName="Sheet31">
    <tabColor rgb="FF17415D"/>
  </sheetPr>
  <dimension ref="A1:K195"/>
  <sheetViews>
    <sheetView showGridLines="0" zoomScale="107" zoomScaleNormal="100" workbookViewId="0">
      <pane xSplit="1" ySplit="13" topLeftCell="B14" activePane="bottomRight" state="frozen"/>
      <selection pane="topRight" activeCell="B1" sqref="B1"/>
      <selection pane="bottomLeft" activeCell="A14" sqref="A14"/>
      <selection pane="bottomRight"/>
    </sheetView>
  </sheetViews>
  <sheetFormatPr defaultColWidth="9.453125" defaultRowHeight="12.5" x14ac:dyDescent="0.25"/>
  <cols>
    <col min="1" max="1" width="11.54296875" style="190" customWidth="1"/>
    <col min="2" max="2" width="57.54296875" style="190" customWidth="1"/>
    <col min="3" max="3" width="44.54296875" style="190" customWidth="1"/>
    <col min="4" max="11" width="39" style="190" customWidth="1"/>
    <col min="12" max="16384" width="9.453125" style="190"/>
  </cols>
  <sheetData>
    <row r="1" spans="1:4" ht="20" x14ac:dyDescent="0.25">
      <c r="A1" s="191"/>
      <c r="B1" s="135" t="s">
        <v>302</v>
      </c>
      <c r="C1" s="135"/>
    </row>
    <row r="2" spans="1:4" ht="20" x14ac:dyDescent="0.25">
      <c r="A2" s="191"/>
      <c r="B2" s="135" t="str">
        <f>IF(Tradingname=0," ",Tradingname)</f>
        <v>APA Pipelines Investments (BWP) Pty Limited</v>
      </c>
      <c r="C2" s="135"/>
    </row>
    <row r="3" spans="1:4" ht="20" x14ac:dyDescent="0.4">
      <c r="B3" s="135" t="s">
        <v>109</v>
      </c>
      <c r="C3" s="99">
        <f>IF(Yearending=0, "0/01/2000", Yearending)</f>
        <v>45838</v>
      </c>
    </row>
    <row r="4" spans="1:4" ht="20" x14ac:dyDescent="0.25">
      <c r="B4" s="91" t="s">
        <v>300</v>
      </c>
      <c r="C4" s="91"/>
    </row>
    <row r="5" spans="1:4" x14ac:dyDescent="0.25">
      <c r="B5" s="190" t="s">
        <v>149</v>
      </c>
    </row>
    <row r="6" spans="1:4" ht="15.5" x14ac:dyDescent="0.35">
      <c r="B6" s="189"/>
    </row>
    <row r="7" spans="1:4" ht="12.75" customHeight="1" x14ac:dyDescent="0.25">
      <c r="B7" s="401" t="s">
        <v>449</v>
      </c>
      <c r="C7" s="401"/>
      <c r="D7" s="401"/>
    </row>
    <row r="8" spans="1:4" ht="12.75" customHeight="1" x14ac:dyDescent="0.25">
      <c r="B8" s="401"/>
      <c r="C8" s="401"/>
      <c r="D8" s="401"/>
    </row>
    <row r="9" spans="1:4" ht="12.75" customHeight="1" x14ac:dyDescent="0.25">
      <c r="B9" s="401"/>
      <c r="C9" s="401"/>
      <c r="D9" s="401"/>
    </row>
    <row r="10" spans="1:4" ht="12.75" customHeight="1" x14ac:dyDescent="0.25">
      <c r="B10" s="401"/>
      <c r="C10" s="401"/>
      <c r="D10" s="401"/>
    </row>
    <row r="11" spans="1:4" ht="12.75" customHeight="1" x14ac:dyDescent="0.25">
      <c r="B11" s="401"/>
      <c r="C11" s="401"/>
      <c r="D11" s="401"/>
    </row>
    <row r="12" spans="1:4" ht="12.75" customHeight="1" x14ac:dyDescent="0.25">
      <c r="B12" s="401"/>
      <c r="C12" s="401"/>
      <c r="D12" s="401"/>
    </row>
    <row r="13" spans="1:4" ht="12.75" customHeight="1" x14ac:dyDescent="0.25">
      <c r="B13" s="401"/>
      <c r="C13" s="401"/>
      <c r="D13" s="401"/>
    </row>
    <row r="16" spans="1:4" ht="12.75" customHeight="1" x14ac:dyDescent="0.35">
      <c r="B16" s="189" t="s">
        <v>283</v>
      </c>
    </row>
    <row r="17" spans="2:5" ht="12.75" customHeight="1" x14ac:dyDescent="0.35">
      <c r="B17" s="189"/>
    </row>
    <row r="18" spans="2:5" ht="13" x14ac:dyDescent="0.25">
      <c r="B18" s="396" t="s">
        <v>275</v>
      </c>
      <c r="C18" s="398"/>
      <c r="D18" s="396" t="s">
        <v>276</v>
      </c>
      <c r="E18" s="398"/>
    </row>
    <row r="19" spans="2:5" ht="13" x14ac:dyDescent="0.25">
      <c r="B19" s="422" t="s">
        <v>13</v>
      </c>
      <c r="C19" s="220" t="s">
        <v>448</v>
      </c>
      <c r="D19" s="426" t="s">
        <v>13</v>
      </c>
      <c r="E19" s="424" t="s">
        <v>241</v>
      </c>
    </row>
    <row r="20" spans="2:5" x14ac:dyDescent="0.25">
      <c r="B20" s="423"/>
      <c r="C20" s="111" t="s">
        <v>241</v>
      </c>
      <c r="D20" s="427"/>
      <c r="E20" s="425"/>
    </row>
    <row r="21" spans="2:5" x14ac:dyDescent="0.25">
      <c r="B21" s="112" t="s">
        <v>360</v>
      </c>
      <c r="C21" s="199">
        <f>'2.2 Allocation to services'!D13</f>
        <v>0.79606145276576101</v>
      </c>
      <c r="D21" s="188" t="s">
        <v>224</v>
      </c>
      <c r="E21" s="199">
        <v>4.4600000000000001E-2</v>
      </c>
    </row>
    <row r="22" spans="2:5" x14ac:dyDescent="0.25">
      <c r="B22" s="112" t="s">
        <v>450</v>
      </c>
      <c r="C22" s="199">
        <f>'2.2 Allocation to services'!D14</f>
        <v>0</v>
      </c>
      <c r="D22" s="188" t="s">
        <v>225</v>
      </c>
      <c r="E22" s="198">
        <v>0.6</v>
      </c>
    </row>
    <row r="23" spans="2:5" x14ac:dyDescent="0.25">
      <c r="B23" s="112" t="s">
        <v>362</v>
      </c>
      <c r="C23" s="199">
        <f>'2.2 Allocation to services'!D15</f>
        <v>0.17601377394100337</v>
      </c>
      <c r="D23" s="188" t="s">
        <v>226</v>
      </c>
      <c r="E23" s="198">
        <v>0.3</v>
      </c>
    </row>
    <row r="24" spans="2:5" x14ac:dyDescent="0.25">
      <c r="B24" s="112" t="s">
        <v>363</v>
      </c>
      <c r="C24" s="199">
        <f>'2.2 Allocation to services'!D16</f>
        <v>0</v>
      </c>
      <c r="D24" s="188" t="s">
        <v>227</v>
      </c>
      <c r="E24" s="198">
        <v>0.56999999999999995</v>
      </c>
    </row>
    <row r="25" spans="2:5" x14ac:dyDescent="0.25">
      <c r="B25" s="194" t="s">
        <v>364</v>
      </c>
      <c r="C25" s="199">
        <f>'2.2 Allocation to services'!D17</f>
        <v>0</v>
      </c>
      <c r="D25" s="187" t="s">
        <v>247</v>
      </c>
      <c r="E25" s="199">
        <v>4.99E-2</v>
      </c>
    </row>
    <row r="26" spans="2:5" x14ac:dyDescent="0.25">
      <c r="B26" s="112" t="s">
        <v>451</v>
      </c>
      <c r="C26" s="199">
        <f>'2.2 Allocation to services'!D18</f>
        <v>0</v>
      </c>
      <c r="D26" s="14"/>
      <c r="E26" s="14"/>
    </row>
    <row r="27" spans="2:5" x14ac:dyDescent="0.25">
      <c r="B27" s="112" t="s">
        <v>366</v>
      </c>
      <c r="C27" s="199">
        <f>'2.2 Allocation to services'!D19</f>
        <v>0</v>
      </c>
      <c r="D27" s="14"/>
      <c r="E27" s="14"/>
    </row>
    <row r="28" spans="2:5" x14ac:dyDescent="0.25">
      <c r="B28" s="112" t="s">
        <v>367</v>
      </c>
      <c r="C28" s="199">
        <f>'2.2 Allocation to services'!D20</f>
        <v>2.8549171714647569E-4</v>
      </c>
      <c r="D28" s="14"/>
      <c r="E28" s="14"/>
    </row>
    <row r="29" spans="2:5" x14ac:dyDescent="0.25">
      <c r="B29" s="112" t="s">
        <v>368</v>
      </c>
      <c r="C29" s="199">
        <f>'2.2 Allocation to services'!D21</f>
        <v>0</v>
      </c>
      <c r="D29" s="14"/>
      <c r="E29" s="14"/>
    </row>
    <row r="30" spans="2:5" x14ac:dyDescent="0.25">
      <c r="B30" s="112" t="s">
        <v>311</v>
      </c>
      <c r="C30" s="199">
        <f>'2.2 Allocation to services'!D22</f>
        <v>2.7639281576089206E-2</v>
      </c>
      <c r="D30" s="14"/>
      <c r="E30" s="14"/>
    </row>
    <row r="31" spans="2:5" ht="13" x14ac:dyDescent="0.3">
      <c r="B31" s="186" t="s">
        <v>18</v>
      </c>
      <c r="C31" s="118">
        <f>SUM(C21:C30)</f>
        <v>1</v>
      </c>
      <c r="D31" s="14"/>
      <c r="E31" s="14"/>
    </row>
    <row r="34" spans="2:8" ht="15.5" x14ac:dyDescent="0.35">
      <c r="B34" s="189" t="s">
        <v>315</v>
      </c>
      <c r="C34" s="189"/>
    </row>
    <row r="36" spans="2:8" x14ac:dyDescent="0.25">
      <c r="B36" s="185"/>
      <c r="C36" s="185"/>
      <c r="D36" s="185" t="s">
        <v>318</v>
      </c>
      <c r="E36" s="185" t="s">
        <v>319</v>
      </c>
      <c r="F36" s="185" t="s">
        <v>320</v>
      </c>
      <c r="G36" s="185" t="s">
        <v>321</v>
      </c>
      <c r="H36" s="185" t="s">
        <v>317</v>
      </c>
    </row>
    <row r="37" spans="2:8" x14ac:dyDescent="0.25">
      <c r="B37" s="420" t="s">
        <v>360</v>
      </c>
      <c r="C37" s="185" t="s">
        <v>220</v>
      </c>
      <c r="D37" s="184">
        <f>MIN(C64:D64)</f>
        <v>2.5178535883968678E-2</v>
      </c>
      <c r="E37" s="184">
        <f>MIN(E64:G64)</f>
        <v>3.0877877691082294E-2</v>
      </c>
      <c r="F37" s="184">
        <f>MIN(H64,J64)+MIN(I64,K64)</f>
        <v>3.6127960532133269E-2</v>
      </c>
      <c r="G37" s="184">
        <f t="shared" ref="G37:G56" si="0">SUM(D37:F37)</f>
        <v>9.2184374107184247E-2</v>
      </c>
      <c r="H37" s="419" t="s">
        <v>322</v>
      </c>
    </row>
    <row r="38" spans="2:8" x14ac:dyDescent="0.25">
      <c r="B38" s="421"/>
      <c r="C38" s="185" t="s">
        <v>221</v>
      </c>
      <c r="D38" s="184">
        <f>MAX(C64:D64)</f>
        <v>5.8108134431355367E-2</v>
      </c>
      <c r="E38" s="184">
        <f>MAX(E64:G64)</f>
        <v>7.0523331954197174E-2</v>
      </c>
      <c r="F38" s="184">
        <f>MAX(H64,J64)+MAX(I64,K64)</f>
        <v>5.5388706653048819E-2</v>
      </c>
      <c r="G38" s="184">
        <f t="shared" si="0"/>
        <v>0.18402017303860135</v>
      </c>
      <c r="H38" s="419"/>
    </row>
    <row r="39" spans="2:8" x14ac:dyDescent="0.25">
      <c r="B39" s="420" t="s">
        <v>450</v>
      </c>
      <c r="C39" s="185" t="s">
        <v>220</v>
      </c>
      <c r="D39" s="184">
        <f>MIN(C65:D65)</f>
        <v>0</v>
      </c>
      <c r="E39" s="184">
        <f>MIN(E65:G65)</f>
        <v>0</v>
      </c>
      <c r="F39" s="184">
        <f>MIN(H65,J65)+MIN(I65,K65)</f>
        <v>0</v>
      </c>
      <c r="G39" s="184">
        <f t="shared" si="0"/>
        <v>0</v>
      </c>
      <c r="H39" s="419" t="s">
        <v>322</v>
      </c>
    </row>
    <row r="40" spans="2:8" x14ac:dyDescent="0.25">
      <c r="B40" s="421"/>
      <c r="C40" s="185" t="s">
        <v>221</v>
      </c>
      <c r="D40" s="184">
        <f>MAX(C65:D65)</f>
        <v>0</v>
      </c>
      <c r="E40" s="184">
        <f>MAX(E65:G65)</f>
        <v>0</v>
      </c>
      <c r="F40" s="184">
        <f>MAX(H65,J65)+MAX(I65,K65)</f>
        <v>0</v>
      </c>
      <c r="G40" s="184">
        <f t="shared" si="0"/>
        <v>0</v>
      </c>
      <c r="H40" s="419"/>
    </row>
    <row r="41" spans="2:8" x14ac:dyDescent="0.25">
      <c r="B41" s="420" t="s">
        <v>362</v>
      </c>
      <c r="C41" s="185" t="s">
        <v>220</v>
      </c>
      <c r="D41" s="184">
        <f>MIN(C66:D66)</f>
        <v>0</v>
      </c>
      <c r="E41" s="184">
        <f>MIN(E66:G66)</f>
        <v>0</v>
      </c>
      <c r="F41" s="184">
        <f>MIN(H66,J66)+MIN(I66,K66)</f>
        <v>0</v>
      </c>
      <c r="G41" s="184">
        <f t="shared" si="0"/>
        <v>0</v>
      </c>
      <c r="H41" s="419" t="s">
        <v>322</v>
      </c>
    </row>
    <row r="42" spans="2:8" x14ac:dyDescent="0.25">
      <c r="B42" s="421"/>
      <c r="C42" s="185" t="s">
        <v>221</v>
      </c>
      <c r="D42" s="184">
        <f>MAX(C66:D66)</f>
        <v>0</v>
      </c>
      <c r="E42" s="184">
        <f>MAX(E66:G66)</f>
        <v>0</v>
      </c>
      <c r="F42" s="184">
        <f>MAX(H66,J66)+MAX(I66,K66)</f>
        <v>0</v>
      </c>
      <c r="G42" s="184">
        <f t="shared" si="0"/>
        <v>0</v>
      </c>
      <c r="H42" s="419"/>
    </row>
    <row r="43" spans="2:8" x14ac:dyDescent="0.25">
      <c r="B43" s="420" t="s">
        <v>363</v>
      </c>
      <c r="C43" s="185" t="s">
        <v>220</v>
      </c>
      <c r="D43" s="184">
        <f>MIN(C67:D67)</f>
        <v>0</v>
      </c>
      <c r="E43" s="184">
        <f>MIN(E67:G67)</f>
        <v>0</v>
      </c>
      <c r="F43" s="184">
        <f>MIN(H67,J67)+MIN(I67,K67)</f>
        <v>0</v>
      </c>
      <c r="G43" s="184">
        <f t="shared" si="0"/>
        <v>0</v>
      </c>
      <c r="H43" s="419" t="s">
        <v>322</v>
      </c>
    </row>
    <row r="44" spans="2:8" x14ac:dyDescent="0.25">
      <c r="B44" s="421"/>
      <c r="C44" s="185" t="s">
        <v>221</v>
      </c>
      <c r="D44" s="184">
        <f>MAX(C67:D67)</f>
        <v>0</v>
      </c>
      <c r="E44" s="184">
        <f>MAX(E67:G67)</f>
        <v>0</v>
      </c>
      <c r="F44" s="184">
        <f>MAX(H67,J67)+MAX(I67,K67)</f>
        <v>0</v>
      </c>
      <c r="G44" s="184">
        <f t="shared" si="0"/>
        <v>0</v>
      </c>
      <c r="H44" s="419"/>
    </row>
    <row r="45" spans="2:8" x14ac:dyDescent="0.25">
      <c r="B45" s="420" t="s">
        <v>364</v>
      </c>
      <c r="C45" s="185" t="s">
        <v>220</v>
      </c>
      <c r="D45" s="184">
        <f>MIN(C68:D68)</f>
        <v>0</v>
      </c>
      <c r="E45" s="184">
        <f>MIN(E68:G68)</f>
        <v>0</v>
      </c>
      <c r="F45" s="184">
        <f>MIN(H68,J68)+MIN(I68,K68)</f>
        <v>0</v>
      </c>
      <c r="G45" s="184">
        <f t="shared" si="0"/>
        <v>0</v>
      </c>
      <c r="H45" s="419" t="s">
        <v>322</v>
      </c>
    </row>
    <row r="46" spans="2:8" x14ac:dyDescent="0.25">
      <c r="B46" s="421"/>
      <c r="C46" s="185" t="s">
        <v>221</v>
      </c>
      <c r="D46" s="184">
        <f>MAX(C68:D68)</f>
        <v>0</v>
      </c>
      <c r="E46" s="184">
        <f>MAX(E68:G68)</f>
        <v>0</v>
      </c>
      <c r="F46" s="184">
        <f>MAX(H68,J68)+MAX(I68,K68)</f>
        <v>0</v>
      </c>
      <c r="G46" s="184">
        <f t="shared" si="0"/>
        <v>0</v>
      </c>
      <c r="H46" s="419"/>
    </row>
    <row r="47" spans="2:8" x14ac:dyDescent="0.25">
      <c r="B47" s="420" t="s">
        <v>451</v>
      </c>
      <c r="C47" s="185" t="s">
        <v>220</v>
      </c>
      <c r="D47" s="184">
        <f>MIN(C69:D69)</f>
        <v>0</v>
      </c>
      <c r="E47" s="184">
        <f>MIN(E69:G69)</f>
        <v>0</v>
      </c>
      <c r="F47" s="184">
        <f>MIN(H69,J69)+MIN(I69,K69)</f>
        <v>0</v>
      </c>
      <c r="G47" s="184">
        <f t="shared" si="0"/>
        <v>0</v>
      </c>
      <c r="H47" s="419" t="s">
        <v>322</v>
      </c>
    </row>
    <row r="48" spans="2:8" x14ac:dyDescent="0.25">
      <c r="B48" s="421"/>
      <c r="C48" s="185" t="s">
        <v>221</v>
      </c>
      <c r="D48" s="184">
        <f>MAX(C69:D69)</f>
        <v>0</v>
      </c>
      <c r="E48" s="184">
        <f>MAX(E69:G69)</f>
        <v>0</v>
      </c>
      <c r="F48" s="184">
        <f>MAX(H69,J69)+MAX(I69,K69)</f>
        <v>0</v>
      </c>
      <c r="G48" s="184">
        <f t="shared" si="0"/>
        <v>0</v>
      </c>
      <c r="H48" s="419"/>
    </row>
    <row r="49" spans="2:11" x14ac:dyDescent="0.25">
      <c r="B49" s="420" t="s">
        <v>366</v>
      </c>
      <c r="C49" s="185" t="s">
        <v>220</v>
      </c>
      <c r="D49" s="184">
        <f>MIN(C70:D70)</f>
        <v>0</v>
      </c>
      <c r="E49" s="184">
        <f>MIN(E70:G70)</f>
        <v>0</v>
      </c>
      <c r="F49" s="184">
        <f>MIN(H70,J70)+MIN(I70,K70)</f>
        <v>0</v>
      </c>
      <c r="G49" s="184">
        <f t="shared" si="0"/>
        <v>0</v>
      </c>
      <c r="H49" s="419" t="s">
        <v>322</v>
      </c>
    </row>
    <row r="50" spans="2:11" x14ac:dyDescent="0.25">
      <c r="B50" s="421"/>
      <c r="C50" s="185" t="s">
        <v>221</v>
      </c>
      <c r="D50" s="184">
        <f>MAX(C70:D70)</f>
        <v>0</v>
      </c>
      <c r="E50" s="184">
        <f>MAX(E70:G70)</f>
        <v>0</v>
      </c>
      <c r="F50" s="184">
        <f>MAX(H70,J70)+MAX(I70,K70)</f>
        <v>0</v>
      </c>
      <c r="G50" s="184">
        <f t="shared" si="0"/>
        <v>0</v>
      </c>
      <c r="H50" s="419"/>
    </row>
    <row r="51" spans="2:11" x14ac:dyDescent="0.25">
      <c r="B51" s="420" t="s">
        <v>367</v>
      </c>
      <c r="C51" s="185" t="s">
        <v>220</v>
      </c>
      <c r="D51" s="184">
        <f>MIN(C71:D71)</f>
        <v>0</v>
      </c>
      <c r="E51" s="184">
        <f>MIN(E71:G71)</f>
        <v>0</v>
      </c>
      <c r="F51" s="184">
        <f>MIN(H71,J71)+MIN(I71,K71)</f>
        <v>0</v>
      </c>
      <c r="G51" s="184">
        <f t="shared" si="0"/>
        <v>0</v>
      </c>
      <c r="H51" s="419" t="s">
        <v>323</v>
      </c>
    </row>
    <row r="52" spans="2:11" x14ac:dyDescent="0.25">
      <c r="B52" s="421"/>
      <c r="C52" s="185" t="s">
        <v>221</v>
      </c>
      <c r="D52" s="184">
        <f>MAX(C71:D71)</f>
        <v>0</v>
      </c>
      <c r="E52" s="184">
        <f>MAX(E71:G71)</f>
        <v>0</v>
      </c>
      <c r="F52" s="184">
        <f>MAX(H71,J71)+MAX(I71,K71)</f>
        <v>0</v>
      </c>
      <c r="G52" s="184">
        <f t="shared" si="0"/>
        <v>0</v>
      </c>
      <c r="H52" s="419"/>
    </row>
    <row r="53" spans="2:11" x14ac:dyDescent="0.25">
      <c r="B53" s="420" t="s">
        <v>368</v>
      </c>
      <c r="C53" s="185" t="s">
        <v>220</v>
      </c>
      <c r="D53" s="184">
        <f>MIN(C72:D72)</f>
        <v>0</v>
      </c>
      <c r="E53" s="184">
        <f>MIN(E72:G72)</f>
        <v>0</v>
      </c>
      <c r="F53" s="184">
        <f>MIN(H72,J72)+MIN(I72,K72)</f>
        <v>0</v>
      </c>
      <c r="G53" s="184">
        <f t="shared" si="0"/>
        <v>0</v>
      </c>
      <c r="H53" s="419" t="s">
        <v>324</v>
      </c>
    </row>
    <row r="54" spans="2:11" x14ac:dyDescent="0.25">
      <c r="B54" s="421"/>
      <c r="C54" s="185" t="s">
        <v>221</v>
      </c>
      <c r="D54" s="184">
        <f>MAX(C72:D72)</f>
        <v>0</v>
      </c>
      <c r="E54" s="184">
        <f>MAX(E72:G72)</f>
        <v>0</v>
      </c>
      <c r="F54" s="184">
        <f>MAX(H72,J72)+MAX(I72,K72)</f>
        <v>0</v>
      </c>
      <c r="G54" s="184">
        <f t="shared" si="0"/>
        <v>0</v>
      </c>
      <c r="H54" s="419"/>
    </row>
    <row r="55" spans="2:11" x14ac:dyDescent="0.25">
      <c r="B55" s="420" t="s">
        <v>311</v>
      </c>
      <c r="C55" s="185" t="s">
        <v>220</v>
      </c>
      <c r="D55" s="184">
        <f>MIN(C73:D73)</f>
        <v>0</v>
      </c>
      <c r="E55" s="184">
        <f>MIN(E73:G73)</f>
        <v>0</v>
      </c>
      <c r="F55" s="184">
        <f>MIN(H73,J73)+MIN(I73,K73)</f>
        <v>0</v>
      </c>
      <c r="G55" s="184">
        <f t="shared" si="0"/>
        <v>0</v>
      </c>
      <c r="H55" s="419"/>
    </row>
    <row r="56" spans="2:11" x14ac:dyDescent="0.25">
      <c r="B56" s="421"/>
      <c r="C56" s="185" t="s">
        <v>221</v>
      </c>
      <c r="D56" s="184">
        <f>MAX(C73:D73)</f>
        <v>0</v>
      </c>
      <c r="E56" s="184">
        <f>MAX(E73:G73)</f>
        <v>0</v>
      </c>
      <c r="F56" s="184">
        <f>MAX(H73,J73)+MAX(I73,K73)</f>
        <v>0</v>
      </c>
      <c r="G56" s="184">
        <f t="shared" si="0"/>
        <v>0</v>
      </c>
      <c r="H56" s="419"/>
    </row>
    <row r="59" spans="2:11" ht="15.5" x14ac:dyDescent="0.35">
      <c r="B59" s="189" t="s">
        <v>284</v>
      </c>
    </row>
    <row r="60" spans="2:11" ht="16" thickBot="1" x14ac:dyDescent="0.4">
      <c r="B60" s="183" t="s">
        <v>167</v>
      </c>
    </row>
    <row r="61" spans="2:11" s="181" customFormat="1" ht="13.5" thickBot="1" x14ac:dyDescent="0.3">
      <c r="B61" s="182"/>
      <c r="C61" s="433" t="s">
        <v>222</v>
      </c>
      <c r="D61" s="435"/>
      <c r="E61" s="433" t="s">
        <v>314</v>
      </c>
      <c r="F61" s="434"/>
      <c r="G61" s="435"/>
      <c r="H61" s="430" t="s">
        <v>313</v>
      </c>
      <c r="I61" s="431"/>
      <c r="J61" s="431"/>
      <c r="K61" s="432"/>
    </row>
    <row r="62" spans="2:11" s="181" customFormat="1" ht="13" x14ac:dyDescent="0.25">
      <c r="B62" s="182"/>
      <c r="C62" s="436" t="s">
        <v>332</v>
      </c>
      <c r="D62" s="440" t="s">
        <v>333</v>
      </c>
      <c r="E62" s="436" t="s">
        <v>334</v>
      </c>
      <c r="F62" s="438" t="s">
        <v>335</v>
      </c>
      <c r="G62" s="440" t="s">
        <v>336</v>
      </c>
      <c r="H62" s="433" t="s">
        <v>463</v>
      </c>
      <c r="I62" s="435"/>
      <c r="J62" s="428" t="s">
        <v>464</v>
      </c>
      <c r="K62" s="429"/>
    </row>
    <row r="63" spans="2:11" s="181" customFormat="1" ht="13" x14ac:dyDescent="0.25">
      <c r="B63" s="182"/>
      <c r="C63" s="437"/>
      <c r="D63" s="441"/>
      <c r="E63" s="437"/>
      <c r="F63" s="439"/>
      <c r="G63" s="441"/>
      <c r="H63" s="180" t="s">
        <v>337</v>
      </c>
      <c r="I63" s="219" t="s">
        <v>338</v>
      </c>
      <c r="J63" s="180" t="s">
        <v>337</v>
      </c>
      <c r="K63" s="219" t="s">
        <v>338</v>
      </c>
    </row>
    <row r="64" spans="2:11" x14ac:dyDescent="0.25">
      <c r="B64" s="112" t="s">
        <v>360</v>
      </c>
      <c r="C64" s="179">
        <f>INDEX($F$79:$G$88,MATCH($B64,$B$79:$B$88,0),MATCH(C$62,$F$78:$G$78,0))</f>
        <v>5.8108134431355367E-2</v>
      </c>
      <c r="D64" s="178">
        <f>INDEX($F$79:$G$88,MATCH($B64,$B$79:$B$88,0),MATCH(D$62,$F$78:$G$78,0))</f>
        <v>2.5178535883968678E-2</v>
      </c>
      <c r="E64" s="179">
        <f t="shared" ref="E64:F73" si="1">F104</f>
        <v>7.0523331954197174E-2</v>
      </c>
      <c r="F64" s="177">
        <f t="shared" si="1"/>
        <v>6.1646346222926265E-2</v>
      </c>
      <c r="G64" s="178">
        <f t="shared" ref="G64:G73" si="2">G116</f>
        <v>3.0877877691082294E-2</v>
      </c>
      <c r="H64" s="179">
        <f>I137</f>
        <v>5.0582243355157312E-2</v>
      </c>
      <c r="I64" s="178">
        <f>J137</f>
        <v>4.8064632978915053E-3</v>
      </c>
      <c r="J64" s="179">
        <f>I149</f>
        <v>3.3806133483839873E-2</v>
      </c>
      <c r="K64" s="178">
        <f>J149</f>
        <v>2.3218270482933943E-3</v>
      </c>
    </row>
    <row r="65" spans="2:11" x14ac:dyDescent="0.25">
      <c r="B65" s="112" t="s">
        <v>450</v>
      </c>
      <c r="C65" s="179" t="str">
        <f t="shared" ref="C65:D73" si="3">INDEX($F$79:$G$88,MATCH($B65,$B$79:$B$88,0),MATCH(C$62,$F$78:$G$78,0))</f>
        <v xml:space="preserve"> -</v>
      </c>
      <c r="D65" s="178" t="str">
        <f t="shared" si="3"/>
        <v xml:space="preserve"> -</v>
      </c>
      <c r="E65" s="179" t="str">
        <f t="shared" si="1"/>
        <v xml:space="preserve"> - </v>
      </c>
      <c r="F65" s="177" t="str">
        <f t="shared" si="1"/>
        <v xml:space="preserve"> - </v>
      </c>
      <c r="G65" s="178" t="str">
        <f t="shared" si="2"/>
        <v xml:space="preserve"> - </v>
      </c>
      <c r="H65" s="179" t="str">
        <f t="shared" ref="H65:I73" si="4">I138</f>
        <v xml:space="preserve"> - </v>
      </c>
      <c r="I65" s="178" t="str">
        <f t="shared" si="4"/>
        <v xml:space="preserve"> - </v>
      </c>
      <c r="J65" s="179" t="str">
        <f t="shared" ref="J65:K73" si="5">I150</f>
        <v xml:space="preserve"> - </v>
      </c>
      <c r="K65" s="178" t="str">
        <f t="shared" si="5"/>
        <v xml:space="preserve"> - </v>
      </c>
    </row>
    <row r="66" spans="2:11" x14ac:dyDescent="0.25">
      <c r="B66" s="112" t="s">
        <v>362</v>
      </c>
      <c r="C66" s="179" t="str">
        <f t="shared" si="3"/>
        <v xml:space="preserve"> -</v>
      </c>
      <c r="D66" s="178" t="str">
        <f t="shared" si="3"/>
        <v xml:space="preserve"> -</v>
      </c>
      <c r="E66" s="179" t="str">
        <f t="shared" si="1"/>
        <v xml:space="preserve"> - </v>
      </c>
      <c r="F66" s="177" t="str">
        <f t="shared" si="1"/>
        <v xml:space="preserve"> - </v>
      </c>
      <c r="G66" s="178" t="str">
        <f t="shared" si="2"/>
        <v xml:space="preserve"> - </v>
      </c>
      <c r="H66" s="179" t="str">
        <f t="shared" si="4"/>
        <v xml:space="preserve"> - </v>
      </c>
      <c r="I66" s="178" t="str">
        <f t="shared" si="4"/>
        <v xml:space="preserve"> - </v>
      </c>
      <c r="J66" s="179" t="str">
        <f>I151</f>
        <v xml:space="preserve"> - </v>
      </c>
      <c r="K66" s="178" t="str">
        <f t="shared" si="5"/>
        <v xml:space="preserve"> - </v>
      </c>
    </row>
    <row r="67" spans="2:11" x14ac:dyDescent="0.25">
      <c r="B67" s="112" t="s">
        <v>363</v>
      </c>
      <c r="C67" s="179" t="str">
        <f t="shared" si="3"/>
        <v xml:space="preserve"> -</v>
      </c>
      <c r="D67" s="178" t="str">
        <f t="shared" si="3"/>
        <v xml:space="preserve"> -</v>
      </c>
      <c r="E67" s="179" t="str">
        <f t="shared" si="1"/>
        <v xml:space="preserve"> - </v>
      </c>
      <c r="F67" s="177" t="str">
        <f t="shared" si="1"/>
        <v xml:space="preserve"> - </v>
      </c>
      <c r="G67" s="178" t="str">
        <f t="shared" si="2"/>
        <v xml:space="preserve"> - </v>
      </c>
      <c r="H67" s="179" t="str">
        <f t="shared" si="4"/>
        <v xml:space="preserve"> - </v>
      </c>
      <c r="I67" s="178" t="str">
        <f t="shared" si="4"/>
        <v xml:space="preserve"> - </v>
      </c>
      <c r="J67" s="179" t="str">
        <f t="shared" si="5"/>
        <v xml:space="preserve"> - </v>
      </c>
      <c r="K67" s="178" t="str">
        <f t="shared" si="5"/>
        <v xml:space="preserve"> - </v>
      </c>
    </row>
    <row r="68" spans="2:11" x14ac:dyDescent="0.25">
      <c r="B68" s="194" t="s">
        <v>364</v>
      </c>
      <c r="C68" s="179" t="str">
        <f t="shared" si="3"/>
        <v xml:space="preserve"> -</v>
      </c>
      <c r="D68" s="178" t="str">
        <f t="shared" si="3"/>
        <v xml:space="preserve"> -</v>
      </c>
      <c r="E68" s="179" t="str">
        <f t="shared" si="1"/>
        <v xml:space="preserve"> - </v>
      </c>
      <c r="F68" s="177" t="str">
        <f t="shared" si="1"/>
        <v xml:space="preserve"> - </v>
      </c>
      <c r="G68" s="178" t="str">
        <f t="shared" si="2"/>
        <v xml:space="preserve"> - </v>
      </c>
      <c r="H68" s="179" t="str">
        <f t="shared" si="4"/>
        <v xml:space="preserve"> - </v>
      </c>
      <c r="I68" s="178" t="str">
        <f t="shared" si="4"/>
        <v xml:space="preserve"> - </v>
      </c>
      <c r="J68" s="179" t="str">
        <f t="shared" si="5"/>
        <v xml:space="preserve"> - </v>
      </c>
      <c r="K68" s="178" t="str">
        <f t="shared" si="5"/>
        <v xml:space="preserve"> - </v>
      </c>
    </row>
    <row r="69" spans="2:11" x14ac:dyDescent="0.25">
      <c r="B69" s="112" t="s">
        <v>451</v>
      </c>
      <c r="C69" s="179" t="str">
        <f t="shared" si="3"/>
        <v xml:space="preserve"> -</v>
      </c>
      <c r="D69" s="178" t="str">
        <f t="shared" si="3"/>
        <v xml:space="preserve"> -</v>
      </c>
      <c r="E69" s="179" t="str">
        <f t="shared" si="1"/>
        <v xml:space="preserve"> - </v>
      </c>
      <c r="F69" s="177" t="str">
        <f t="shared" si="1"/>
        <v xml:space="preserve"> - </v>
      </c>
      <c r="G69" s="178" t="str">
        <f t="shared" si="2"/>
        <v xml:space="preserve"> - </v>
      </c>
      <c r="H69" s="179" t="str">
        <f t="shared" si="4"/>
        <v xml:space="preserve"> - </v>
      </c>
      <c r="I69" s="178" t="str">
        <f>J142</f>
        <v xml:space="preserve"> - </v>
      </c>
      <c r="J69" s="179" t="str">
        <f t="shared" si="5"/>
        <v xml:space="preserve"> - </v>
      </c>
      <c r="K69" s="178" t="str">
        <f t="shared" si="5"/>
        <v xml:space="preserve"> - </v>
      </c>
    </row>
    <row r="70" spans="2:11" x14ac:dyDescent="0.25">
      <c r="B70" s="112" t="s">
        <v>366</v>
      </c>
      <c r="C70" s="179" t="str">
        <f t="shared" si="3"/>
        <v xml:space="preserve"> -</v>
      </c>
      <c r="D70" s="178" t="str">
        <f t="shared" si="3"/>
        <v xml:space="preserve"> -</v>
      </c>
      <c r="E70" s="179" t="str">
        <f t="shared" si="1"/>
        <v xml:space="preserve"> - </v>
      </c>
      <c r="F70" s="177" t="str">
        <f t="shared" si="1"/>
        <v xml:space="preserve"> - </v>
      </c>
      <c r="G70" s="178" t="str">
        <f t="shared" si="2"/>
        <v xml:space="preserve"> - </v>
      </c>
      <c r="H70" s="179" t="str">
        <f t="shared" si="4"/>
        <v xml:space="preserve"> - </v>
      </c>
      <c r="I70" s="178" t="str">
        <f t="shared" si="4"/>
        <v xml:space="preserve"> - </v>
      </c>
      <c r="J70" s="179" t="str">
        <f t="shared" si="5"/>
        <v xml:space="preserve"> - </v>
      </c>
      <c r="K70" s="178" t="str">
        <f>J155</f>
        <v xml:space="preserve"> - </v>
      </c>
    </row>
    <row r="71" spans="2:11" x14ac:dyDescent="0.25">
      <c r="B71" s="112" t="s">
        <v>367</v>
      </c>
      <c r="C71" s="179" t="str">
        <f t="shared" si="3"/>
        <v xml:space="preserve"> -</v>
      </c>
      <c r="D71" s="178" t="str">
        <f t="shared" si="3"/>
        <v xml:space="preserve"> -</v>
      </c>
      <c r="E71" s="179" t="str">
        <f t="shared" si="1"/>
        <v xml:space="preserve"> - </v>
      </c>
      <c r="F71" s="177" t="str">
        <f t="shared" si="1"/>
        <v xml:space="preserve"> - </v>
      </c>
      <c r="G71" s="178" t="str">
        <f t="shared" si="2"/>
        <v xml:space="preserve"> - </v>
      </c>
      <c r="H71" s="179" t="str">
        <f>I144</f>
        <v xml:space="preserve"> - </v>
      </c>
      <c r="I71" s="178" t="str">
        <f t="shared" si="4"/>
        <v xml:space="preserve"> - </v>
      </c>
      <c r="J71" s="179" t="str">
        <f t="shared" si="5"/>
        <v xml:space="preserve"> - </v>
      </c>
      <c r="K71" s="178" t="str">
        <f t="shared" si="5"/>
        <v xml:space="preserve"> - </v>
      </c>
    </row>
    <row r="72" spans="2:11" x14ac:dyDescent="0.25">
      <c r="B72" s="112" t="s">
        <v>368</v>
      </c>
      <c r="C72" s="179" t="str">
        <f t="shared" si="3"/>
        <v xml:space="preserve"> -</v>
      </c>
      <c r="D72" s="178" t="str">
        <f t="shared" si="3"/>
        <v xml:space="preserve"> -</v>
      </c>
      <c r="E72" s="179" t="str">
        <f t="shared" si="1"/>
        <v xml:space="preserve"> - </v>
      </c>
      <c r="F72" s="177" t="str">
        <f t="shared" si="1"/>
        <v xml:space="preserve"> - </v>
      </c>
      <c r="G72" s="178" t="str">
        <f t="shared" si="2"/>
        <v xml:space="preserve"> - </v>
      </c>
      <c r="H72" s="179" t="str">
        <f t="shared" si="4"/>
        <v xml:space="preserve"> - </v>
      </c>
      <c r="I72" s="178" t="str">
        <f t="shared" si="4"/>
        <v xml:space="preserve"> - </v>
      </c>
      <c r="J72" s="179" t="str">
        <f t="shared" si="5"/>
        <v xml:space="preserve"> - </v>
      </c>
      <c r="K72" s="178" t="str">
        <f t="shared" si="5"/>
        <v xml:space="preserve"> - </v>
      </c>
    </row>
    <row r="73" spans="2:11" ht="13" thickBot="1" x14ac:dyDescent="0.3">
      <c r="B73" s="112" t="s">
        <v>311</v>
      </c>
      <c r="C73" s="176" t="str">
        <f t="shared" si="3"/>
        <v xml:space="preserve"> -</v>
      </c>
      <c r="D73" s="175" t="str">
        <f t="shared" si="3"/>
        <v xml:space="preserve"> -</v>
      </c>
      <c r="E73" s="176" t="str">
        <f t="shared" si="1"/>
        <v xml:space="preserve"> - </v>
      </c>
      <c r="F73" s="174" t="str">
        <f t="shared" si="1"/>
        <v xml:space="preserve"> - </v>
      </c>
      <c r="G73" s="175" t="str">
        <f t="shared" si="2"/>
        <v xml:space="preserve"> - </v>
      </c>
      <c r="H73" s="176" t="str">
        <f t="shared" si="4"/>
        <v xml:space="preserve"> - </v>
      </c>
      <c r="I73" s="175" t="str">
        <f t="shared" si="4"/>
        <v xml:space="preserve"> - </v>
      </c>
      <c r="J73" s="176" t="str">
        <f t="shared" si="5"/>
        <v xml:space="preserve"> - </v>
      </c>
      <c r="K73" s="175" t="str">
        <f t="shared" si="5"/>
        <v xml:space="preserve"> - </v>
      </c>
    </row>
    <row r="76" spans="2:11" ht="15.5" x14ac:dyDescent="0.35">
      <c r="B76" s="189" t="s">
        <v>285</v>
      </c>
    </row>
    <row r="77" spans="2:11" ht="15.5" x14ac:dyDescent="0.35">
      <c r="B77" s="183" t="s">
        <v>219</v>
      </c>
    </row>
    <row r="78" spans="2:11" s="171" customFormat="1" ht="24.75" customHeight="1" x14ac:dyDescent="0.25">
      <c r="B78" s="173" t="s">
        <v>277</v>
      </c>
      <c r="C78" s="172" t="s">
        <v>273</v>
      </c>
      <c r="D78" s="172" t="s">
        <v>274</v>
      </c>
      <c r="E78" s="172" t="s">
        <v>347</v>
      </c>
      <c r="F78" s="173" t="s">
        <v>332</v>
      </c>
      <c r="G78" s="173" t="s">
        <v>333</v>
      </c>
    </row>
    <row r="79" spans="2:11" x14ac:dyDescent="0.25">
      <c r="B79" s="112" t="s">
        <v>360</v>
      </c>
      <c r="C79" s="170">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3186078.7539337478</v>
      </c>
      <c r="D79" s="170">
        <f>ABS('2.1 Profit &amp; Loss by component'!$F$32*INDEX('2.2 Allocation to services'!$D$56:$D$65,MATCH('6. Pricing template'!B79,'2.2 Allocation to services'!$C$56:$C$65,0),1))-ABS('2.1 Profit &amp; Loss by component'!$F$26)*INDEX('2.2 Allocation to services'!$D$68:$D$77,MATCH('6. Pricing template'!B79,'2.2 Allocation to services'!$C$68:$C$77,0),1)</f>
        <v>1380543.3442341532</v>
      </c>
      <c r="E79" s="169">
        <f>INDEX('5. Historical demand'!$C$26:$C$35,MATCH('6. Pricing template'!B79,'5. Historical demand'!$B$26:$B$35,0),1)*(Yearending-Yearstart)</f>
        <v>54830.167671232753</v>
      </c>
      <c r="F79" s="168">
        <f>IFERROR(C79/(E79*1000)," -")</f>
        <v>5.8108134431355367E-2</v>
      </c>
      <c r="G79" s="168">
        <f>IFERROR(D79/(E79*1000)," -")</f>
        <v>2.5178535883968678E-2</v>
      </c>
    </row>
    <row r="80" spans="2:11" x14ac:dyDescent="0.25">
      <c r="B80" s="112" t="s">
        <v>450</v>
      </c>
      <c r="C80" s="170">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70">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69">
        <f>INDEX('5. Historical demand'!$C$26:$C$35,MATCH('6. Pricing template'!B80,'5. Historical demand'!$B$26:$B$35,0),1)*(Yearending-Yearstart)</f>
        <v>0</v>
      </c>
      <c r="F80" s="168" t="str">
        <f t="shared" ref="F80:F88" si="6">IFERROR(C80/(E80*1000)," -")</f>
        <v xml:space="preserve"> -</v>
      </c>
      <c r="G80" s="168" t="str">
        <f t="shared" ref="G80:G88" si="7">IFERROR(D80/(E80*1000)," -")</f>
        <v xml:space="preserve"> -</v>
      </c>
    </row>
    <row r="81" spans="2:7" x14ac:dyDescent="0.25">
      <c r="B81" s="112" t="s">
        <v>362</v>
      </c>
      <c r="C81" s="170">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704460.36999374768</v>
      </c>
      <c r="D81" s="170">
        <f>ABS('2.1 Profit &amp; Loss by component'!$F$32*INDEX('2.2 Allocation to services'!$D$56:$D$65,MATCH('6. Pricing template'!B81,'2.2 Allocation to services'!$C$56:$C$65,0),1))-ABS('2.1 Profit &amp; Loss by component'!$F$26)*INDEX('2.2 Allocation to services'!$D$68:$D$77,MATCH('6. Pricing template'!B81,'2.2 Allocation to services'!$C$68:$C$77,0),1)</f>
        <v>305246.08780333388</v>
      </c>
      <c r="E81" s="169">
        <f>INDEX('5. Historical demand'!$C$26:$C$35,MATCH('6. Pricing template'!B81,'5. Historical demand'!$B$26:$B$35,0),1)*(Yearending-Yearstart)</f>
        <v>0</v>
      </c>
      <c r="F81" s="168" t="str">
        <f t="shared" si="6"/>
        <v xml:space="preserve"> -</v>
      </c>
      <c r="G81" s="168" t="str">
        <f t="shared" si="7"/>
        <v xml:space="preserve"> -</v>
      </c>
    </row>
    <row r="82" spans="2:7" x14ac:dyDescent="0.25">
      <c r="B82" s="112" t="s">
        <v>363</v>
      </c>
      <c r="C82" s="170">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70">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69">
        <f>INDEX('5. Historical demand'!$C$26:$C$35,MATCH('6. Pricing template'!B82,'5. Historical demand'!$B$26:$B$35,0),1)*(Yearending-Yearstart)</f>
        <v>0</v>
      </c>
      <c r="F82" s="168" t="str">
        <f t="shared" si="6"/>
        <v xml:space="preserve"> -</v>
      </c>
      <c r="G82" s="168" t="str">
        <f t="shared" si="7"/>
        <v xml:space="preserve"> -</v>
      </c>
    </row>
    <row r="83" spans="2:7" x14ac:dyDescent="0.25">
      <c r="B83" s="194" t="s">
        <v>364</v>
      </c>
      <c r="C83" s="170">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70">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69">
        <f>INDEX('5. Historical demand'!$C$26:$C$35,MATCH('6. Pricing template'!B83,'5. Historical demand'!$B$26:$B$35,0),1)*(Yearending-Yearstart)</f>
        <v>0</v>
      </c>
      <c r="F83" s="168" t="str">
        <f t="shared" si="6"/>
        <v xml:space="preserve"> -</v>
      </c>
      <c r="G83" s="168" t="str">
        <f t="shared" si="7"/>
        <v xml:space="preserve"> -</v>
      </c>
    </row>
    <row r="84" spans="2:7" x14ac:dyDescent="0.25">
      <c r="B84" s="112" t="s">
        <v>451</v>
      </c>
      <c r="C84" s="170">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70">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69">
        <f>INDEX('5. Historical demand'!$C$26:$C$35,MATCH('6. Pricing template'!B84,'5. Historical demand'!$B$26:$B$35,0),1)*(Yearending-Yearstart)</f>
        <v>0</v>
      </c>
      <c r="F84" s="168" t="str">
        <f t="shared" si="6"/>
        <v xml:space="preserve"> -</v>
      </c>
      <c r="G84" s="168" t="str">
        <f t="shared" si="7"/>
        <v xml:space="preserve"> -</v>
      </c>
    </row>
    <row r="85" spans="2:7" x14ac:dyDescent="0.25">
      <c r="B85" s="112" t="s">
        <v>366</v>
      </c>
      <c r="C85" s="170">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70">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69">
        <f>INDEX('5. Historical demand'!$C$26:$C$35,MATCH('6. Pricing template'!B85,'5. Historical demand'!$B$26:$B$35,0),1)*(Yearending-Yearstart)</f>
        <v>0</v>
      </c>
      <c r="F85" s="168" t="str">
        <f t="shared" si="6"/>
        <v xml:space="preserve"> -</v>
      </c>
      <c r="G85" s="168" t="str">
        <f t="shared" si="7"/>
        <v xml:space="preserve"> -</v>
      </c>
    </row>
    <row r="86" spans="2:7" x14ac:dyDescent="0.25">
      <c r="B86" s="112" t="s">
        <v>367</v>
      </c>
      <c r="C86" s="170">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1142.6242173443061</v>
      </c>
      <c r="D86" s="170">
        <f>ABS('2.1 Profit &amp; Loss by component'!$F$32*INDEX('2.2 Allocation to services'!$D$56:$D$65,MATCH('6. Pricing template'!B86,'2.2 Allocation to services'!$C$56:$C$65,0),1))-ABS('2.1 Profit &amp; Loss by component'!$F$26)*INDEX('2.2 Allocation to services'!$D$68:$D$77,MATCH('6. Pricing template'!B86,'2.2 Allocation to services'!$C$68:$C$77,0),1)</f>
        <v>495.10460350919561</v>
      </c>
      <c r="E86" s="169">
        <f>INDEX('5. Historical demand'!$C$26:$C$35,MATCH('6. Pricing template'!B86,'5. Historical demand'!$B$26:$B$35,0),1)*(Yearending-Yearstart)</f>
        <v>0</v>
      </c>
      <c r="F86" s="168" t="str">
        <f t="shared" si="6"/>
        <v xml:space="preserve"> -</v>
      </c>
      <c r="G86" s="168" t="str">
        <f t="shared" si="7"/>
        <v xml:space="preserve"> -</v>
      </c>
    </row>
    <row r="87" spans="2:7" x14ac:dyDescent="0.25">
      <c r="B87" s="112" t="s">
        <v>368</v>
      </c>
      <c r="C87" s="170">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0</v>
      </c>
      <c r="D87" s="170">
        <f>ABS('2.1 Profit &amp; Loss by component'!$F$32*INDEX('2.2 Allocation to services'!$D$56:$D$65,MATCH('6. Pricing template'!B87,'2.2 Allocation to services'!$C$56:$C$65,0),1))-ABS('2.1 Profit &amp; Loss by component'!$F$26)*INDEX('2.2 Allocation to services'!$D$68:$D$77,MATCH('6. Pricing template'!B87,'2.2 Allocation to services'!$C$68:$C$77,0),1)</f>
        <v>0</v>
      </c>
      <c r="E87" s="169">
        <f>INDEX('5. Historical demand'!$C$26:$C$35,MATCH('6. Pricing template'!B87,'5. Historical demand'!$B$26:$B$35,0),1)*(Yearending-Yearstart)</f>
        <v>0</v>
      </c>
      <c r="F87" s="168" t="str">
        <f t="shared" si="6"/>
        <v xml:space="preserve"> -</v>
      </c>
      <c r="G87" s="168" t="str">
        <f t="shared" si="7"/>
        <v xml:space="preserve"> -</v>
      </c>
    </row>
    <row r="88" spans="2:7" x14ac:dyDescent="0.25">
      <c r="B88" s="112" t="s">
        <v>311</v>
      </c>
      <c r="C88" s="170">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110620.76614515082</v>
      </c>
      <c r="D88" s="170">
        <f>ABS('2.1 Profit &amp; Loss by component'!$F$32*INDEX('2.2 Allocation to services'!$D$56:$D$65,MATCH('6. Pricing template'!B88,'2.2 Allocation to services'!$C$56:$C$65,0),1))-ABS('2.1 Profit &amp; Loss by component'!$F$26)*INDEX('2.2 Allocation to services'!$D$68:$D$77,MATCH('6. Pricing template'!B88,'2.2 Allocation to services'!$C$68:$C$77,0),1)</f>
        <v>47932.513359004806</v>
      </c>
      <c r="E88" s="169">
        <f>INDEX('5. Historical demand'!$C$26:$C$35,MATCH('6. Pricing template'!B88,'5. Historical demand'!$B$26:$B$35,0),1)*(Yearending-Yearstart)</f>
        <v>0</v>
      </c>
      <c r="F88" s="168" t="str">
        <f t="shared" si="6"/>
        <v xml:space="preserve"> -</v>
      </c>
      <c r="G88" s="168" t="str">
        <f t="shared" si="7"/>
        <v xml:space="preserve"> -</v>
      </c>
    </row>
    <row r="90" spans="2:7" ht="15.5" x14ac:dyDescent="0.35">
      <c r="B90" s="183" t="s">
        <v>117</v>
      </c>
    </row>
    <row r="91" spans="2:7" ht="13" x14ac:dyDescent="0.3">
      <c r="B91" s="167" t="s">
        <v>194</v>
      </c>
      <c r="C91" s="188" t="s">
        <v>427</v>
      </c>
      <c r="D91" s="188" t="s">
        <v>195</v>
      </c>
      <c r="E91" s="188" t="s">
        <v>196</v>
      </c>
    </row>
    <row r="92" spans="2:7" x14ac:dyDescent="0.25">
      <c r="B92" s="112" t="s">
        <v>360</v>
      </c>
      <c r="C92" s="170">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37048068.806632005</v>
      </c>
      <c r="D92" s="170">
        <f>ABS('2.1 Profit &amp; Loss by component'!$F$26)*INDEX('2.2 Allocation to services'!$D$68:$D$77,MATCH('6. Pricing template'!B79,'2.2 Allocation to services'!$C$68:$C$77,0),1)/(Yearending-Yearstart)*365</f>
        <v>3389365.432413457</v>
      </c>
      <c r="E92" s="166">
        <f t="shared" ref="E92:E101" si="8">IFERROR(C92/D92," - ")</f>
        <v>10.930679959242777</v>
      </c>
    </row>
    <row r="93" spans="2:7" x14ac:dyDescent="0.25">
      <c r="B93" s="112" t="s">
        <v>450</v>
      </c>
      <c r="C93" s="170">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70">
        <f>ABS('2.1 Profit &amp; Loss by component'!$F$26)*INDEX('2.2 Allocation to services'!$D$68:$D$77,MATCH('6. Pricing template'!B80,'2.2 Allocation to services'!$C$68:$C$77,0),1)/(Yearending-Yearstart)*365</f>
        <v>0</v>
      </c>
      <c r="E93" s="166" t="str">
        <f t="shared" si="8"/>
        <v xml:space="preserve"> - </v>
      </c>
      <c r="G93" s="165"/>
    </row>
    <row r="94" spans="2:7" x14ac:dyDescent="0.25">
      <c r="B94" s="112" t="s">
        <v>362</v>
      </c>
      <c r="C94" s="170">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8191541.4761328017</v>
      </c>
      <c r="D94" s="170">
        <f>ABS('2.1 Profit &amp; Loss by component'!$F$26)*INDEX('2.2 Allocation to services'!$D$68:$D$77,MATCH('6. Pricing template'!B81,'2.2 Allocation to services'!$C$68:$C$77,0),1)/(Yearending-Yearstart)*365</f>
        <v>749408.2258996329</v>
      </c>
      <c r="E94" s="166">
        <f t="shared" si="8"/>
        <v>10.930679959242777</v>
      </c>
    </row>
    <row r="95" spans="2:7" x14ac:dyDescent="0.25">
      <c r="B95" s="112" t="s">
        <v>363</v>
      </c>
      <c r="C95" s="170">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70">
        <f>ABS('2.1 Profit &amp; Loss by component'!$F$26)*INDEX('2.2 Allocation to services'!$D$68:$D$77,MATCH('6. Pricing template'!B82,'2.2 Allocation to services'!$C$68:$C$77,0),1)/(Yearending-Yearstart)*365</f>
        <v>0</v>
      </c>
      <c r="E95" s="166" t="str">
        <f t="shared" si="8"/>
        <v xml:space="preserve"> - </v>
      </c>
    </row>
    <row r="96" spans="2:7" x14ac:dyDescent="0.25">
      <c r="B96" s="194" t="s">
        <v>364</v>
      </c>
      <c r="C96" s="170">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70">
        <f>ABS('2.1 Profit &amp; Loss by component'!$F$26)*INDEX('2.2 Allocation to services'!$D$68:$D$77,MATCH('6. Pricing template'!B83,'2.2 Allocation to services'!$C$68:$C$77,0),1)/(Yearending-Yearstart)*365</f>
        <v>0</v>
      </c>
      <c r="E96" s="166" t="str">
        <f t="shared" si="8"/>
        <v xml:space="preserve"> - </v>
      </c>
    </row>
    <row r="97" spans="2:7" x14ac:dyDescent="0.25">
      <c r="B97" s="112" t="s">
        <v>451</v>
      </c>
      <c r="C97" s="170">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70">
        <f>ABS('2.1 Profit &amp; Loss by component'!$F$26)*INDEX('2.2 Allocation to services'!$D$68:$D$77,MATCH('6. Pricing template'!B84,'2.2 Allocation to services'!$C$68:$C$77,0),1)/(Yearending-Yearstart)*365</f>
        <v>0</v>
      </c>
      <c r="E97" s="166" t="str">
        <f t="shared" si="8"/>
        <v xml:space="preserve"> - </v>
      </c>
    </row>
    <row r="98" spans="2:7" x14ac:dyDescent="0.25">
      <c r="B98" s="112" t="s">
        <v>366</v>
      </c>
      <c r="C98" s="170">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70">
        <f>ABS('2.1 Profit &amp; Loss by component'!$F$26)*INDEX('2.2 Allocation to services'!$D$68:$D$77,MATCH('6. Pricing template'!B85,'2.2 Allocation to services'!$C$68:$C$77,0),1)/(Yearending-Yearstart)*365</f>
        <v>0</v>
      </c>
      <c r="E98" s="166" t="str">
        <f t="shared" si="8"/>
        <v xml:space="preserve"> - </v>
      </c>
    </row>
    <row r="99" spans="2:7" x14ac:dyDescent="0.25">
      <c r="B99" s="112" t="s">
        <v>367</v>
      </c>
      <c r="C99" s="170">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13286.558146759537</v>
      </c>
      <c r="D99" s="170">
        <f>ABS('2.1 Profit &amp; Loss by component'!$F$26)*INDEX('2.2 Allocation to services'!$D$68:$D$77,MATCH('6. Pricing template'!B86,'2.2 Allocation to services'!$C$68:$C$77,0),1)/(Yearending-Yearstart)*365</f>
        <v>1215.5289694969683</v>
      </c>
      <c r="E99" s="166">
        <f t="shared" si="8"/>
        <v>10.930679959242777</v>
      </c>
    </row>
    <row r="100" spans="2:7" x14ac:dyDescent="0.25">
      <c r="B100" s="112" t="s">
        <v>368</v>
      </c>
      <c r="C100" s="170">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0</v>
      </c>
      <c r="D100" s="170">
        <f>ABS('2.1 Profit &amp; Loss by component'!$F$26)*INDEX('2.2 Allocation to services'!$D$68:$D$77,MATCH('6. Pricing template'!B87,'2.2 Allocation to services'!$C$68:$C$77,0),1)/(Yearending-Yearstart)*365</f>
        <v>0</v>
      </c>
      <c r="E100" s="166" t="str">
        <f t="shared" si="8"/>
        <v xml:space="preserve"> - </v>
      </c>
    </row>
    <row r="101" spans="2:7" x14ac:dyDescent="0.25">
      <c r="B101" s="112" t="s">
        <v>311</v>
      </c>
      <c r="C101" s="170">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1286310.2490884373</v>
      </c>
      <c r="D101" s="170">
        <f>ABS('2.1 Profit &amp; Loss by component'!$F$26)*INDEX('2.2 Allocation to services'!$D$68:$D$77,MATCH('6. Pricing template'!B88,'2.2 Allocation to services'!$C$68:$C$77,0),1)/(Yearending-Yearstart)*365</f>
        <v>117678.88675587445</v>
      </c>
      <c r="E101" s="166">
        <f t="shared" si="8"/>
        <v>10.930679959242779</v>
      </c>
    </row>
    <row r="103" spans="2:7" s="171" customFormat="1" ht="27" customHeight="1" x14ac:dyDescent="0.25">
      <c r="B103" s="164" t="s">
        <v>228</v>
      </c>
      <c r="C103" s="172" t="s">
        <v>278</v>
      </c>
      <c r="D103" s="172" t="s">
        <v>279</v>
      </c>
      <c r="E103" s="172" t="s">
        <v>347</v>
      </c>
      <c r="F103" s="173" t="s">
        <v>334</v>
      </c>
      <c r="G103" s="200" t="s">
        <v>335</v>
      </c>
    </row>
    <row r="104" spans="2:7" x14ac:dyDescent="0.25">
      <c r="B104" s="112" t="s">
        <v>360</v>
      </c>
      <c r="C104" s="170">
        <f>ABS('2.1 Profit &amp; Loss by component'!$F$26+'2.1 Profit &amp; Loss by component'!$F$37)*INDEX('2.2 Allocation to services'!$D$68:$D$77,MATCH(B104,'2.2 Allocation to services'!$C$68:$C$77,0),1)</f>
        <v>3866806.1157826376</v>
      </c>
      <c r="D104" s="170">
        <f>ABS('2.1 Profit &amp; Loss by component'!$F$26*INDEX('2.2 Allocation to services'!$D$68:$D$77,MATCH(B104,'2.2 Allocation to services'!$C$68:$C$77,0),1))</f>
        <v>3380079.4997219131</v>
      </c>
      <c r="E104" s="169">
        <f>INDEX('5. Historical demand'!$C$26:$C$35,MATCH(B104,'5. Historical demand'!$B$26:$B$35,0),1)*(Yearending-Yearstart)</f>
        <v>54830.167671232753</v>
      </c>
      <c r="F104" s="201">
        <f>IFERROR(C104/(E104*1000)," - ")</f>
        <v>7.0523331954197174E-2</v>
      </c>
      <c r="G104" s="201">
        <f>IFERROR(D104/(E104*1000)," - ")</f>
        <v>6.1646346222926265E-2</v>
      </c>
    </row>
    <row r="105" spans="2:7" x14ac:dyDescent="0.25">
      <c r="B105" s="112" t="s">
        <v>450</v>
      </c>
      <c r="C105" s="170">
        <f>ABS('2.1 Profit &amp; Loss by component'!$F$26+'2.1 Profit &amp; Loss by component'!$F$37)*INDEX('2.2 Allocation to services'!$D$68:$D$77,MATCH(B105,'2.2 Allocation to services'!$C$68:$C$77,0),1)</f>
        <v>0</v>
      </c>
      <c r="D105" s="170">
        <f>ABS('2.1 Profit &amp; Loss by component'!$F$26*INDEX('2.2 Allocation to services'!$D$68:$D$77,MATCH(B105,'2.2 Allocation to services'!$C$68:$C$77,0),1))</f>
        <v>0</v>
      </c>
      <c r="E105" s="169">
        <f>INDEX('5. Historical demand'!$C$26:$C$35,MATCH(B105,'5. Historical demand'!$B$26:$B$35,0),1)*(Yearending-Yearstart)</f>
        <v>0</v>
      </c>
      <c r="F105" s="201" t="str">
        <f t="shared" ref="F105:F113" si="9">IFERROR(C105/(E105*1000)," - ")</f>
        <v xml:space="preserve"> - </v>
      </c>
      <c r="G105" s="201" t="str">
        <f t="shared" ref="G105:G113" si="10">IFERROR(D105/(E105*1000)," - ")</f>
        <v xml:space="preserve"> - </v>
      </c>
    </row>
    <row r="106" spans="2:7" x14ac:dyDescent="0.25">
      <c r="B106" s="112" t="s">
        <v>362</v>
      </c>
      <c r="C106" s="170">
        <f>ABS('2.1 Profit &amp; Loss by component'!$F$26+'2.1 Profit &amp; Loss by component'!$F$37)*INDEX('2.2 Allocation to services'!$D$68:$D$77,MATCH(B106,'2.2 Allocation to services'!$C$68:$C$77,0),1)</f>
        <v>854973.11190286023</v>
      </c>
      <c r="D106" s="170">
        <f>ABS('2.1 Profit &amp; Loss by component'!$F$26*INDEX('2.2 Allocation to services'!$D$68:$D$77,MATCH(B106,'2.2 Allocation to services'!$C$68:$C$77,0),1))</f>
        <v>747355.05267799005</v>
      </c>
      <c r="E106" s="169">
        <f>INDEX('5. Historical demand'!$C$26:$C$35,MATCH(B106,'5. Historical demand'!$B$26:$B$35,0),1)*(Yearending-Yearstart)</f>
        <v>0</v>
      </c>
      <c r="F106" s="201" t="str">
        <f t="shared" si="9"/>
        <v xml:space="preserve"> - </v>
      </c>
      <c r="G106" s="201" t="str">
        <f t="shared" si="10"/>
        <v xml:space="preserve"> - </v>
      </c>
    </row>
    <row r="107" spans="2:7" x14ac:dyDescent="0.25">
      <c r="B107" s="112" t="s">
        <v>363</v>
      </c>
      <c r="C107" s="170">
        <f>ABS('2.1 Profit &amp; Loss by component'!$F$26+'2.1 Profit &amp; Loss by component'!$F$37)*INDEX('2.2 Allocation to services'!$D$68:$D$77,MATCH(B107,'2.2 Allocation to services'!$C$68:$C$77,0),1)</f>
        <v>0</v>
      </c>
      <c r="D107" s="170">
        <f>ABS('2.1 Profit &amp; Loss by component'!$F$26*INDEX('2.2 Allocation to services'!$D$68:$D$77,MATCH(B107,'2.2 Allocation to services'!$C$68:$C$77,0),1))</f>
        <v>0</v>
      </c>
      <c r="E107" s="169">
        <f>INDEX('5. Historical demand'!$C$26:$C$35,MATCH(B107,'5. Historical demand'!$B$26:$B$35,0),1)*(Yearending-Yearstart)</f>
        <v>0</v>
      </c>
      <c r="F107" s="201" t="str">
        <f t="shared" si="9"/>
        <v xml:space="preserve"> - </v>
      </c>
      <c r="G107" s="201" t="str">
        <f t="shared" si="10"/>
        <v xml:space="preserve"> - </v>
      </c>
    </row>
    <row r="108" spans="2:7" x14ac:dyDescent="0.25">
      <c r="B108" s="194" t="s">
        <v>364</v>
      </c>
      <c r="C108" s="170">
        <f>ABS('2.1 Profit &amp; Loss by component'!$F$26+'2.1 Profit &amp; Loss by component'!$F$37)*INDEX('2.2 Allocation to services'!$D$68:$D$77,MATCH(B108,'2.2 Allocation to services'!$C$68:$C$77,0),1)</f>
        <v>0</v>
      </c>
      <c r="D108" s="170">
        <f>ABS('2.1 Profit &amp; Loss by component'!$F$26*INDEX('2.2 Allocation to services'!$D$68:$D$77,MATCH(B108,'2.2 Allocation to services'!$C$68:$C$77,0),1))</f>
        <v>0</v>
      </c>
      <c r="E108" s="169">
        <f>INDEX('5. Historical demand'!$C$26:$C$35,MATCH(B108,'5. Historical demand'!$B$26:$B$35,0),1)*(Yearending-Yearstart)</f>
        <v>0</v>
      </c>
      <c r="F108" s="201" t="str">
        <f t="shared" si="9"/>
        <v xml:space="preserve"> - </v>
      </c>
      <c r="G108" s="201" t="str">
        <f t="shared" si="10"/>
        <v xml:space="preserve"> - </v>
      </c>
    </row>
    <row r="109" spans="2:7" x14ac:dyDescent="0.25">
      <c r="B109" s="112" t="s">
        <v>451</v>
      </c>
      <c r="C109" s="170">
        <f>ABS('2.1 Profit &amp; Loss by component'!$F$26+'2.1 Profit &amp; Loss by component'!$F$37)*INDEX('2.2 Allocation to services'!$D$68:$D$77,MATCH(B109,'2.2 Allocation to services'!$C$68:$C$77,0),1)</f>
        <v>0</v>
      </c>
      <c r="D109" s="170">
        <f>ABS('2.1 Profit &amp; Loss by component'!$F$26*INDEX('2.2 Allocation to services'!$D$68:$D$77,MATCH(B109,'2.2 Allocation to services'!$C$68:$C$77,0),1))</f>
        <v>0</v>
      </c>
      <c r="E109" s="169">
        <f>INDEX('5. Historical demand'!$C$26:$C$35,MATCH(B109,'5. Historical demand'!$B$26:$B$35,0),1)*(Yearending-Yearstart)</f>
        <v>0</v>
      </c>
      <c r="F109" s="201" t="str">
        <f t="shared" si="9"/>
        <v xml:space="preserve"> - </v>
      </c>
      <c r="G109" s="201" t="str">
        <f t="shared" si="10"/>
        <v xml:space="preserve"> - </v>
      </c>
    </row>
    <row r="110" spans="2:7" x14ac:dyDescent="0.25">
      <c r="B110" s="112" t="s">
        <v>366</v>
      </c>
      <c r="C110" s="170">
        <f>ABS('2.1 Profit &amp; Loss by component'!$F$26+'2.1 Profit &amp; Loss by component'!$F$37)*INDEX('2.2 Allocation to services'!$D$68:$D$77,MATCH(B110,'2.2 Allocation to services'!$C$68:$C$77,0),1)</f>
        <v>0</v>
      </c>
      <c r="D110" s="170">
        <f>ABS('2.1 Profit &amp; Loss by component'!$F$26*INDEX('2.2 Allocation to services'!$D$68:$D$77,MATCH(B110,'2.2 Allocation to services'!$C$68:$C$77,0),1))</f>
        <v>0</v>
      </c>
      <c r="E110" s="169">
        <f>INDEX('5. Historical demand'!$C$26:$C$35,MATCH(B110,'5. Historical demand'!$B$26:$B$35,0),1)*(Yearending-Yearstart)</f>
        <v>0</v>
      </c>
      <c r="F110" s="201" t="str">
        <f t="shared" si="9"/>
        <v xml:space="preserve"> - </v>
      </c>
      <c r="G110" s="201" t="str">
        <f t="shared" si="10"/>
        <v xml:space="preserve"> - </v>
      </c>
    </row>
    <row r="111" spans="2:7" x14ac:dyDescent="0.25">
      <c r="B111" s="112" t="s">
        <v>367</v>
      </c>
      <c r="C111" s="170">
        <f>ABS('2.1 Profit &amp; Loss by component'!$F$26+'2.1 Profit &amp; Loss by component'!$F$37)*INDEX('2.2 Allocation to services'!$D$68:$D$77,MATCH(B111,'2.2 Allocation to services'!$C$68:$C$77,0),1)</f>
        <v>1386.753640729431</v>
      </c>
      <c r="D111" s="170">
        <f>ABS('2.1 Profit &amp; Loss by component'!$F$26*INDEX('2.2 Allocation to services'!$D$68:$D$77,MATCH(B111,'2.2 Allocation to services'!$C$68:$C$77,0),1))</f>
        <v>1212.1987531421821</v>
      </c>
      <c r="E111" s="169">
        <f>INDEX('5. Historical demand'!$C$26:$C$35,MATCH(B111,'5. Historical demand'!$B$26:$B$35,0),1)*(Yearending-Yearstart)</f>
        <v>0</v>
      </c>
      <c r="F111" s="201" t="str">
        <f t="shared" si="9"/>
        <v xml:space="preserve"> - </v>
      </c>
      <c r="G111" s="201" t="str">
        <f t="shared" si="10"/>
        <v xml:space="preserve"> - </v>
      </c>
    </row>
    <row r="112" spans="2:7" x14ac:dyDescent="0.25">
      <c r="B112" s="112" t="s">
        <v>368</v>
      </c>
      <c r="C112" s="170">
        <f>ABS('2.1 Profit &amp; Loss by component'!$F$26+'2.1 Profit &amp; Loss by component'!$F$37)*INDEX('2.2 Allocation to services'!$D$68:$D$77,MATCH(B112,'2.2 Allocation to services'!$C$68:$C$77,0),1)</f>
        <v>0</v>
      </c>
      <c r="D112" s="170">
        <f>ABS('2.1 Profit &amp; Loss by component'!$F$26*INDEX('2.2 Allocation to services'!$D$68:$D$77,MATCH(B112,'2.2 Allocation to services'!$C$68:$C$77,0),1))</f>
        <v>0</v>
      </c>
      <c r="E112" s="169">
        <f>INDEX('5. Historical demand'!$C$26:$C$35,MATCH(B112,'5. Historical demand'!$B$26:$B$35,0),1)*(Yearending-Yearstart)</f>
        <v>0</v>
      </c>
      <c r="F112" s="201" t="str">
        <f t="shared" si="9"/>
        <v xml:space="preserve"> - </v>
      </c>
      <c r="G112" s="201" t="str">
        <f t="shared" si="10"/>
        <v xml:space="preserve"> - </v>
      </c>
    </row>
    <row r="113" spans="2:7" x14ac:dyDescent="0.25">
      <c r="B113" s="112" t="s">
        <v>311</v>
      </c>
      <c r="C113" s="170">
        <f>ABS('2.1 Profit &amp; Loss by component'!$F$26+'2.1 Profit &amp; Loss by component'!$F$37)*INDEX('2.2 Allocation to services'!$D$68:$D$77,MATCH(B113,'2.2 Allocation to services'!$C$68:$C$77,0),1)</f>
        <v>134255.64403720479</v>
      </c>
      <c r="D113" s="170">
        <f>ABS('2.1 Profit &amp; Loss by component'!$F$26*INDEX('2.2 Allocation to services'!$D$68:$D$77,MATCH(B113,'2.2 Allocation to services'!$C$68:$C$77,0),1))</f>
        <v>117356.47884695424</v>
      </c>
      <c r="E113" s="169">
        <f>INDEX('5. Historical demand'!$C$26:$C$35,MATCH(B113,'5. Historical demand'!$B$26:$B$35,0),1)*(Yearending-Yearstart)</f>
        <v>0</v>
      </c>
      <c r="F113" s="201" t="str">
        <f t="shared" si="9"/>
        <v xml:space="preserve"> - </v>
      </c>
      <c r="G113" s="201" t="str">
        <f t="shared" si="10"/>
        <v xml:space="preserve"> - </v>
      </c>
    </row>
    <row r="114" spans="2:7" ht="15.5" x14ac:dyDescent="0.35">
      <c r="B114" s="189"/>
    </row>
    <row r="115" spans="2:7" s="171" customFormat="1" ht="24.75" customHeight="1" x14ac:dyDescent="0.25">
      <c r="B115" s="164" t="s">
        <v>234</v>
      </c>
      <c r="C115" s="202" t="s">
        <v>236</v>
      </c>
      <c r="D115" s="202" t="s">
        <v>196</v>
      </c>
      <c r="E115" s="202" t="s">
        <v>238</v>
      </c>
      <c r="F115" s="172" t="s">
        <v>347</v>
      </c>
      <c r="G115" s="200" t="s">
        <v>336</v>
      </c>
    </row>
    <row r="116" spans="2:7" x14ac:dyDescent="0.25">
      <c r="B116" s="112" t="s">
        <v>360</v>
      </c>
      <c r="C116" s="110">
        <f>'4. Recovered Capital'!$E$37*C21</f>
        <v>18506069.775353078</v>
      </c>
      <c r="D116" s="166">
        <f>E92</f>
        <v>10.930679959242777</v>
      </c>
      <c r="E116" s="110">
        <f t="shared" ref="E116:E125" si="11">IFERROR(C116/D116, " - ")</f>
        <v>1693039.2111338594</v>
      </c>
      <c r="F116" s="169">
        <f>INDEX('5. Historical demand'!$C$26:$C$35,MATCH(B116,'5. Historical demand'!$B$26:$B$35,0),1)*(Yearending-Yearstart)</f>
        <v>54830.167671232753</v>
      </c>
      <c r="G116" s="201">
        <f>IFERROR(E116/(E104*1000), " - ")</f>
        <v>3.0877877691082294E-2</v>
      </c>
    </row>
    <row r="117" spans="2:7" x14ac:dyDescent="0.25">
      <c r="B117" s="112" t="s">
        <v>450</v>
      </c>
      <c r="C117" s="110">
        <f>'4. Recovered Capital'!$E$37*C22</f>
        <v>0</v>
      </c>
      <c r="D117" s="166" t="str">
        <f t="shared" ref="D117:D125" si="12">E93</f>
        <v xml:space="preserve"> - </v>
      </c>
      <c r="E117" s="110" t="str">
        <f t="shared" si="11"/>
        <v xml:space="preserve"> - </v>
      </c>
      <c r="F117" s="169">
        <f>INDEX('5. Historical demand'!$C$26:$C$35,MATCH(B117,'5. Historical demand'!$B$26:$B$35,0),1)*(Yearending-Yearstart)</f>
        <v>0</v>
      </c>
      <c r="G117" s="201" t="str">
        <f t="shared" ref="G117:G125" si="13">IFERROR(E117/(E105*1000), " - ")</f>
        <v xml:space="preserve"> - </v>
      </c>
    </row>
    <row r="118" spans="2:7" x14ac:dyDescent="0.25">
      <c r="B118" s="112" t="s">
        <v>362</v>
      </c>
      <c r="C118" s="110">
        <f>'4. Recovered Capital'!$E$37*C23</f>
        <v>4091798.6553154844</v>
      </c>
      <c r="D118" s="166">
        <f t="shared" si="12"/>
        <v>10.930679959242777</v>
      </c>
      <c r="E118" s="110">
        <f t="shared" si="11"/>
        <v>374340.72450868314</v>
      </c>
      <c r="F118" s="169">
        <f>INDEX('5. Historical demand'!$C$26:$C$35,MATCH(B118,'5. Historical demand'!$B$26:$B$35,0),1)*(Yearending-Yearstart)</f>
        <v>0</v>
      </c>
      <c r="G118" s="201" t="str">
        <f t="shared" si="13"/>
        <v xml:space="preserve"> - </v>
      </c>
    </row>
    <row r="119" spans="2:7" x14ac:dyDescent="0.25">
      <c r="B119" s="112" t="s">
        <v>363</v>
      </c>
      <c r="C119" s="110">
        <f>'4. Recovered Capital'!$E$37*C24</f>
        <v>0</v>
      </c>
      <c r="D119" s="166" t="str">
        <f t="shared" si="12"/>
        <v xml:space="preserve"> - </v>
      </c>
      <c r="E119" s="110" t="str">
        <f t="shared" si="11"/>
        <v xml:space="preserve"> - </v>
      </c>
      <c r="F119" s="169">
        <f>INDEX('5. Historical demand'!$C$26:$C$35,MATCH(B119,'5. Historical demand'!$B$26:$B$35,0),1)*(Yearending-Yearstart)</f>
        <v>0</v>
      </c>
      <c r="G119" s="201" t="str">
        <f t="shared" si="13"/>
        <v xml:space="preserve"> - </v>
      </c>
    </row>
    <row r="120" spans="2:7" x14ac:dyDescent="0.25">
      <c r="B120" s="194" t="s">
        <v>364</v>
      </c>
      <c r="C120" s="110">
        <f>'4. Recovered Capital'!$E$37*C25</f>
        <v>0</v>
      </c>
      <c r="D120" s="166" t="str">
        <f t="shared" si="12"/>
        <v xml:space="preserve"> - </v>
      </c>
      <c r="E120" s="110" t="str">
        <f t="shared" si="11"/>
        <v xml:space="preserve"> - </v>
      </c>
      <c r="F120" s="169">
        <f>INDEX('5. Historical demand'!$C$26:$C$35,MATCH(B120,'5. Historical demand'!$B$26:$B$35,0),1)*(Yearending-Yearstart)</f>
        <v>0</v>
      </c>
      <c r="G120" s="201" t="str">
        <f t="shared" si="13"/>
        <v xml:space="preserve"> - </v>
      </c>
    </row>
    <row r="121" spans="2:7" x14ac:dyDescent="0.25">
      <c r="B121" s="112" t="s">
        <v>451</v>
      </c>
      <c r="C121" s="110">
        <f>'4. Recovered Capital'!$E$37*C26</f>
        <v>0</v>
      </c>
      <c r="D121" s="166" t="str">
        <f t="shared" si="12"/>
        <v xml:space="preserve"> - </v>
      </c>
      <c r="E121" s="110" t="str">
        <f t="shared" si="11"/>
        <v xml:space="preserve"> - </v>
      </c>
      <c r="F121" s="169">
        <f>INDEX('5. Historical demand'!$C$26:$C$35,MATCH(B121,'5. Historical demand'!$B$26:$B$35,0),1)*(Yearending-Yearstart)</f>
        <v>0</v>
      </c>
      <c r="G121" s="201" t="str">
        <f t="shared" si="13"/>
        <v xml:space="preserve"> - </v>
      </c>
    </row>
    <row r="122" spans="2:7" x14ac:dyDescent="0.25">
      <c r="B122" s="112" t="s">
        <v>366</v>
      </c>
      <c r="C122" s="110">
        <f>'4. Recovered Capital'!$E$37*C27</f>
        <v>0</v>
      </c>
      <c r="D122" s="166" t="str">
        <f t="shared" si="12"/>
        <v xml:space="preserve"> - </v>
      </c>
      <c r="E122" s="110" t="str">
        <f t="shared" si="11"/>
        <v xml:space="preserve"> - </v>
      </c>
      <c r="F122" s="169">
        <f>INDEX('5. Historical demand'!$C$26:$C$35,MATCH(B122,'5. Historical demand'!$B$26:$B$35,0),1)*(Yearending-Yearstart)</f>
        <v>0</v>
      </c>
      <c r="G122" s="201" t="str">
        <f t="shared" si="13"/>
        <v xml:space="preserve"> - </v>
      </c>
    </row>
    <row r="123" spans="2:7" x14ac:dyDescent="0.25">
      <c r="B123" s="112" t="s">
        <v>367</v>
      </c>
      <c r="C123" s="110">
        <f>'4. Recovered Capital'!$E$37*C28</f>
        <v>6636.8364143774834</v>
      </c>
      <c r="D123" s="166">
        <f t="shared" si="12"/>
        <v>10.930679959242777</v>
      </c>
      <c r="E123" s="110">
        <f t="shared" si="11"/>
        <v>607.17507411471684</v>
      </c>
      <c r="F123" s="169">
        <f>INDEX('5. Historical demand'!$C$26:$C$35,MATCH(B123,'5. Historical demand'!$B$26:$B$35,0),1)*(Yearending-Yearstart)</f>
        <v>0</v>
      </c>
      <c r="G123" s="201" t="str">
        <f t="shared" si="13"/>
        <v xml:space="preserve"> - </v>
      </c>
    </row>
    <row r="124" spans="2:7" x14ac:dyDescent="0.25">
      <c r="B124" s="112" t="s">
        <v>368</v>
      </c>
      <c r="C124" s="110">
        <f>'4. Recovered Capital'!$E$37*C29</f>
        <v>0</v>
      </c>
      <c r="D124" s="166" t="str">
        <f t="shared" si="12"/>
        <v xml:space="preserve"> - </v>
      </c>
      <c r="E124" s="110" t="str">
        <f t="shared" si="11"/>
        <v xml:space="preserve"> - </v>
      </c>
      <c r="F124" s="169">
        <f>INDEX('5. Historical demand'!$C$26:$C$35,MATCH(B124,'5. Historical demand'!$B$26:$B$35,0),1)*(Yearending-Yearstart)</f>
        <v>0</v>
      </c>
      <c r="G124" s="201" t="str">
        <f t="shared" si="13"/>
        <v xml:space="preserve"> - </v>
      </c>
    </row>
    <row r="125" spans="2:7" x14ac:dyDescent="0.25">
      <c r="B125" s="112" t="s">
        <v>311</v>
      </c>
      <c r="C125" s="110">
        <f>'4. Recovered Capital'!$E$37*C30</f>
        <v>642531.39203091594</v>
      </c>
      <c r="D125" s="166">
        <f t="shared" si="12"/>
        <v>10.930679959242779</v>
      </c>
      <c r="E125" s="110">
        <f t="shared" si="11"/>
        <v>58782.380824131935</v>
      </c>
      <c r="F125" s="169">
        <f>INDEX('5. Historical demand'!$C$26:$C$35,MATCH(B125,'5. Historical demand'!$B$26:$B$35,0),1)*(Yearending-Yearstart)</f>
        <v>0</v>
      </c>
      <c r="G125" s="201" t="str">
        <f t="shared" si="13"/>
        <v xml:space="preserve"> - </v>
      </c>
    </row>
    <row r="127" spans="2:7" ht="15.5" x14ac:dyDescent="0.35">
      <c r="B127" s="183" t="s">
        <v>223</v>
      </c>
    </row>
    <row r="128" spans="2:7" ht="13" x14ac:dyDescent="0.3">
      <c r="B128" s="167" t="s">
        <v>229</v>
      </c>
      <c r="C128" s="167"/>
    </row>
    <row r="129" spans="2:10" ht="13" x14ac:dyDescent="0.3">
      <c r="B129" s="167" t="s">
        <v>230</v>
      </c>
      <c r="C129" s="203">
        <f>IF(IFERROR(INDEX('4. Recovered Capital'!F39:BH39,1,MATCH(VALUE(RIGHT(TEXT(Yearending,"dd/mm/yyyy"),4)),'4. Recovered Capital'!$F$12:$BH$12,0)),)=0," - ",IFERROR(INDEX('4. Recovered Capital'!F39:BH39,1,MATCH(VALUE(RIGHT(TEXT(Yearending,"dd/mm/yyyy"),4)),'4. Recovered Capital'!$F$12:$BH$12,0)),))</f>
        <v>7.466260359614646E-2</v>
      </c>
    </row>
    <row r="130" spans="2:10" ht="13" x14ac:dyDescent="0.3">
      <c r="B130" s="167" t="s">
        <v>231</v>
      </c>
      <c r="C130" s="203">
        <f>IFERROR((C129-E21*E22)/(1-E22), " - ")</f>
        <v>0.11975650899036615</v>
      </c>
    </row>
    <row r="131" spans="2:10" ht="13" x14ac:dyDescent="0.3">
      <c r="B131" s="167" t="s">
        <v>232</v>
      </c>
      <c r="C131" s="203">
        <f>IFERROR(C130/(1-E23*(1-E24))," - ")</f>
        <v>0.13749312168813566</v>
      </c>
    </row>
    <row r="132" spans="2:10" ht="13" x14ac:dyDescent="0.3">
      <c r="B132" s="167" t="s">
        <v>233</v>
      </c>
      <c r="C132" s="203">
        <f>IFERROR(C131-C130," - ")</f>
        <v>1.7736612697769508E-2</v>
      </c>
    </row>
    <row r="133" spans="2:10" ht="13" x14ac:dyDescent="0.3">
      <c r="B133" s="167" t="s">
        <v>235</v>
      </c>
      <c r="C133" s="203">
        <f>IFERROR(C132*(1-E22)," - ")</f>
        <v>7.0946450791078038E-3</v>
      </c>
    </row>
    <row r="134" spans="2:10" ht="13" x14ac:dyDescent="0.3">
      <c r="B134" s="167" t="s">
        <v>237</v>
      </c>
      <c r="C134" s="203">
        <f>IFERROR(C129+C133," - ")</f>
        <v>8.175724867525426E-2</v>
      </c>
    </row>
    <row r="136" spans="2:10" s="283" customFormat="1" ht="26.25" customHeight="1" x14ac:dyDescent="0.25">
      <c r="B136" s="281" t="s">
        <v>282</v>
      </c>
      <c r="C136" s="172" t="s">
        <v>459</v>
      </c>
      <c r="D136" s="202" t="s">
        <v>230</v>
      </c>
      <c r="E136" s="202" t="s">
        <v>235</v>
      </c>
      <c r="F136" s="202" t="s">
        <v>100</v>
      </c>
      <c r="G136" s="202" t="s">
        <v>239</v>
      </c>
      <c r="H136" s="172" t="s">
        <v>347</v>
      </c>
      <c r="I136" s="282" t="s">
        <v>337</v>
      </c>
      <c r="J136" s="282" t="s">
        <v>338</v>
      </c>
    </row>
    <row r="137" spans="2:10" x14ac:dyDescent="0.25">
      <c r="B137" s="112" t="s">
        <v>360</v>
      </c>
      <c r="C137" s="110">
        <f>IF(Cover!$C$23="Scheme pipeline",'3.2 Regulatory Asset Base'!$H$78*'6. Pricing template'!C21,C92+'3.1 Depreciated Book Value'!$D$80*'6. Pricing template'!C21)</f>
        <v>37146211.768236794</v>
      </c>
      <c r="D137" s="203">
        <f t="shared" ref="D137:D146" si="14">$C$129</f>
        <v>7.466260359614646E-2</v>
      </c>
      <c r="E137" s="203">
        <f t="shared" ref="E137:E146" si="15">$C$133</f>
        <v>7.0946450791078038E-3</v>
      </c>
      <c r="F137" s="110">
        <f t="shared" ref="F137:F146" si="16">IFERROR(C137*D137, " -")</f>
        <v>2773432.8843503743</v>
      </c>
      <c r="G137" s="110">
        <f t="shared" ref="G137:G146" si="17">IFERROR(C137*E137, " -")</f>
        <v>263539.18852901756</v>
      </c>
      <c r="H137" s="169">
        <f>INDEX('5. Historical demand'!$C$26:$C$35,MATCH(B137,'5. Historical demand'!$B$26:$B$35,0),1)*(Yearending-Yearstart)</f>
        <v>54830.167671232753</v>
      </c>
      <c r="I137" s="201">
        <f>IFERROR(F137/(H137*1000)," - ")</f>
        <v>5.0582243355157312E-2</v>
      </c>
      <c r="J137" s="201">
        <f>IFERROR(G137/(H137*1000)," - ")</f>
        <v>4.8064632978915053E-3</v>
      </c>
    </row>
    <row r="138" spans="2:10" x14ac:dyDescent="0.25">
      <c r="B138" s="112" t="s">
        <v>450</v>
      </c>
      <c r="C138" s="110">
        <f>IF(Cover!$C$23="Scheme pipeline",'3.2 Regulatory Asset Base'!$H$78*'6. Pricing template'!C22,C93+'3.1 Depreciated Book Value'!$D$80*'6. Pricing template'!C22)</f>
        <v>0</v>
      </c>
      <c r="D138" s="203">
        <f t="shared" si="14"/>
        <v>7.466260359614646E-2</v>
      </c>
      <c r="E138" s="203">
        <f t="shared" si="15"/>
        <v>7.0946450791078038E-3</v>
      </c>
      <c r="F138" s="110">
        <f t="shared" si="16"/>
        <v>0</v>
      </c>
      <c r="G138" s="110">
        <f t="shared" si="17"/>
        <v>0</v>
      </c>
      <c r="H138" s="169">
        <f>INDEX('5. Historical demand'!$C$26:$C$35,MATCH(B138,'5. Historical demand'!$B$26:$B$35,0),1)*(Yearending-Yearstart)</f>
        <v>0</v>
      </c>
      <c r="I138" s="201" t="str">
        <f t="shared" ref="I138:I146" si="18">IFERROR(F138/(H138*1000)," - ")</f>
        <v xml:space="preserve"> - </v>
      </c>
      <c r="J138" s="201" t="str">
        <f t="shared" ref="J138:J146" si="19">IFERROR(G138/(H138*1000)," - ")</f>
        <v xml:space="preserve"> - </v>
      </c>
    </row>
    <row r="139" spans="2:10" x14ac:dyDescent="0.25">
      <c r="B139" s="112" t="s">
        <v>362</v>
      </c>
      <c r="C139" s="110">
        <f>IF(Cover!$C$23="Scheme pipeline",'3.2 Regulatory Asset Base'!$H$78*'6. Pricing template'!C23,C94+'3.1 Depreciated Book Value'!$D$80*'6. Pricing template'!C23)</f>
        <v>8213241.4504222088</v>
      </c>
      <c r="D139" s="203">
        <f t="shared" si="14"/>
        <v>7.466260359614646E-2</v>
      </c>
      <c r="E139" s="203">
        <f t="shared" si="15"/>
        <v>7.0946450791078038E-3</v>
      </c>
      <c r="F139" s="110">
        <f t="shared" si="16"/>
        <v>613221.99065231241</v>
      </c>
      <c r="G139" s="110">
        <f t="shared" si="17"/>
        <v>58270.033039762166</v>
      </c>
      <c r="H139" s="169">
        <f>INDEX('5. Historical demand'!$C$26:$C$35,MATCH(B139,'5. Historical demand'!$B$26:$B$35,0),1)*(Yearending-Yearstart)</f>
        <v>0</v>
      </c>
      <c r="I139" s="201" t="str">
        <f t="shared" si="18"/>
        <v xml:space="preserve"> - </v>
      </c>
      <c r="J139" s="201" t="str">
        <f t="shared" si="19"/>
        <v xml:space="preserve"> - </v>
      </c>
    </row>
    <row r="140" spans="2:10" x14ac:dyDescent="0.25">
      <c r="B140" s="112" t="s">
        <v>363</v>
      </c>
      <c r="C140" s="110">
        <f>IF(Cover!$C$23="Scheme pipeline",'3.2 Regulatory Asset Base'!$H$78*'6. Pricing template'!C24,C95+'3.1 Depreciated Book Value'!$D$80*'6. Pricing template'!C24)</f>
        <v>0</v>
      </c>
      <c r="D140" s="203">
        <f t="shared" si="14"/>
        <v>7.466260359614646E-2</v>
      </c>
      <c r="E140" s="203">
        <f t="shared" si="15"/>
        <v>7.0946450791078038E-3</v>
      </c>
      <c r="F140" s="110">
        <f t="shared" si="16"/>
        <v>0</v>
      </c>
      <c r="G140" s="110">
        <f t="shared" si="17"/>
        <v>0</v>
      </c>
      <c r="H140" s="169">
        <f>INDEX('5. Historical demand'!$C$26:$C$35,MATCH(B140,'5. Historical demand'!$B$26:$B$35,0),1)*(Yearending-Yearstart)</f>
        <v>0</v>
      </c>
      <c r="I140" s="201" t="str">
        <f t="shared" si="18"/>
        <v xml:space="preserve"> - </v>
      </c>
      <c r="J140" s="201" t="str">
        <f t="shared" si="19"/>
        <v xml:space="preserve"> - </v>
      </c>
    </row>
    <row r="141" spans="2:10" x14ac:dyDescent="0.25">
      <c r="B141" s="194" t="s">
        <v>364</v>
      </c>
      <c r="C141" s="110">
        <f>IF(Cover!$C$23="Scheme pipeline",'3.2 Regulatory Asset Base'!$H$78*'6. Pricing template'!C25,C96+'3.1 Depreciated Book Value'!$D$80*'6. Pricing template'!C25)</f>
        <v>0</v>
      </c>
      <c r="D141" s="203">
        <f t="shared" si="14"/>
        <v>7.466260359614646E-2</v>
      </c>
      <c r="E141" s="203">
        <f t="shared" si="15"/>
        <v>7.0946450791078038E-3</v>
      </c>
      <c r="F141" s="110">
        <f t="shared" si="16"/>
        <v>0</v>
      </c>
      <c r="G141" s="110">
        <f t="shared" si="17"/>
        <v>0</v>
      </c>
      <c r="H141" s="169">
        <f>INDEX('5. Historical demand'!$C$26:$C$35,MATCH(B141,'5. Historical demand'!$B$26:$B$35,0),1)*(Yearending-Yearstart)</f>
        <v>0</v>
      </c>
      <c r="I141" s="201" t="str">
        <f t="shared" si="18"/>
        <v xml:space="preserve"> - </v>
      </c>
      <c r="J141" s="201" t="str">
        <f t="shared" si="19"/>
        <v xml:space="preserve"> - </v>
      </c>
    </row>
    <row r="142" spans="2:10" x14ac:dyDescent="0.25">
      <c r="B142" s="112" t="s">
        <v>451</v>
      </c>
      <c r="C142" s="110">
        <f>IF(Cover!$C$23="Scheme pipeline",'3.2 Regulatory Asset Base'!$H$78*'6. Pricing template'!C26,C97+'3.1 Depreciated Book Value'!$D$80*'6. Pricing template'!C26)</f>
        <v>0</v>
      </c>
      <c r="D142" s="203">
        <f t="shared" si="14"/>
        <v>7.466260359614646E-2</v>
      </c>
      <c r="E142" s="203">
        <f t="shared" si="15"/>
        <v>7.0946450791078038E-3</v>
      </c>
      <c r="F142" s="110">
        <f t="shared" si="16"/>
        <v>0</v>
      </c>
      <c r="G142" s="110">
        <f t="shared" si="17"/>
        <v>0</v>
      </c>
      <c r="H142" s="169">
        <f>INDEX('5. Historical demand'!$C$26:$C$35,MATCH(B142,'5. Historical demand'!$B$26:$B$35,0),1)*(Yearending-Yearstart)</f>
        <v>0</v>
      </c>
      <c r="I142" s="201" t="str">
        <f t="shared" si="18"/>
        <v xml:space="preserve"> - </v>
      </c>
      <c r="J142" s="201" t="str">
        <f t="shared" si="19"/>
        <v xml:space="preserve"> - </v>
      </c>
    </row>
    <row r="143" spans="2:10" x14ac:dyDescent="0.25">
      <c r="B143" s="112" t="s">
        <v>366</v>
      </c>
      <c r="C143" s="110">
        <f>IF(Cover!$C$23="Scheme pipeline",'3.2 Regulatory Asset Base'!$H$78*'6. Pricing template'!C27,C98+'3.1 Depreciated Book Value'!$D$80*'6. Pricing template'!C27)</f>
        <v>0</v>
      </c>
      <c r="D143" s="203">
        <f t="shared" si="14"/>
        <v>7.466260359614646E-2</v>
      </c>
      <c r="E143" s="203">
        <f t="shared" si="15"/>
        <v>7.0946450791078038E-3</v>
      </c>
      <c r="F143" s="110">
        <f t="shared" si="16"/>
        <v>0</v>
      </c>
      <c r="G143" s="110">
        <f t="shared" si="17"/>
        <v>0</v>
      </c>
      <c r="H143" s="169">
        <f>INDEX('5. Historical demand'!$C$26:$C$35,MATCH(B143,'5. Historical demand'!$B$26:$B$35,0),1)*(Yearending-Yearstart)</f>
        <v>0</v>
      </c>
      <c r="I143" s="201" t="str">
        <f t="shared" si="18"/>
        <v xml:space="preserve"> - </v>
      </c>
      <c r="J143" s="201" t="str">
        <f t="shared" si="19"/>
        <v xml:space="preserve"> - </v>
      </c>
    </row>
    <row r="144" spans="2:10" x14ac:dyDescent="0.25">
      <c r="B144" s="112" t="s">
        <v>367</v>
      </c>
      <c r="C144" s="110">
        <f>IF(Cover!$C$23="Scheme pipeline",'3.2 Regulatory Asset Base'!$H$78*'6. Pricing template'!C28,C99+'3.1 Depreciated Book Value'!$D$80*'6. Pricing template'!C28)</f>
        <v>13321.755181532473</v>
      </c>
      <c r="D144" s="203">
        <f t="shared" si="14"/>
        <v>7.466260359614646E-2</v>
      </c>
      <c r="E144" s="203">
        <f t="shared" si="15"/>
        <v>7.0946450791078038E-3</v>
      </c>
      <c r="F144" s="110">
        <f t="shared" si="16"/>
        <v>994.63692632366917</v>
      </c>
      <c r="G144" s="110">
        <f t="shared" si="17"/>
        <v>94.513124843738254</v>
      </c>
      <c r="H144" s="169">
        <f>INDEX('5. Historical demand'!$C$26:$C$35,MATCH(B144,'5. Historical demand'!$B$26:$B$35,0),1)*(Yearending-Yearstart)</f>
        <v>0</v>
      </c>
      <c r="I144" s="201" t="str">
        <f t="shared" si="18"/>
        <v xml:space="preserve"> - </v>
      </c>
      <c r="J144" s="201" t="str">
        <f t="shared" si="19"/>
        <v xml:space="preserve"> - </v>
      </c>
    </row>
    <row r="145" spans="2:10" x14ac:dyDescent="0.25">
      <c r="B145" s="112" t="s">
        <v>368</v>
      </c>
      <c r="C145" s="110">
        <f>IF(Cover!$C$23="Scheme pipeline",'3.2 Regulatory Asset Base'!$H$78*'6. Pricing template'!C29,C100+'3.1 Depreciated Book Value'!$D$80*'6. Pricing template'!C29)</f>
        <v>0</v>
      </c>
      <c r="D145" s="203">
        <f t="shared" si="14"/>
        <v>7.466260359614646E-2</v>
      </c>
      <c r="E145" s="203">
        <f t="shared" si="15"/>
        <v>7.0946450791078038E-3</v>
      </c>
      <c r="F145" s="110">
        <f t="shared" si="16"/>
        <v>0</v>
      </c>
      <c r="G145" s="110">
        <f t="shared" si="17"/>
        <v>0</v>
      </c>
      <c r="H145" s="169">
        <f>INDEX('5. Historical demand'!$C$26:$C$35,MATCH(B145,'5. Historical demand'!$B$26:$B$35,0),1)*(Yearending-Yearstart)</f>
        <v>0</v>
      </c>
      <c r="I145" s="201" t="str">
        <f t="shared" si="18"/>
        <v xml:space="preserve"> - </v>
      </c>
      <c r="J145" s="201" t="str">
        <f t="shared" si="19"/>
        <v xml:space="preserve"> - </v>
      </c>
    </row>
    <row r="146" spans="2:10" x14ac:dyDescent="0.25">
      <c r="B146" s="112" t="s">
        <v>311</v>
      </c>
      <c r="C146" s="110">
        <f>IF(Cover!$C$23="Scheme pipeline",'3.2 Regulatory Asset Base'!$H$78*'6. Pricing template'!C30,C101+'3.1 Depreciated Book Value'!$D$80*'6. Pricing template'!C30)</f>
        <v>1289717.7761594714</v>
      </c>
      <c r="D146" s="203">
        <f t="shared" si="14"/>
        <v>7.466260359614646E-2</v>
      </c>
      <c r="E146" s="203">
        <f t="shared" si="15"/>
        <v>7.0946450791078038E-3</v>
      </c>
      <c r="F146" s="110">
        <f t="shared" si="16"/>
        <v>96293.687072298155</v>
      </c>
      <c r="G146" s="110">
        <f t="shared" si="17"/>
        <v>9150.089874067653</v>
      </c>
      <c r="H146" s="169">
        <f>INDEX('5. Historical demand'!$C$26:$C$35,MATCH(B146,'5. Historical demand'!$B$26:$B$35,0),1)*(Yearending-Yearstart)</f>
        <v>0</v>
      </c>
      <c r="I146" s="201" t="str">
        <f t="shared" si="18"/>
        <v xml:space="preserve"> - </v>
      </c>
      <c r="J146" s="201" t="str">
        <f t="shared" si="19"/>
        <v xml:space="preserve"> - </v>
      </c>
    </row>
    <row r="148" spans="2:10" s="283" customFormat="1" ht="25.5" customHeight="1" x14ac:dyDescent="0.25">
      <c r="B148" s="281" t="s">
        <v>462</v>
      </c>
      <c r="C148" s="172" t="s">
        <v>459</v>
      </c>
      <c r="D148" s="202" t="s">
        <v>247</v>
      </c>
      <c r="E148" s="202" t="s">
        <v>235</v>
      </c>
      <c r="F148" s="202" t="s">
        <v>100</v>
      </c>
      <c r="G148" s="202" t="s">
        <v>239</v>
      </c>
      <c r="H148" s="172" t="s">
        <v>347</v>
      </c>
      <c r="I148" s="282" t="s">
        <v>337</v>
      </c>
      <c r="J148" s="282" t="s">
        <v>338</v>
      </c>
    </row>
    <row r="149" spans="2:10" x14ac:dyDescent="0.25">
      <c r="B149" s="112" t="s">
        <v>360</v>
      </c>
      <c r="C149" s="110">
        <f>IF(Cover!$C$23="Scheme pipeline",'3.2 Regulatory Asset Base'!$H$78*'6. Pricing template'!C21,C92+'3.1 Depreciated Book Value'!$D$80*'6. Pricing template'!C21)</f>
        <v>37146211.768236794</v>
      </c>
      <c r="D149" s="203">
        <f t="shared" ref="D149:D158" si="20">IF($E$25=0," - ",$E$25)</f>
        <v>4.99E-2</v>
      </c>
      <c r="E149" s="203">
        <f t="shared" ref="E149:E158" si="21">IFERROR((($E$25-$E$21*$E$22)/(1-$E$22)/(1-$E$23*(1-$E$24))-($E$25-$E$21*$E$22)/(1-$E$22))*(1-$E$22)," - ")</f>
        <v>3.4271641791044751E-3</v>
      </c>
      <c r="F149" s="110">
        <f t="shared" ref="F149:F158" si="22">IFERROR(C149*D149, " -")</f>
        <v>1853595.9672350159</v>
      </c>
      <c r="G149" s="110">
        <f t="shared" ref="G149:G158" si="23">IFERROR(C149*E149, " -")</f>
        <v>127306.16636153024</v>
      </c>
      <c r="H149" s="169">
        <f>INDEX('5. Historical demand'!$C$26:$C$35,MATCH(B149,'5. Historical demand'!$B$26:$B$35,0),1)*(Yearending-Yearstart)</f>
        <v>54830.167671232753</v>
      </c>
      <c r="I149" s="201">
        <f>IFERROR(F149/(H149*1000)," - ")</f>
        <v>3.3806133483839873E-2</v>
      </c>
      <c r="J149" s="201">
        <f>IFERROR(G149/(H149*1000)," - ")</f>
        <v>2.3218270482933943E-3</v>
      </c>
    </row>
    <row r="150" spans="2:10" x14ac:dyDescent="0.25">
      <c r="B150" s="112" t="s">
        <v>450</v>
      </c>
      <c r="C150" s="110">
        <f>IF(Cover!$C$23="Scheme pipeline",'3.2 Regulatory Asset Base'!$H$78*'6. Pricing template'!C22,C93+'3.1 Depreciated Book Value'!$D$80*'6. Pricing template'!C22)</f>
        <v>0</v>
      </c>
      <c r="D150" s="203">
        <f t="shared" si="20"/>
        <v>4.99E-2</v>
      </c>
      <c r="E150" s="203">
        <f t="shared" si="21"/>
        <v>3.4271641791044751E-3</v>
      </c>
      <c r="F150" s="110">
        <f t="shared" si="22"/>
        <v>0</v>
      </c>
      <c r="G150" s="110">
        <f t="shared" si="23"/>
        <v>0</v>
      </c>
      <c r="H150" s="169">
        <f>INDEX('5. Historical demand'!$C$26:$C$35,MATCH(B150,'5. Historical demand'!$B$26:$B$35,0),1)*(Yearending-Yearstart)</f>
        <v>0</v>
      </c>
      <c r="I150" s="201" t="str">
        <f t="shared" ref="I150:I158" si="24">IFERROR(F150/(H150*1000)," - ")</f>
        <v xml:space="preserve"> - </v>
      </c>
      <c r="J150" s="201" t="str">
        <f t="shared" ref="J150:J158" si="25">IFERROR(G150/(H150*1000)," - ")</f>
        <v xml:space="preserve"> - </v>
      </c>
    </row>
    <row r="151" spans="2:10" x14ac:dyDescent="0.25">
      <c r="B151" s="112" t="s">
        <v>362</v>
      </c>
      <c r="C151" s="110">
        <f>IF(Cover!$C$23="Scheme pipeline",'3.2 Regulatory Asset Base'!$H$78*'6. Pricing template'!C23,C94+'3.1 Depreciated Book Value'!$D$80*'6. Pricing template'!C23)</f>
        <v>8213241.4504222088</v>
      </c>
      <c r="D151" s="203">
        <f t="shared" si="20"/>
        <v>4.99E-2</v>
      </c>
      <c r="E151" s="203">
        <f t="shared" si="21"/>
        <v>3.4271641791044751E-3</v>
      </c>
      <c r="F151" s="110">
        <f t="shared" si="22"/>
        <v>409840.74837606819</v>
      </c>
      <c r="G151" s="110">
        <f t="shared" si="23"/>
        <v>28148.126893223078</v>
      </c>
      <c r="H151" s="169">
        <f>INDEX('5. Historical demand'!$C$26:$C$35,MATCH(B151,'5. Historical demand'!$B$26:$B$35,0),1)*(Yearending-Yearstart)</f>
        <v>0</v>
      </c>
      <c r="I151" s="201" t="str">
        <f t="shared" si="24"/>
        <v xml:space="preserve"> - </v>
      </c>
      <c r="J151" s="201" t="str">
        <f t="shared" si="25"/>
        <v xml:space="preserve"> - </v>
      </c>
    </row>
    <row r="152" spans="2:10" x14ac:dyDescent="0.25">
      <c r="B152" s="112" t="s">
        <v>363</v>
      </c>
      <c r="C152" s="110">
        <f>IF(Cover!$C$23="Scheme pipeline",'3.2 Regulatory Asset Base'!$H$78*'6. Pricing template'!C24,C95+'3.1 Depreciated Book Value'!$D$80*'6. Pricing template'!C24)</f>
        <v>0</v>
      </c>
      <c r="D152" s="203">
        <f t="shared" si="20"/>
        <v>4.99E-2</v>
      </c>
      <c r="E152" s="203">
        <f t="shared" si="21"/>
        <v>3.4271641791044751E-3</v>
      </c>
      <c r="F152" s="110">
        <f t="shared" si="22"/>
        <v>0</v>
      </c>
      <c r="G152" s="110">
        <f t="shared" si="23"/>
        <v>0</v>
      </c>
      <c r="H152" s="169">
        <f>INDEX('5. Historical demand'!$C$26:$C$35,MATCH(B152,'5. Historical demand'!$B$26:$B$35,0),1)*(Yearending-Yearstart)</f>
        <v>0</v>
      </c>
      <c r="I152" s="201" t="str">
        <f t="shared" si="24"/>
        <v xml:space="preserve"> - </v>
      </c>
      <c r="J152" s="201" t="str">
        <f t="shared" si="25"/>
        <v xml:space="preserve"> - </v>
      </c>
    </row>
    <row r="153" spans="2:10" x14ac:dyDescent="0.25">
      <c r="B153" s="194" t="s">
        <v>364</v>
      </c>
      <c r="C153" s="110">
        <f>IF(Cover!$C$23="Scheme pipeline",'3.2 Regulatory Asset Base'!$H$78*'6. Pricing template'!C25,C96+'3.1 Depreciated Book Value'!$D$80*'6. Pricing template'!C25)</f>
        <v>0</v>
      </c>
      <c r="D153" s="203">
        <f t="shared" si="20"/>
        <v>4.99E-2</v>
      </c>
      <c r="E153" s="203">
        <f t="shared" si="21"/>
        <v>3.4271641791044751E-3</v>
      </c>
      <c r="F153" s="110">
        <f t="shared" si="22"/>
        <v>0</v>
      </c>
      <c r="G153" s="110">
        <f t="shared" si="23"/>
        <v>0</v>
      </c>
      <c r="H153" s="169">
        <f>INDEX('5. Historical demand'!$C$26:$C$35,MATCH(B153,'5. Historical demand'!$B$26:$B$35,0),1)*(Yearending-Yearstart)</f>
        <v>0</v>
      </c>
      <c r="I153" s="201" t="str">
        <f t="shared" si="24"/>
        <v xml:space="preserve"> - </v>
      </c>
      <c r="J153" s="201" t="str">
        <f t="shared" si="25"/>
        <v xml:space="preserve"> - </v>
      </c>
    </row>
    <row r="154" spans="2:10" x14ac:dyDescent="0.25">
      <c r="B154" s="112" t="s">
        <v>451</v>
      </c>
      <c r="C154" s="110">
        <f>IF(Cover!$C$23="Scheme pipeline",'3.2 Regulatory Asset Base'!$H$78*'6. Pricing template'!C26,C97+'3.1 Depreciated Book Value'!$D$80*'6. Pricing template'!C26)</f>
        <v>0</v>
      </c>
      <c r="D154" s="203">
        <f t="shared" si="20"/>
        <v>4.99E-2</v>
      </c>
      <c r="E154" s="203">
        <f t="shared" si="21"/>
        <v>3.4271641791044751E-3</v>
      </c>
      <c r="F154" s="110">
        <f t="shared" si="22"/>
        <v>0</v>
      </c>
      <c r="G154" s="110">
        <f t="shared" si="23"/>
        <v>0</v>
      </c>
      <c r="H154" s="169">
        <f>INDEX('5. Historical demand'!$C$26:$C$35,MATCH(B154,'5. Historical demand'!$B$26:$B$35,0),1)*(Yearending-Yearstart)</f>
        <v>0</v>
      </c>
      <c r="I154" s="201" t="str">
        <f t="shared" si="24"/>
        <v xml:space="preserve"> - </v>
      </c>
      <c r="J154" s="201" t="str">
        <f t="shared" si="25"/>
        <v xml:space="preserve"> - </v>
      </c>
    </row>
    <row r="155" spans="2:10" x14ac:dyDescent="0.25">
      <c r="B155" s="112" t="s">
        <v>366</v>
      </c>
      <c r="C155" s="110">
        <f>IF(Cover!$C$23="Scheme pipeline",'3.2 Regulatory Asset Base'!$H$78*'6. Pricing template'!C27,C98+'3.1 Depreciated Book Value'!$D$80*'6. Pricing template'!C27)</f>
        <v>0</v>
      </c>
      <c r="D155" s="203">
        <f t="shared" si="20"/>
        <v>4.99E-2</v>
      </c>
      <c r="E155" s="203">
        <f t="shared" si="21"/>
        <v>3.4271641791044751E-3</v>
      </c>
      <c r="F155" s="110">
        <f t="shared" si="22"/>
        <v>0</v>
      </c>
      <c r="G155" s="110">
        <f t="shared" si="23"/>
        <v>0</v>
      </c>
      <c r="H155" s="169">
        <f>INDEX('5. Historical demand'!$C$26:$C$35,MATCH(B155,'5. Historical demand'!$B$26:$B$35,0),1)*(Yearending-Yearstart)</f>
        <v>0</v>
      </c>
      <c r="I155" s="201" t="str">
        <f t="shared" si="24"/>
        <v xml:space="preserve"> - </v>
      </c>
      <c r="J155" s="201" t="str">
        <f t="shared" si="25"/>
        <v xml:space="preserve"> - </v>
      </c>
    </row>
    <row r="156" spans="2:10" x14ac:dyDescent="0.25">
      <c r="B156" s="112" t="s">
        <v>367</v>
      </c>
      <c r="C156" s="110">
        <f>IF(Cover!$C$23="Scheme pipeline",'3.2 Regulatory Asset Base'!$H$78*'6. Pricing template'!C28,C99+'3.1 Depreciated Book Value'!$D$80*'6. Pricing template'!C28)</f>
        <v>13321.755181532473</v>
      </c>
      <c r="D156" s="203">
        <f t="shared" si="20"/>
        <v>4.99E-2</v>
      </c>
      <c r="E156" s="203">
        <f t="shared" si="21"/>
        <v>3.4271641791044751E-3</v>
      </c>
      <c r="F156" s="110">
        <f t="shared" si="22"/>
        <v>664.75558355847045</v>
      </c>
      <c r="G156" s="110">
        <f t="shared" si="23"/>
        <v>45.655842160947529</v>
      </c>
      <c r="H156" s="169">
        <f>INDEX('5. Historical demand'!$C$26:$C$35,MATCH(B156,'5. Historical demand'!$B$26:$B$35,0),1)*(Yearending-Yearstart)</f>
        <v>0</v>
      </c>
      <c r="I156" s="201" t="str">
        <f t="shared" si="24"/>
        <v xml:space="preserve"> - </v>
      </c>
      <c r="J156" s="201" t="str">
        <f t="shared" si="25"/>
        <v xml:space="preserve"> - </v>
      </c>
    </row>
    <row r="157" spans="2:10" x14ac:dyDescent="0.25">
      <c r="B157" s="112" t="s">
        <v>368</v>
      </c>
      <c r="C157" s="110">
        <f>IF(Cover!$C$23="Scheme pipeline",'3.2 Regulatory Asset Base'!$H$78*'6. Pricing template'!C29,C100+'3.1 Depreciated Book Value'!$D$80*'6. Pricing template'!C29)</f>
        <v>0</v>
      </c>
      <c r="D157" s="203">
        <f t="shared" si="20"/>
        <v>4.99E-2</v>
      </c>
      <c r="E157" s="203">
        <f t="shared" si="21"/>
        <v>3.4271641791044751E-3</v>
      </c>
      <c r="F157" s="110">
        <f t="shared" si="22"/>
        <v>0</v>
      </c>
      <c r="G157" s="110">
        <f t="shared" si="23"/>
        <v>0</v>
      </c>
      <c r="H157" s="169">
        <f>INDEX('5. Historical demand'!$C$26:$C$35,MATCH(B157,'5. Historical demand'!$B$26:$B$35,0),1)*(Yearending-Yearstart)</f>
        <v>0</v>
      </c>
      <c r="I157" s="201" t="str">
        <f t="shared" si="24"/>
        <v xml:space="preserve"> - </v>
      </c>
      <c r="J157" s="201" t="str">
        <f t="shared" si="25"/>
        <v xml:space="preserve"> - </v>
      </c>
    </row>
    <row r="158" spans="2:10" x14ac:dyDescent="0.25">
      <c r="B158" s="112" t="s">
        <v>311</v>
      </c>
      <c r="C158" s="110">
        <f>IF(Cover!$C$23="Scheme pipeline",'3.2 Regulatory Asset Base'!$H$78*'6. Pricing template'!C30,C101+'3.1 Depreciated Book Value'!$D$80*'6. Pricing template'!C30)</f>
        <v>1289717.7761594714</v>
      </c>
      <c r="D158" s="203">
        <f t="shared" si="20"/>
        <v>4.99E-2</v>
      </c>
      <c r="E158" s="203">
        <f t="shared" si="21"/>
        <v>3.4271641791044751E-3</v>
      </c>
      <c r="F158" s="110">
        <f t="shared" si="22"/>
        <v>64356.917030357617</v>
      </c>
      <c r="G158" s="110">
        <f t="shared" si="23"/>
        <v>4420.0745636080237</v>
      </c>
      <c r="H158" s="169">
        <f>INDEX('5. Historical demand'!$C$26:$C$35,MATCH(B158,'5. Historical demand'!$B$26:$B$35,0),1)*(Yearending-Yearstart)</f>
        <v>0</v>
      </c>
      <c r="I158" s="201" t="str">
        <f t="shared" si="24"/>
        <v xml:space="preserve"> - </v>
      </c>
      <c r="J158" s="201" t="str">
        <f t="shared" si="25"/>
        <v xml:space="preserve"> - </v>
      </c>
    </row>
    <row r="188" ht="27" customHeight="1" x14ac:dyDescent="0.25"/>
    <row r="195" ht="32.15" customHeight="1" x14ac:dyDescent="0.25"/>
  </sheetData>
  <sheetProtection sheet="1"/>
  <mergeCells count="36">
    <mergeCell ref="C62:C63"/>
    <mergeCell ref="D62:D63"/>
    <mergeCell ref="B53:B54"/>
    <mergeCell ref="C61:D61"/>
    <mergeCell ref="B49:B50"/>
    <mergeCell ref="B51:B52"/>
    <mergeCell ref="J62:K62"/>
    <mergeCell ref="H61:K61"/>
    <mergeCell ref="E61:G61"/>
    <mergeCell ref="E62:E63"/>
    <mergeCell ref="F62:F63"/>
    <mergeCell ref="G62:G63"/>
    <mergeCell ref="H62:I62"/>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H49:H50"/>
    <mergeCell ref="H51:H52"/>
    <mergeCell ref="B47:B48"/>
    <mergeCell ref="H41:H42"/>
    <mergeCell ref="H43:H44"/>
    <mergeCell ref="H45:H46"/>
    <mergeCell ref="H47:H48"/>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&amp;C_x000D_&amp;1#&amp;"Calibri"&amp;10&amp;K008000 APA-INTERNAL</oddFooter>
  </headerFooter>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681F1-4E68-476D-AF2B-E6424814CBA5}">
  <sheetPr>
    <tabColor theme="3" tint="-0.249977111117893"/>
  </sheetPr>
  <dimension ref="A1:G4"/>
  <sheetViews>
    <sheetView zoomScale="115" zoomScaleNormal="115" workbookViewId="0"/>
  </sheetViews>
  <sheetFormatPr defaultColWidth="0" defaultRowHeight="12.5" x14ac:dyDescent="0.25"/>
  <cols>
    <col min="1" max="1" width="10.453125" bestFit="1" customWidth="1"/>
    <col min="2" max="2" width="22" bestFit="1" customWidth="1"/>
    <col min="3" max="3" width="22.54296875" bestFit="1" customWidth="1"/>
    <col min="4" max="4" width="56.54296875" bestFit="1" customWidth="1"/>
    <col min="5" max="5" width="22.54296875" bestFit="1" customWidth="1"/>
    <col min="6" max="6" width="45.54296875" bestFit="1" customWidth="1"/>
    <col min="7" max="7" width="70.54296875" bestFit="1" customWidth="1"/>
  </cols>
  <sheetData>
    <row r="1" spans="1:7" ht="13" x14ac:dyDescent="0.3">
      <c r="A1" s="302" t="s">
        <v>134</v>
      </c>
      <c r="B1" s="303" t="s">
        <v>135</v>
      </c>
      <c r="C1" s="304" t="s">
        <v>136</v>
      </c>
      <c r="D1" s="303" t="s">
        <v>137</v>
      </c>
      <c r="E1" s="304" t="s">
        <v>142</v>
      </c>
      <c r="F1" s="304" t="s">
        <v>138</v>
      </c>
      <c r="G1" s="305" t="s">
        <v>139</v>
      </c>
    </row>
    <row r="2" spans="1:7" x14ac:dyDescent="0.25">
      <c r="A2" s="306">
        <v>45775</v>
      </c>
      <c r="B2">
        <v>1</v>
      </c>
      <c r="C2" s="6" t="s">
        <v>144</v>
      </c>
      <c r="E2" s="6" t="s">
        <v>471</v>
      </c>
      <c r="F2" s="6" t="s">
        <v>479</v>
      </c>
      <c r="G2" s="6" t="s">
        <v>476</v>
      </c>
    </row>
    <row r="3" spans="1:7" x14ac:dyDescent="0.25">
      <c r="A3" s="306">
        <v>45775</v>
      </c>
      <c r="B3">
        <v>2</v>
      </c>
      <c r="C3" s="6" t="s">
        <v>176</v>
      </c>
      <c r="D3" t="s">
        <v>111</v>
      </c>
      <c r="E3" s="6" t="s">
        <v>470</v>
      </c>
      <c r="F3" t="s">
        <v>472</v>
      </c>
      <c r="G3" t="s">
        <v>473</v>
      </c>
    </row>
    <row r="4" spans="1:7" x14ac:dyDescent="0.25">
      <c r="A4" s="306">
        <v>45775</v>
      </c>
      <c r="B4">
        <v>3</v>
      </c>
      <c r="C4" s="6" t="s">
        <v>140</v>
      </c>
      <c r="D4" t="s">
        <v>475</v>
      </c>
      <c r="E4" s="6" t="s">
        <v>477</v>
      </c>
      <c r="F4" t="s">
        <v>474</v>
      </c>
      <c r="G4" s="6" t="s">
        <v>478</v>
      </c>
    </row>
  </sheetData>
  <sheetProtection sheet="1"/>
  <pageMargins left="0.7" right="0.7" top="0.75" bottom="0.75" header="0.3" footer="0.3"/>
  <headerFooter>
    <oddFooter>&amp;C_x000D_&amp;1#&amp;"Calibri"&amp;10&amp;K008000 APA-INTERNAL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5d2a767af9601abe961391d457aff16">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a2f58b6425fcdb0e370fde9e8a3a1995"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A8F634-EDAB-437B-8DD3-45352C320AD6}">
  <ds:schemaRefs>
    <ds:schemaRef ds:uri="http://purl.org/dc/terms/"/>
    <ds:schemaRef ds:uri="704da589-9a5f-45d1-b9c9-18eae98c3af3"/>
    <ds:schemaRef ds:uri="http://schemas.openxmlformats.org/package/2006/metadata/core-properties"/>
    <ds:schemaRef ds:uri="http://schemas.microsoft.com/office/2006/documentManagement/types"/>
    <ds:schemaRef ds:uri="http://purl.org/dc/elements/1.1/"/>
    <ds:schemaRef ds:uri="68339cd5-4ed0-4715-a10c-fb6cfca0aa9a"/>
    <ds:schemaRef ds:uri="http://schemas.microsoft.com/office/2006/metadata/properties"/>
    <ds:schemaRef ds:uri="http://purl.org/dc/dcmitype/"/>
    <ds:schemaRef ds:uri="http://www.w3.org/XML/1998/namespace"/>
    <ds:schemaRef ds:uri="http://schemas.microsoft.com/sharepoint/v3"/>
    <ds:schemaRef ds:uri="http://schemas.microsoft.com/office/infopath/2007/PartnerControls"/>
  </ds:schemaRefs>
</ds:datastoreItem>
</file>

<file path=customXml/itemProps2.xml><?xml version="1.0" encoding="utf-8"?>
<ds:datastoreItem xmlns:ds="http://schemas.openxmlformats.org/officeDocument/2006/customXml" ds:itemID="{80669811-24D6-4B89-BD2A-A06DCA9652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219A04-71DD-4FB0-89F7-5C2A9A6AF7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27</vt:i4>
      </vt:variant>
      <vt:variant>
        <vt:lpstr>Named Ranges</vt:lpstr>
      </vt:variant>
      <vt:variant>
        <vt:i4>22</vt:i4>
      </vt:variant>
    </vt:vector>
  </HeadingPairs>
  <TitlesOfParts>
    <vt:vector size="49"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Auditor's Review Report RCM</vt:lpstr>
      <vt:lpstr>4.1 Pipelines capex</vt:lpstr>
      <vt:lpstr>Auditor's Review Report Capex</vt:lpstr>
      <vt:lpstr>5. Historical demand</vt:lpstr>
      <vt:lpstr>Auditor's Review Report Demand</vt:lpstr>
      <vt:lpstr>6. Pricing template</vt:lpstr>
      <vt:lpstr>7. 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Tradingname</vt:lpstr>
      <vt:lpstr>Yearending</vt:lpstr>
      <vt:lpstr>Yearstart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Cathy</dc:creator>
  <cp:lastModifiedBy>Casihan, Hannah</cp:lastModifiedBy>
  <cp:lastPrinted>2025-11-14T05:39:02Z</cp:lastPrinted>
  <dcterms:created xsi:type="dcterms:W3CDTF">2021-05-07T02:14:11Z</dcterms:created>
  <dcterms:modified xsi:type="dcterms:W3CDTF">2025-12-18T02:56:06Z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MSIP_Label_8e2e509a-f02b-496b-97a8-09ffbb9893ea_Enabled">
    <vt:lpwstr>true</vt:lpwstr>
  </property>
  <property fmtid="{D5CDD505-2E9C-101B-9397-08002B2CF9AE}" pid="10" name="MSIP_Label_8e2e509a-f02b-496b-97a8-09ffbb9893ea_SetDate">
    <vt:lpwstr>2025-10-31T04:12:01Z</vt:lpwstr>
  </property>
  <property fmtid="{D5CDD505-2E9C-101B-9397-08002B2CF9AE}" pid="11" name="MSIP_Label_8e2e509a-f02b-496b-97a8-09ffbb9893ea_Method">
    <vt:lpwstr>Privileged</vt:lpwstr>
  </property>
  <property fmtid="{D5CDD505-2E9C-101B-9397-08002B2CF9AE}" pid="12" name="MSIP_Label_8e2e509a-f02b-496b-97a8-09ffbb9893ea_Name">
    <vt:lpwstr>APA-Internal</vt:lpwstr>
  </property>
  <property fmtid="{D5CDD505-2E9C-101B-9397-08002B2CF9AE}" pid="13" name="MSIP_Label_8e2e509a-f02b-496b-97a8-09ffbb9893ea_SiteId">
    <vt:lpwstr>234ac309-c216-4661-a5ba-18879f6c4c75</vt:lpwstr>
  </property>
  <property fmtid="{D5CDD505-2E9C-101B-9397-08002B2CF9AE}" pid="14" name="MSIP_Label_8e2e509a-f02b-496b-97a8-09ffbb9893ea_ActionId">
    <vt:lpwstr>e5a0d338-8981-4caa-a166-3f3a89c95c34</vt:lpwstr>
  </property>
  <property fmtid="{D5CDD505-2E9C-101B-9397-08002B2CF9AE}" pid="15" name="MSIP_Label_8e2e509a-f02b-496b-97a8-09ffbb9893ea_ContentBits">
    <vt:lpwstr>2</vt:lpwstr>
  </property>
  <property fmtid="{D5CDD505-2E9C-101B-9397-08002B2CF9AE}" pid="16" name="MSIP_Label_8e2e509a-f02b-496b-97a8-09ffbb9893ea_Tag">
    <vt:lpwstr>10, 0, 1, 1</vt:lpwstr>
  </property>
  <property fmtid="{D5CDD505-2E9C-101B-9397-08002B2CF9AE}" pid="17" name="MediaServiceImageTags">
    <vt:lpwstr/>
  </property>
  <property fmtid="{D5CDD505-2E9C-101B-9397-08002B2CF9AE}" pid="18" name="ContentTypeId">
    <vt:lpwstr>0x0101009441C17B6C006147B9AF9AD50D625621</vt:lpwstr>
  </property>
  <property fmtid="{D5CDD505-2E9C-101B-9397-08002B2CF9AE}" pid="19" name="SV_QUERY_LIST_4F35BF76-6C0D-4D9B-82B2-816C12CF3733">
    <vt:lpwstr>empty_477D106A-C0D6-4607-AEBD-E2C9D60EA279</vt:lpwstr>
  </property>
  <property fmtid="{D5CDD505-2E9C-101B-9397-08002B2CF9AE}" pid="20" name="SV_HIDDEN_GRID_QUERY_LIST_4F35BF76-6C0D-4D9B-82B2-816C12CF3733">
    <vt:lpwstr>empty_477D106A-C0D6-4607-AEBD-E2C9D60EA279</vt:lpwstr>
  </property>
</Properties>
</file>