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3.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1 Publication_September 2026/Consolidated MSP SWQP/"/>
    </mc:Choice>
  </mc:AlternateContent>
  <xr:revisionPtr revIDLastSave="2767" documentId="8_{E8AC341B-8CE6-4037-B05B-1E57A887C807}" xr6:coauthVersionLast="47" xr6:coauthVersionMax="47" xr10:uidLastSave="{FD06BE7F-9871-4743-9F22-E9C786EBA416}"/>
  <bookViews>
    <workbookView xWindow="-120" yWindow="-120" windowWidth="51840" windowHeight="21120" tabRatio="832" xr2:uid="{F66A5416-ED2E-4776-9FC7-EE82AF1323AB}"/>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3" r:id="rId19"/>
    <sheet name="4. Recovered Capital" sheetId="47" r:id="rId20"/>
    <sheet name="4.1 Pipelines capex" sheetId="66" r:id="rId21"/>
    <sheet name="Auditor's Review Report Capex" sheetId="102" r:id="rId22"/>
    <sheet name="5. Historical demand" sheetId="74" r:id="rId23"/>
    <sheet name="Auditor's Review Report Demand" sheetId="104" r:id="rId24"/>
    <sheet name="6. Pricing template" sheetId="80" r:id="rId25"/>
    <sheet name="7. Amendment record" sheetId="90" r:id="rId26"/>
    <sheet name="Sheet1" sheetId="86" state="hidden" r:id="rId27"/>
    <sheet name="Amendment record" sheetId="67"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4_Dates">#REF!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"V2003-06-30"</definedName>
    <definedName name="NvsAutoDrillOk">"VN"</definedName>
    <definedName name="NvsElapsedTime">0.000465162032924127</definedName>
    <definedName name="NvsEndTime">37824.3469520833</definedName>
    <definedName name="NvsInstLang">"VENG"</definedName>
    <definedName name="NvsInstSpec">"%,FBUSINESS_UNIT,TLEGAL_ENTITIES,NAEG"</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"V2001-07-01"</definedName>
    <definedName name="NvsPanelSetid">"VSHARE"</definedName>
    <definedName name="NvsParentRef">#REF!</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26">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34" l="1"/>
  <c r="E24" i="34"/>
  <c r="F22" i="34"/>
  <c r="E22" i="34"/>
  <c r="E23" i="34"/>
  <c r="E21" i="34"/>
  <c r="E20" i="34"/>
  <c r="E19" i="34"/>
  <c r="E18" i="34"/>
  <c r="E17" i="34"/>
  <c r="E16" i="34"/>
  <c r="E15" i="34"/>
  <c r="C19" i="55"/>
  <c r="C43" i="47"/>
  <c r="F12" i="47" s="1"/>
  <c r="G12" i="47" s="1"/>
  <c r="H12" i="47" s="1"/>
  <c r="I12" i="47" s="1"/>
  <c r="J12" i="47" s="1"/>
  <c r="K12" i="47" s="1"/>
  <c r="L12" i="47" s="1"/>
  <c r="M12" i="47" s="1"/>
  <c r="N12" i="47" s="1"/>
  <c r="O12" i="47" s="1"/>
  <c r="P12" i="47" s="1"/>
  <c r="Q12" i="47" s="1"/>
  <c r="R12" i="47" s="1"/>
  <c r="E41" i="66"/>
  <c r="B2" i="47"/>
  <c r="D130" i="6"/>
  <c r="E15" i="87"/>
  <c r="D15" i="87"/>
  <c r="F15" i="87"/>
  <c r="G15" i="87"/>
  <c r="H15" i="87"/>
  <c r="B16" i="44"/>
  <c r="B15" i="44"/>
  <c r="D118" i="6"/>
  <c r="D116" i="6"/>
  <c r="D110" i="6"/>
  <c r="D108" i="6"/>
  <c r="D94" i="6"/>
  <c r="D92" i="6"/>
  <c r="D86" i="6"/>
  <c r="D78" i="6"/>
  <c r="D71" i="6"/>
  <c r="D63" i="6"/>
  <c r="D55" i="6"/>
  <c r="D47" i="6"/>
  <c r="D39" i="6"/>
  <c r="D31" i="6"/>
  <c r="G98" i="66"/>
  <c r="E14" i="47"/>
  <c r="G46" i="59"/>
  <c r="I84" i="34"/>
  <c r="G59" i="34"/>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F25" i="87" s="1"/>
  <c r="F29" i="87" s="1"/>
  <c r="G25" i="87" s="1"/>
  <c r="G29" i="87" s="1"/>
  <c r="H25" i="87" s="1"/>
  <c r="H29" i="87" s="1"/>
  <c r="D20" i="87"/>
  <c r="D23" i="87" s="1"/>
  <c r="I35" i="16"/>
  <c r="I34" i="16"/>
  <c r="I33" i="16"/>
  <c r="I32" i="16"/>
  <c r="I31" i="16"/>
  <c r="I30" i="16"/>
  <c r="I29" i="16"/>
  <c r="I28" i="16"/>
  <c r="I27" i="16"/>
  <c r="I22" i="16"/>
  <c r="E41" i="76" s="1"/>
  <c r="I21" i="16"/>
  <c r="I20" i="16"/>
  <c r="E39" i="76" s="1"/>
  <c r="I19" i="16"/>
  <c r="E38" i="76" s="1"/>
  <c r="I17" i="16"/>
  <c r="I16" i="16"/>
  <c r="E35" i="76" s="1"/>
  <c r="I15" i="16"/>
  <c r="E34" i="76" s="1"/>
  <c r="H35" i="16"/>
  <c r="H34" i="16"/>
  <c r="H33" i="16"/>
  <c r="H32" i="16"/>
  <c r="H31" i="16"/>
  <c r="H30" i="16"/>
  <c r="H29" i="16"/>
  <c r="H28" i="16"/>
  <c r="H27"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E42" i="45"/>
  <c r="D29" i="57"/>
  <c r="D15" i="76" s="1"/>
  <c r="F15" i="76" s="1"/>
  <c r="D17" i="57"/>
  <c r="E14" i="76" s="1"/>
  <c r="E16" i="57"/>
  <c r="E15" i="57"/>
  <c r="E14" i="57"/>
  <c r="E13" i="57"/>
  <c r="E12" i="57"/>
  <c r="H18" i="76"/>
  <c r="J23" i="56" s="1"/>
  <c r="H150" i="80"/>
  <c r="H151" i="80"/>
  <c r="H153" i="80"/>
  <c r="H154" i="80"/>
  <c r="H155" i="80"/>
  <c r="H156" i="80"/>
  <c r="H157" i="80"/>
  <c r="H158" i="80"/>
  <c r="H138" i="80"/>
  <c r="H139"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20" i="80"/>
  <c r="F121" i="80"/>
  <c r="F122" i="80"/>
  <c r="F123" i="80"/>
  <c r="F124" i="80"/>
  <c r="F125" i="80"/>
  <c r="E105" i="80"/>
  <c r="E106" i="80"/>
  <c r="E108" i="80"/>
  <c r="E109" i="80"/>
  <c r="E110" i="80"/>
  <c r="E111" i="80"/>
  <c r="E112" i="80"/>
  <c r="E113" i="80"/>
  <c r="E80" i="80"/>
  <c r="E81"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D42" i="74"/>
  <c r="E23" i="47"/>
  <c r="F28" i="47"/>
  <c r="F20" i="47"/>
  <c r="E15" i="47"/>
  <c r="B43" i="74"/>
  <c r="B44" i="74" s="1"/>
  <c r="C3" i="84"/>
  <c r="C3" i="66"/>
  <c r="C3" i="47"/>
  <c r="C3" i="59"/>
  <c r="C3" i="34"/>
  <c r="C3" i="63"/>
  <c r="C3" i="55"/>
  <c r="C3" i="6"/>
  <c r="C3" i="16"/>
  <c r="C3" i="45"/>
  <c r="C3" i="57"/>
  <c r="C3" i="56"/>
  <c r="C3" i="76"/>
  <c r="C3" i="5"/>
  <c r="C3" i="44"/>
  <c r="C3" i="82"/>
  <c r="C3" i="69"/>
  <c r="D3" i="4"/>
  <c r="C3" i="74"/>
  <c r="C3" i="80"/>
  <c r="J78" i="56"/>
  <c r="J35" i="56"/>
  <c r="J31" i="56" s="1"/>
  <c r="E149" i="80"/>
  <c r="D149" i="80"/>
  <c r="H21" i="76"/>
  <c r="H32" i="76"/>
  <c r="J66" i="56" s="1"/>
  <c r="H43" i="76"/>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H22" i="16"/>
  <c r="D41" i="76" s="1"/>
  <c r="H21" i="16"/>
  <c r="D40" i="76" s="1"/>
  <c r="H20" i="16"/>
  <c r="H17" i="16"/>
  <c r="D36" i="76" s="1"/>
  <c r="H16" i="16"/>
  <c r="D35" i="76" s="1"/>
  <c r="H15" i="16"/>
  <c r="H19" i="16"/>
  <c r="E102" i="6"/>
  <c r="D102" i="6"/>
  <c r="D35" i="56"/>
  <c r="D47" i="56"/>
  <c r="F19" i="34"/>
  <c r="F20" i="34"/>
  <c r="F18" i="34"/>
  <c r="F17" i="34"/>
  <c r="F21" i="34"/>
  <c r="F16" i="34"/>
  <c r="F15" i="34"/>
  <c r="F23" i="34"/>
  <c r="H47" i="56"/>
  <c r="H35" i="56"/>
  <c r="D119" i="6" l="1"/>
  <c r="D95" i="6"/>
  <c r="D106" i="6"/>
  <c r="D107" i="6"/>
  <c r="J34" i="16"/>
  <c r="C2" i="4"/>
  <c r="B2" i="69"/>
  <c r="B2" i="44"/>
  <c r="B2" i="56"/>
  <c r="B2" i="55"/>
  <c r="B2" i="63"/>
  <c r="B2" i="66"/>
  <c r="B2" i="74"/>
  <c r="J19" i="16"/>
  <c r="B2" i="84"/>
  <c r="AG29" i="47"/>
  <c r="AW29" i="47"/>
  <c r="B2" i="76"/>
  <c r="I36" i="45"/>
  <c r="B2" i="82"/>
  <c r="B2" i="80"/>
  <c r="B2" i="5"/>
  <c r="H29" i="47"/>
  <c r="B2" i="45"/>
  <c r="B2" i="57"/>
  <c r="B2" i="16"/>
  <c r="B2" i="6"/>
  <c r="B2" i="34"/>
  <c r="B2" i="59"/>
  <c r="B2" i="87"/>
  <c r="P29" i="47"/>
  <c r="AF29" i="47"/>
  <c r="D90" i="6"/>
  <c r="J31" i="16"/>
  <c r="J15" i="16"/>
  <c r="I20" i="45"/>
  <c r="BA37" i="47"/>
  <c r="G29" i="47"/>
  <c r="V29" i="47"/>
  <c r="I26" i="45"/>
  <c r="N29" i="47"/>
  <c r="AD29" i="47"/>
  <c r="AT29" i="47"/>
  <c r="H37" i="47"/>
  <c r="X29" i="47"/>
  <c r="BD29" i="47"/>
  <c r="I40" i="45"/>
  <c r="AE29" i="47"/>
  <c r="R37" i="47"/>
  <c r="D38" i="76"/>
  <c r="F38" i="76" s="1"/>
  <c r="R29" i="47"/>
  <c r="AX29" i="47"/>
  <c r="AA29" i="47"/>
  <c r="AQ37" i="47"/>
  <c r="G21" i="76"/>
  <c r="I47" i="56" s="1"/>
  <c r="I37" i="56" s="1"/>
  <c r="AX37" i="47"/>
  <c r="I35" i="45"/>
  <c r="I19" i="45"/>
  <c r="G43" i="74"/>
  <c r="I37" i="45"/>
  <c r="M37" i="47"/>
  <c r="AW37" i="47"/>
  <c r="AP37" i="47"/>
  <c r="J33" i="56"/>
  <c r="S29" i="47"/>
  <c r="AI29" i="47"/>
  <c r="J30" i="56"/>
  <c r="J35" i="16"/>
  <c r="J25" i="56"/>
  <c r="J34" i="56"/>
  <c r="J32" i="56"/>
  <c r="Q37" i="47"/>
  <c r="G37" i="47"/>
  <c r="I22" i="45"/>
  <c r="AC37" i="47"/>
  <c r="AY37" i="47"/>
  <c r="BH37" i="47"/>
  <c r="M29" i="47"/>
  <c r="T37" i="47"/>
  <c r="G45" i="74"/>
  <c r="J32" i="16"/>
  <c r="B45" i="74"/>
  <c r="AY29" i="47"/>
  <c r="I34" i="45"/>
  <c r="I33" i="45"/>
  <c r="V37" i="47"/>
  <c r="I32" i="45"/>
  <c r="S37" i="47"/>
  <c r="J28" i="56"/>
  <c r="E23" i="16"/>
  <c r="D91" i="6"/>
  <c r="F35" i="76"/>
  <c r="E42" i="74"/>
  <c r="X37" i="47"/>
  <c r="J27" i="56"/>
  <c r="I31" i="45"/>
  <c r="J29" i="56"/>
  <c r="I30" i="45"/>
  <c r="I28" i="45"/>
  <c r="J33" i="16"/>
  <c r="BD37" i="47"/>
  <c r="P37" i="47"/>
  <c r="J22" i="16"/>
  <c r="J37" i="47"/>
  <c r="I29" i="45"/>
  <c r="J26" i="56"/>
  <c r="AR29" i="47"/>
  <c r="AF37" i="47"/>
  <c r="BH29" i="47"/>
  <c r="AC29" i="47"/>
  <c r="AS29" i="47"/>
  <c r="AT37" i="47"/>
  <c r="BB29" i="47"/>
  <c r="F41" i="76"/>
  <c r="H22" i="76"/>
  <c r="J47" i="56"/>
  <c r="E18" i="76"/>
  <c r="F35" i="56"/>
  <c r="AM29" i="47"/>
  <c r="AM37" i="47"/>
  <c r="BC29" i="47"/>
  <c r="BC37" i="47"/>
  <c r="D111" i="6"/>
  <c r="U29" i="47"/>
  <c r="U37" i="47"/>
  <c r="AL29" i="47"/>
  <c r="AL37" i="47"/>
  <c r="BA29" i="47"/>
  <c r="AN37" i="47"/>
  <c r="AN29" i="47"/>
  <c r="I29" i="47"/>
  <c r="I37" i="47"/>
  <c r="Y37" i="47"/>
  <c r="Y29" i="47"/>
  <c r="G44" i="74"/>
  <c r="Z29" i="47"/>
  <c r="Z37" i="47"/>
  <c r="AP29" i="47"/>
  <c r="K37" i="47"/>
  <c r="K29" i="47"/>
  <c r="I21" i="45"/>
  <c r="AA37" i="47"/>
  <c r="BB37" i="47"/>
  <c r="AQ29" i="47"/>
  <c r="BG37" i="47"/>
  <c r="AD37" i="47"/>
  <c r="I25" i="45"/>
  <c r="I41" i="45"/>
  <c r="AS37" i="47"/>
  <c r="AR37" i="47"/>
  <c r="I27" i="45"/>
  <c r="Q29" i="47"/>
  <c r="AE37" i="47"/>
  <c r="I17" i="45"/>
  <c r="J27" i="16"/>
  <c r="I18" i="45"/>
  <c r="J28" i="16"/>
  <c r="J16" i="16"/>
  <c r="I39" i="45"/>
  <c r="T29" i="47"/>
  <c r="AH37" i="47"/>
  <c r="J30" i="16"/>
  <c r="I38" i="45"/>
  <c r="I24" i="45"/>
  <c r="D34" i="76"/>
  <c r="F34" i="76" s="1"/>
  <c r="S12" i="47"/>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AZ37" i="47"/>
  <c r="AZ29" i="47"/>
  <c r="D78" i="87"/>
  <c r="E18" i="87"/>
  <c r="E20" i="87" s="1"/>
  <c r="E23" i="87" s="1"/>
  <c r="BE29" i="47"/>
  <c r="BE37" i="47"/>
  <c r="AV29" i="47"/>
  <c r="AV37" i="47"/>
  <c r="AU37" i="47"/>
  <c r="AU29" i="47"/>
  <c r="J29" i="16"/>
  <c r="J21" i="16"/>
  <c r="E40" i="76"/>
  <c r="F40" i="76" s="1"/>
  <c r="H42" i="45"/>
  <c r="I16" i="45"/>
  <c r="AJ37" i="47"/>
  <c r="AJ29" i="47"/>
  <c r="W37" i="47"/>
  <c r="W29" i="47"/>
  <c r="E28" i="47"/>
  <c r="J90" i="56"/>
  <c r="J91" i="56" s="1"/>
  <c r="H44" i="76"/>
  <c r="E20" i="47"/>
  <c r="D39" i="76"/>
  <c r="F39" i="76" s="1"/>
  <c r="J20" i="16"/>
  <c r="AK37" i="47"/>
  <c r="AK29" i="47"/>
  <c r="AO29" i="47"/>
  <c r="AO37" i="47"/>
  <c r="E94" i="87"/>
  <c r="F80" i="87"/>
  <c r="F84" i="87" s="1"/>
  <c r="N37" i="47"/>
  <c r="L37" i="47"/>
  <c r="L29" i="47"/>
  <c r="J17" i="16"/>
  <c r="E36" i="76"/>
  <c r="F36" i="76" s="1"/>
  <c r="BG29" i="47"/>
  <c r="AB29" i="47"/>
  <c r="AB37" i="47"/>
  <c r="E36" i="47"/>
  <c r="O37" i="47"/>
  <c r="O29" i="47"/>
  <c r="F37" i="47"/>
  <c r="F29" i="47"/>
  <c r="G38" i="47" s="1"/>
  <c r="I23" i="45"/>
  <c r="BF37" i="47"/>
  <c r="BF29" i="47"/>
  <c r="AG37" i="47"/>
  <c r="AH29" i="47"/>
  <c r="AI37" i="47"/>
  <c r="D94" i="87"/>
  <c r="J29" i="47"/>
  <c r="I18" i="16" l="1"/>
  <c r="F23" i="56"/>
  <c r="D40" i="6"/>
  <c r="D79" i="6"/>
  <c r="D64" i="6"/>
  <c r="D24" i="6"/>
  <c r="D48" i="6"/>
  <c r="D56" i="6"/>
  <c r="D32" i="6"/>
  <c r="D87" i="6"/>
  <c r="D72" i="6"/>
  <c r="D29" i="6"/>
  <c r="D77" i="6"/>
  <c r="D45" i="6"/>
  <c r="D61" i="6"/>
  <c r="D37" i="6"/>
  <c r="D53" i="6"/>
  <c r="D20" i="6"/>
  <c r="D84" i="6"/>
  <c r="D109" i="6"/>
  <c r="D112" i="6" s="1"/>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H45" i="76"/>
  <c r="C129" i="80"/>
  <c r="D146" i="80" s="1"/>
  <c r="I45" i="56"/>
  <c r="I42" i="56"/>
  <c r="I20" i="76"/>
  <c r="I21" i="76" s="1"/>
  <c r="I41" i="56"/>
  <c r="I39" i="56"/>
  <c r="I43" i="56"/>
  <c r="I46" i="56"/>
  <c r="I40" i="56"/>
  <c r="I38" i="56"/>
  <c r="I44" i="56"/>
  <c r="D93" i="6"/>
  <c r="D96" i="6" s="1"/>
  <c r="E21" i="6"/>
  <c r="E41" i="6"/>
  <c r="I24" i="16"/>
  <c r="I42" i="76"/>
  <c r="E112" i="6"/>
  <c r="K66" i="34"/>
  <c r="M66" i="34" s="1"/>
  <c r="P66" i="34" s="1"/>
  <c r="G46" i="74"/>
  <c r="B46" i="74"/>
  <c r="B47" i="74" s="1"/>
  <c r="L24" i="34"/>
  <c r="N24" i="34" s="1"/>
  <c r="Q24" i="34" s="1"/>
  <c r="J84" i="34"/>
  <c r="E36" i="16"/>
  <c r="E96" i="6"/>
  <c r="I25" i="76"/>
  <c r="F26" i="56"/>
  <c r="F34" i="56"/>
  <c r="F31" i="56"/>
  <c r="F33" i="56"/>
  <c r="F32" i="56"/>
  <c r="F30" i="56"/>
  <c r="F27" i="56"/>
  <c r="F28" i="56"/>
  <c r="F25" i="56"/>
  <c r="F29" i="56"/>
  <c r="I38" i="76"/>
  <c r="I27" i="76"/>
  <c r="I39" i="76"/>
  <c r="I35" i="76"/>
  <c r="I30" i="76"/>
  <c r="K59" i="34"/>
  <c r="I36" i="76"/>
  <c r="J41" i="56"/>
  <c r="J39" i="56"/>
  <c r="J42" i="56"/>
  <c r="J48" i="56"/>
  <c r="J44" i="56"/>
  <c r="J40" i="56"/>
  <c r="J43" i="56"/>
  <c r="J45" i="56"/>
  <c r="J46" i="56"/>
  <c r="J37" i="56"/>
  <c r="K37" i="56" s="1"/>
  <c r="J38" i="56"/>
  <c r="I41" i="76"/>
  <c r="I31" i="76"/>
  <c r="E29" i="47"/>
  <c r="I40" i="76"/>
  <c r="G15" i="45"/>
  <c r="I28" i="76"/>
  <c r="I37" i="76"/>
  <c r="E20" i="76"/>
  <c r="E21" i="76" s="1"/>
  <c r="F44" i="56"/>
  <c r="F40" i="56"/>
  <c r="F37" i="56"/>
  <c r="F41" i="56"/>
  <c r="F45" i="56"/>
  <c r="F39" i="56"/>
  <c r="F42" i="56"/>
  <c r="F46" i="56"/>
  <c r="F43" i="56"/>
  <c r="F38" i="56"/>
  <c r="F94" i="87"/>
  <c r="G80" i="87"/>
  <c r="G84" i="87" s="1"/>
  <c r="H25" i="16"/>
  <c r="I25" i="16"/>
  <c r="N84" i="34"/>
  <c r="D117" i="6"/>
  <c r="E37" i="47"/>
  <c r="E78" i="87"/>
  <c r="E95" i="87" s="1"/>
  <c r="F18" i="87"/>
  <c r="F20" i="87" s="1"/>
  <c r="F23" i="87" s="1"/>
  <c r="D95" i="87"/>
  <c r="E37" i="76" l="1"/>
  <c r="H24" i="16"/>
  <c r="F25" i="76"/>
  <c r="F30" i="76"/>
  <c r="F29" i="76"/>
  <c r="F28" i="76"/>
  <c r="F27" i="76"/>
  <c r="F31" i="76"/>
  <c r="D44" i="6"/>
  <c r="D76" i="6"/>
  <c r="D36" i="6"/>
  <c r="D28" i="6"/>
  <c r="D83" i="6"/>
  <c r="D60" i="6"/>
  <c r="I59" i="34"/>
  <c r="D52" i="6"/>
  <c r="C26" i="69"/>
  <c r="E47" i="59"/>
  <c r="O84" i="34"/>
  <c r="D38" i="6"/>
  <c r="G43" i="76"/>
  <c r="D138" i="80"/>
  <c r="D141" i="80"/>
  <c r="D144" i="80"/>
  <c r="D142" i="80"/>
  <c r="D140" i="80"/>
  <c r="D139" i="80"/>
  <c r="D145" i="80"/>
  <c r="C130" i="80"/>
  <c r="C131" i="80" s="1"/>
  <c r="C132" i="80" s="1"/>
  <c r="C133" i="80" s="1"/>
  <c r="E140" i="80" s="1"/>
  <c r="D137" i="80"/>
  <c r="D70" i="6"/>
  <c r="D54" i="6"/>
  <c r="E33" i="6"/>
  <c r="D30" i="6"/>
  <c r="E49" i="6"/>
  <c r="E73" i="6"/>
  <c r="D143" i="80"/>
  <c r="K42" i="56"/>
  <c r="K45" i="56"/>
  <c r="K41" i="56"/>
  <c r="K39" i="56"/>
  <c r="K46" i="56"/>
  <c r="K43" i="56"/>
  <c r="K40" i="56"/>
  <c r="E57" i="6"/>
  <c r="K44" i="56"/>
  <c r="K38" i="56"/>
  <c r="D19" i="6"/>
  <c r="G47" i="74"/>
  <c r="I24" i="76"/>
  <c r="J24" i="16"/>
  <c r="D46" i="6"/>
  <c r="D62" i="6"/>
  <c r="E65" i="6"/>
  <c r="D85" i="6"/>
  <c r="E88" i="6"/>
  <c r="E80" i="6"/>
  <c r="H18" i="16"/>
  <c r="J18" i="16" s="1"/>
  <c r="D42" i="45"/>
  <c r="G48" i="74"/>
  <c r="B48" i="74"/>
  <c r="I29" i="76"/>
  <c r="I14" i="76"/>
  <c r="I15" i="45"/>
  <c r="I42" i="45" s="1"/>
  <c r="G42" i="45"/>
  <c r="H26" i="16"/>
  <c r="I26" i="16"/>
  <c r="I23" i="16" s="1"/>
  <c r="J25" i="16"/>
  <c r="F47" i="56"/>
  <c r="F48" i="56" s="1"/>
  <c r="E22" i="76"/>
  <c r="F16" i="76"/>
  <c r="G18" i="87"/>
  <c r="G20" i="87" s="1"/>
  <c r="G23" i="87" s="1"/>
  <c r="F78" i="87"/>
  <c r="F95" i="87" s="1"/>
  <c r="H80" i="87"/>
  <c r="H84" i="87" s="1"/>
  <c r="H94" i="87" s="1"/>
  <c r="G94" i="87"/>
  <c r="D69" i="6"/>
  <c r="J59" i="34"/>
  <c r="F78" i="56" l="1"/>
  <c r="D68" i="6"/>
  <c r="D82" i="6"/>
  <c r="D75" i="6"/>
  <c r="D80" i="6" s="1"/>
  <c r="L20" i="34"/>
  <c r="E11" i="57"/>
  <c r="C17" i="57"/>
  <c r="G15" i="59"/>
  <c r="I34" i="76"/>
  <c r="I43" i="76" s="1"/>
  <c r="E137" i="80"/>
  <c r="E145" i="80"/>
  <c r="E143" i="80"/>
  <c r="E138" i="80"/>
  <c r="E144" i="80"/>
  <c r="E142" i="80"/>
  <c r="E146" i="80"/>
  <c r="C134" i="80"/>
  <c r="E141" i="80"/>
  <c r="E139" i="80"/>
  <c r="D23" i="6"/>
  <c r="L22" i="34"/>
  <c r="D59" i="6"/>
  <c r="D65" i="6" s="1"/>
  <c r="L23" i="34"/>
  <c r="K47" i="56"/>
  <c r="D88" i="6"/>
  <c r="I16" i="76"/>
  <c r="D37" i="76"/>
  <c r="D51" i="6"/>
  <c r="D57" i="6" s="1"/>
  <c r="L19" i="34"/>
  <c r="L16" i="34"/>
  <c r="D27" i="6"/>
  <c r="D33" i="6" s="1"/>
  <c r="L17" i="34"/>
  <c r="D35" i="6"/>
  <c r="D41" i="6" s="1"/>
  <c r="J26" i="16"/>
  <c r="G49" i="74"/>
  <c r="B49" i="74"/>
  <c r="L15" i="34"/>
  <c r="D18" i="6"/>
  <c r="D21" i="6" s="1"/>
  <c r="L18" i="34"/>
  <c r="D43" i="6"/>
  <c r="D49" i="6" s="1"/>
  <c r="E42" i="76"/>
  <c r="E43" i="76" s="1"/>
  <c r="F90" i="56" s="1"/>
  <c r="I36" i="16"/>
  <c r="E37" i="56"/>
  <c r="G37" i="56" s="1"/>
  <c r="E43" i="56"/>
  <c r="G43" i="56" s="1"/>
  <c r="E38" i="56"/>
  <c r="G38" i="56" s="1"/>
  <c r="E42" i="56"/>
  <c r="G42" i="56" s="1"/>
  <c r="E40" i="56"/>
  <c r="G40" i="56" s="1"/>
  <c r="E46" i="56"/>
  <c r="G46" i="56" s="1"/>
  <c r="E44" i="56"/>
  <c r="G44" i="56" s="1"/>
  <c r="D20" i="76"/>
  <c r="E39" i="56"/>
  <c r="G39" i="56" s="1"/>
  <c r="E45" i="56"/>
  <c r="G45" i="56" s="1"/>
  <c r="E41" i="56"/>
  <c r="G41" i="56" s="1"/>
  <c r="L21" i="34"/>
  <c r="D67" i="6"/>
  <c r="D73" i="6" s="1"/>
  <c r="G78" i="87"/>
  <c r="G95" i="87" s="1"/>
  <c r="H18" i="87"/>
  <c r="H20" i="87" s="1"/>
  <c r="H23" i="87" s="1"/>
  <c r="H78" i="87" s="1"/>
  <c r="H95" i="87" s="1"/>
  <c r="H23" i="16"/>
  <c r="I15" i="76"/>
  <c r="I35" i="56"/>
  <c r="E120" i="6"/>
  <c r="H59" i="34"/>
  <c r="I90" i="56"/>
  <c r="F24" i="76" l="1"/>
  <c r="E32" i="76"/>
  <c r="F66" i="56" s="1"/>
  <c r="F91" i="56" s="1"/>
  <c r="N15" i="34"/>
  <c r="N23" i="34"/>
  <c r="Q23" i="34" s="1"/>
  <c r="N18" i="34"/>
  <c r="Q18" i="34" s="1"/>
  <c r="N21" i="34"/>
  <c r="Q21" i="34" s="1"/>
  <c r="N17" i="34"/>
  <c r="Q17" i="34" s="1"/>
  <c r="N22" i="34"/>
  <c r="Q22" i="34" s="1"/>
  <c r="N20" i="34"/>
  <c r="Q20" i="34" s="1"/>
  <c r="N16" i="34"/>
  <c r="Q16" i="34" s="1"/>
  <c r="N19" i="34"/>
  <c r="Q19" i="34" s="1"/>
  <c r="C23" i="69"/>
  <c r="D14" i="76"/>
  <c r="E17" i="57"/>
  <c r="F37" i="76"/>
  <c r="G50" i="74"/>
  <c r="B50" i="74"/>
  <c r="D21" i="76"/>
  <c r="E47" i="56" s="1"/>
  <c r="F20" i="76"/>
  <c r="F21" i="76" s="1"/>
  <c r="G84" i="34"/>
  <c r="D114" i="6"/>
  <c r="K67" i="34"/>
  <c r="I28" i="56"/>
  <c r="K28" i="56" s="1"/>
  <c r="I33" i="56"/>
  <c r="K33" i="56" s="1"/>
  <c r="I25" i="56"/>
  <c r="K25" i="56" s="1"/>
  <c r="I32" i="56"/>
  <c r="K32" i="56" s="1"/>
  <c r="I34" i="56"/>
  <c r="K34" i="56" s="1"/>
  <c r="I29" i="56"/>
  <c r="K29" i="56" s="1"/>
  <c r="I30" i="56"/>
  <c r="K30" i="56" s="1"/>
  <c r="I27" i="56"/>
  <c r="K27" i="56" s="1"/>
  <c r="I31" i="56"/>
  <c r="K31" i="56" s="1"/>
  <c r="I26" i="56"/>
  <c r="K26" i="56" s="1"/>
  <c r="G47" i="56"/>
  <c r="L59" i="34"/>
  <c r="J23" i="16"/>
  <c r="J36" i="16" s="1"/>
  <c r="D42" i="76"/>
  <c r="H36" i="16"/>
  <c r="E44" i="76" l="1"/>
  <c r="E45" i="76" s="1"/>
  <c r="N59" i="34"/>
  <c r="C11" i="69"/>
  <c r="E35" i="56"/>
  <c r="F14" i="76"/>
  <c r="G51" i="74"/>
  <c r="B51" i="74"/>
  <c r="K84" i="34"/>
  <c r="M67" i="34"/>
  <c r="K35" i="56"/>
  <c r="G16" i="59"/>
  <c r="G47" i="59" s="1"/>
  <c r="D115" i="6"/>
  <c r="D120" i="6" s="1"/>
  <c r="H84" i="34"/>
  <c r="F42" i="76"/>
  <c r="F43" i="76" s="1"/>
  <c r="D43" i="76"/>
  <c r="E26" i="56" l="1"/>
  <c r="G26" i="56" s="1"/>
  <c r="E30" i="56"/>
  <c r="G30" i="56" s="1"/>
  <c r="E29" i="56"/>
  <c r="G29" i="56" s="1"/>
  <c r="E31" i="56"/>
  <c r="G31" i="56" s="1"/>
  <c r="E33" i="56"/>
  <c r="G33" i="56" s="1"/>
  <c r="E28" i="56"/>
  <c r="G28" i="56" s="1"/>
  <c r="E34" i="56"/>
  <c r="G34" i="56" s="1"/>
  <c r="E32" i="56"/>
  <c r="G32" i="56" s="1"/>
  <c r="E27" i="56"/>
  <c r="G27" i="56" s="1"/>
  <c r="E25" i="56"/>
  <c r="G25" i="56" s="1"/>
  <c r="B52" i="74"/>
  <c r="G52" i="74"/>
  <c r="C14" i="69"/>
  <c r="P67" i="34"/>
  <c r="P84" i="34" s="1"/>
  <c r="M84" i="34"/>
  <c r="E90" i="56"/>
  <c r="G35" i="56" l="1"/>
  <c r="G53" i="74"/>
  <c r="B53" i="74"/>
  <c r="B54" i="74" l="1"/>
  <c r="G54" i="74"/>
  <c r="E25" i="6" l="1"/>
  <c r="E103" i="6" s="1"/>
  <c r="B55" i="74"/>
  <c r="G55" i="74"/>
  <c r="O59" i="34" l="1"/>
  <c r="P59" i="34"/>
  <c r="G56" i="74"/>
  <c r="B56" i="74"/>
  <c r="I78" i="56" l="1"/>
  <c r="G32" i="76"/>
  <c r="I26" i="76"/>
  <c r="I32" i="76" s="1"/>
  <c r="I44" i="76" s="1"/>
  <c r="Q15" i="34"/>
  <c r="Q59" i="34" s="1"/>
  <c r="D22" i="6"/>
  <c r="D25" i="6" s="1"/>
  <c r="B57" i="74"/>
  <c r="G57" i="74"/>
  <c r="I66" i="56" l="1"/>
  <c r="I91" i="56" s="1"/>
  <c r="G44" i="76"/>
  <c r="D103" i="6"/>
  <c r="B58" i="74"/>
  <c r="G58" i="74"/>
  <c r="E78" i="56" l="1"/>
  <c r="B59" i="74"/>
  <c r="G59" i="74"/>
  <c r="F26" i="76" l="1"/>
  <c r="F32" i="76" s="1"/>
  <c r="D32" i="76"/>
  <c r="C13" i="69"/>
  <c r="F44" i="76"/>
  <c r="E66" i="56"/>
  <c r="E91" i="56" s="1"/>
  <c r="D44" i="76"/>
  <c r="B60" i="74"/>
  <c r="G60" i="74"/>
  <c r="C15" i="69" l="1"/>
  <c r="B61" i="74"/>
  <c r="G61" i="74"/>
  <c r="B62" i="74" l="1"/>
  <c r="G62" i="74"/>
  <c r="B63" i="74" l="1"/>
  <c r="G63" i="74"/>
  <c r="G64" i="74" l="1"/>
  <c r="B64" i="74"/>
  <c r="G65" i="74" l="1"/>
  <c r="B65" i="74"/>
  <c r="G66" i="74" l="1"/>
  <c r="B66" i="74"/>
  <c r="G67" i="74" l="1"/>
  <c r="B67" i="74"/>
  <c r="G68" i="74" l="1"/>
  <c r="B68" i="74"/>
  <c r="B69" i="74" l="1"/>
  <c r="G69" i="74"/>
  <c r="B70" i="74" l="1"/>
  <c r="G70" i="74"/>
  <c r="G71" i="74" l="1"/>
  <c r="B71" i="74"/>
  <c r="G72" i="74" l="1"/>
  <c r="B72" i="74"/>
  <c r="G73" i="74" l="1"/>
  <c r="B73" i="74"/>
  <c r="B74" i="74" l="1"/>
  <c r="G74" i="74"/>
  <c r="G75" i="74" l="1"/>
  <c r="B75" i="74"/>
  <c r="B76" i="74" l="1"/>
  <c r="G76" i="74"/>
  <c r="B77" i="74" l="1"/>
  <c r="G77" i="74"/>
  <c r="B78" i="74" l="1"/>
  <c r="G78" i="74"/>
  <c r="B79" i="74" l="1"/>
  <c r="G79" i="74"/>
  <c r="B80" i="74" l="1"/>
  <c r="G80" i="74"/>
  <c r="G81" i="74" l="1"/>
  <c r="B81" i="74"/>
  <c r="B82" i="74" l="1"/>
  <c r="G82" i="74"/>
  <c r="G83" i="74" l="1"/>
  <c r="B83" i="74"/>
  <c r="G84" i="74" l="1"/>
  <c r="B84" i="74"/>
  <c r="B85" i="74" l="1"/>
  <c r="G85" i="74"/>
  <c r="G86" i="74" l="1"/>
  <c r="B86" i="74"/>
  <c r="B87" i="74" l="1"/>
  <c r="G87" i="74"/>
  <c r="B88" i="74" l="1"/>
  <c r="G88" i="74"/>
  <c r="G89" i="74" l="1"/>
  <c r="B89" i="74"/>
  <c r="B90" i="74" l="1"/>
  <c r="G90" i="74"/>
  <c r="B91" i="74" l="1"/>
  <c r="G91" i="74"/>
  <c r="B92" i="74" l="1"/>
  <c r="G92" i="74"/>
  <c r="G93" i="74" l="1"/>
  <c r="B93" i="74"/>
  <c r="G94" i="74" l="1"/>
  <c r="B94" i="74"/>
  <c r="B95" i="74" l="1"/>
  <c r="G95" i="74"/>
  <c r="B96" i="74" l="1"/>
  <c r="G96" i="74"/>
  <c r="B97" i="74" l="1"/>
  <c r="G97" i="74"/>
  <c r="G98" i="74" l="1"/>
  <c r="B98" i="74"/>
  <c r="B99" i="74" l="1"/>
  <c r="G99" i="74"/>
  <c r="B100" i="74" l="1"/>
  <c r="G100" i="74"/>
  <c r="B101" i="74" l="1"/>
  <c r="G101" i="74"/>
  <c r="G102" i="74" l="1"/>
  <c r="B102" i="74"/>
  <c r="B103" i="74" l="1"/>
  <c r="G103" i="74"/>
  <c r="B104" i="74" l="1"/>
  <c r="G104" i="74"/>
  <c r="B105" i="74" l="1"/>
  <c r="G105" i="74"/>
  <c r="B106" i="74" l="1"/>
  <c r="G106" i="74"/>
  <c r="G107" i="74" l="1"/>
  <c r="B107" i="74"/>
  <c r="B108" i="74" l="1"/>
  <c r="G108" i="74"/>
  <c r="B109" i="74" l="1"/>
  <c r="G109" i="74"/>
  <c r="B110" i="74" l="1"/>
  <c r="G110" i="74"/>
  <c r="B111" i="74" l="1"/>
  <c r="G111" i="74"/>
  <c r="B112" i="74" l="1"/>
  <c r="G112" i="74"/>
  <c r="G113" i="74" l="1"/>
  <c r="B113" i="74"/>
  <c r="G114" i="74" l="1"/>
  <c r="B114" i="74"/>
  <c r="G115" i="74" l="1"/>
  <c r="B115" i="74"/>
  <c r="B116" i="74" l="1"/>
  <c r="G116" i="74"/>
  <c r="B117" i="74" l="1"/>
  <c r="G117" i="74"/>
  <c r="B118" i="74" l="1"/>
  <c r="G118" i="74"/>
  <c r="B119" i="74" l="1"/>
  <c r="G119" i="74"/>
  <c r="B120" i="74" l="1"/>
  <c r="G120" i="74"/>
  <c r="G121" i="74" l="1"/>
  <c r="B121" i="74"/>
  <c r="B122" i="74" l="1"/>
  <c r="G122" i="74"/>
  <c r="G123" i="74" l="1"/>
  <c r="B123" i="74"/>
  <c r="B124" i="74" l="1"/>
  <c r="G124" i="74"/>
  <c r="G125" i="74" l="1"/>
  <c r="B125" i="74"/>
  <c r="B126" i="74" l="1"/>
  <c r="G126" i="74"/>
  <c r="G127" i="74" l="1"/>
  <c r="B127" i="74"/>
  <c r="B128" i="74" l="1"/>
  <c r="G128" i="74"/>
  <c r="B129" i="74" l="1"/>
  <c r="G129" i="74"/>
  <c r="G130" i="74" l="1"/>
  <c r="B130" i="74"/>
  <c r="B131" i="74" l="1"/>
  <c r="G131" i="74"/>
  <c r="B132" i="74" l="1"/>
  <c r="G132" i="74"/>
  <c r="B133" i="74" l="1"/>
  <c r="G133" i="74"/>
  <c r="B134" i="74" l="1"/>
  <c r="G134" i="74"/>
  <c r="B135" i="74" l="1"/>
  <c r="G135" i="74"/>
  <c r="B136" i="74" l="1"/>
  <c r="G136" i="74"/>
  <c r="G137" i="74" l="1"/>
  <c r="B137" i="74"/>
  <c r="B138" i="74" l="1"/>
  <c r="G138" i="74"/>
  <c r="B139" i="74" l="1"/>
  <c r="G139" i="74"/>
  <c r="G140" i="74" l="1"/>
  <c r="B140" i="74"/>
  <c r="B141" i="74" l="1"/>
  <c r="G141" i="74"/>
  <c r="B142" i="74" l="1"/>
  <c r="G142" i="74"/>
  <c r="B143" i="74" l="1"/>
  <c r="G143" i="74"/>
  <c r="G144" i="74" l="1"/>
  <c r="B144" i="74"/>
  <c r="G145" i="74" l="1"/>
  <c r="B145" i="74"/>
  <c r="G146" i="74" l="1"/>
  <c r="B146" i="74"/>
  <c r="B147" i="74" l="1"/>
  <c r="G147" i="74"/>
  <c r="B148" i="74" l="1"/>
  <c r="G148" i="74"/>
  <c r="G149" i="74" l="1"/>
  <c r="B149" i="74"/>
  <c r="B150" i="74" l="1"/>
  <c r="G150" i="74"/>
  <c r="B151" i="74" l="1"/>
  <c r="G151" i="74"/>
  <c r="G152" i="74" l="1"/>
  <c r="B152" i="74"/>
  <c r="B153" i="74" l="1"/>
  <c r="G153" i="74"/>
  <c r="B154" i="74" l="1"/>
  <c r="G154" i="74"/>
  <c r="G155" i="74" l="1"/>
  <c r="B155" i="74"/>
  <c r="B156" i="74" l="1"/>
  <c r="G156" i="74"/>
  <c r="B157" i="74" l="1"/>
  <c r="G157" i="74"/>
  <c r="B158" i="74" l="1"/>
  <c r="G158" i="74"/>
  <c r="B159" i="74" l="1"/>
  <c r="G159" i="74"/>
  <c r="G160" i="74" l="1"/>
  <c r="B160" i="74"/>
  <c r="G161" i="74" l="1"/>
  <c r="B161" i="74"/>
  <c r="B162" i="74" l="1"/>
  <c r="G162" i="74"/>
  <c r="B163" i="74" l="1"/>
  <c r="G163" i="74"/>
  <c r="G164" i="74" l="1"/>
  <c r="B164" i="74"/>
  <c r="B165" i="74" l="1"/>
  <c r="G165" i="74"/>
  <c r="G166" i="74" l="1"/>
  <c r="B166" i="74"/>
  <c r="B167" i="74" l="1"/>
  <c r="G167" i="74"/>
  <c r="B168" i="74" l="1"/>
  <c r="G168" i="74"/>
  <c r="B169" i="74" l="1"/>
  <c r="G169" i="74"/>
  <c r="B170" i="74" l="1"/>
  <c r="G170" i="74"/>
  <c r="B171" i="74" l="1"/>
  <c r="G171" i="74"/>
  <c r="B172" i="74" l="1"/>
  <c r="G172" i="74"/>
  <c r="B173" i="74" l="1"/>
  <c r="G173" i="74"/>
  <c r="B174" i="74" l="1"/>
  <c r="G174" i="74"/>
  <c r="G175" i="74" l="1"/>
  <c r="B175" i="74"/>
  <c r="B176" i="74" l="1"/>
  <c r="G176" i="74"/>
  <c r="G177" i="74" l="1"/>
  <c r="B177" i="74"/>
  <c r="G178" i="74" l="1"/>
  <c r="B178" i="74"/>
  <c r="B179" i="74" l="1"/>
  <c r="G179" i="74"/>
  <c r="G180" i="74" l="1"/>
  <c r="B180" i="74"/>
  <c r="G181" i="74" l="1"/>
  <c r="B181" i="74"/>
  <c r="G182" i="74" l="1"/>
  <c r="B182" i="74"/>
  <c r="G183" i="74" l="1"/>
  <c r="B183" i="74"/>
  <c r="B184" i="74" l="1"/>
  <c r="G184" i="74"/>
  <c r="B185" i="74" l="1"/>
  <c r="G185" i="74"/>
  <c r="B186" i="74" l="1"/>
  <c r="G186" i="74"/>
  <c r="B187" i="74" l="1"/>
  <c r="G187" i="74"/>
  <c r="B188" i="74" l="1"/>
  <c r="G188" i="74"/>
  <c r="B189" i="74" l="1"/>
  <c r="G189" i="74"/>
  <c r="B190" i="74" l="1"/>
  <c r="G190" i="74"/>
  <c r="B191" i="74" l="1"/>
  <c r="G191" i="74"/>
  <c r="G192" i="74" l="1"/>
  <c r="B192" i="74"/>
  <c r="G193" i="74" l="1"/>
  <c r="B193" i="74"/>
  <c r="G194" i="74" l="1"/>
  <c r="B194" i="74"/>
  <c r="B195" i="74" l="1"/>
  <c r="G195" i="74"/>
  <c r="B196" i="74" l="1"/>
  <c r="G196" i="74"/>
  <c r="G197" i="74" l="1"/>
  <c r="B197" i="74"/>
  <c r="G198" i="74" l="1"/>
  <c r="B198" i="74"/>
  <c r="B199" i="74" l="1"/>
  <c r="G199" i="74"/>
  <c r="B200" i="74" l="1"/>
  <c r="G200" i="74"/>
  <c r="B201" i="74" l="1"/>
  <c r="G201" i="74"/>
  <c r="B202" i="74" l="1"/>
  <c r="G202" i="74"/>
  <c r="B203" i="74" l="1"/>
  <c r="G203" i="74"/>
  <c r="B204" i="74" l="1"/>
  <c r="G204" i="74"/>
  <c r="B205" i="74" l="1"/>
  <c r="G205" i="74"/>
  <c r="B206" i="74" l="1"/>
  <c r="G206" i="74"/>
  <c r="G207" i="74" l="1"/>
  <c r="B207" i="74"/>
  <c r="G208" i="74" l="1"/>
  <c r="B208" i="74"/>
  <c r="B209" i="74" l="1"/>
  <c r="G209" i="74"/>
  <c r="G210" i="74" l="1"/>
  <c r="B210" i="74"/>
  <c r="G211" i="74" l="1"/>
  <c r="B211" i="74"/>
  <c r="G212" i="74" l="1"/>
  <c r="B212" i="74"/>
  <c r="G213" i="74" l="1"/>
  <c r="B213" i="74"/>
  <c r="B214" i="74" l="1"/>
  <c r="G214" i="74"/>
  <c r="G215" i="74" l="1"/>
  <c r="B215" i="74"/>
  <c r="G216" i="74" l="1"/>
  <c r="B216" i="74"/>
  <c r="B217" i="74" l="1"/>
  <c r="G217" i="74"/>
  <c r="G218" i="74" l="1"/>
  <c r="B218" i="74"/>
  <c r="B219" i="74" l="1"/>
  <c r="G219" i="74"/>
  <c r="B220" i="74" l="1"/>
  <c r="G220" i="74"/>
  <c r="B221" i="74" l="1"/>
  <c r="G221" i="74"/>
  <c r="B222" i="74" l="1"/>
  <c r="G222" i="74"/>
  <c r="B223" i="74" l="1"/>
  <c r="G223" i="74"/>
  <c r="B224" i="74" l="1"/>
  <c r="G224" i="74"/>
  <c r="B225" i="74" l="1"/>
  <c r="G225" i="74"/>
  <c r="G226" i="74" l="1"/>
  <c r="B226" i="74"/>
  <c r="G227" i="74" l="1"/>
  <c r="B227" i="74"/>
  <c r="B228" i="74" l="1"/>
  <c r="G228" i="74"/>
  <c r="G229" i="74" l="1"/>
  <c r="B229" i="74"/>
  <c r="B230" i="74" l="1"/>
  <c r="G230" i="74"/>
  <c r="G231" i="74" l="1"/>
  <c r="B231" i="74"/>
  <c r="B232" i="74" l="1"/>
  <c r="G232" i="74"/>
  <c r="B233" i="74" l="1"/>
  <c r="G233" i="74"/>
  <c r="G234" i="74" l="1"/>
  <c r="B234" i="74"/>
  <c r="G235" i="74" l="1"/>
  <c r="B235" i="74"/>
  <c r="B236" i="74" l="1"/>
  <c r="G236" i="74"/>
  <c r="B237" i="74" l="1"/>
  <c r="G237" i="74"/>
  <c r="B238" i="74" l="1"/>
  <c r="G238" i="74"/>
  <c r="B239" i="74" l="1"/>
  <c r="G239" i="74"/>
  <c r="G240" i="74" l="1"/>
  <c r="B240" i="74"/>
  <c r="G241" i="74" l="1"/>
  <c r="B241" i="74"/>
  <c r="G242" i="74" l="1"/>
  <c r="B242" i="74"/>
  <c r="G243" i="74" l="1"/>
  <c r="B243" i="74"/>
  <c r="B244" i="74" l="1"/>
  <c r="G244" i="74"/>
  <c r="G245" i="74" l="1"/>
  <c r="B245" i="74"/>
  <c r="G246" i="74" l="1"/>
  <c r="B246" i="74"/>
  <c r="B247" i="74" l="1"/>
  <c r="G247" i="74"/>
  <c r="G248" i="74" l="1"/>
  <c r="B248" i="74"/>
  <c r="B249" i="74" l="1"/>
  <c r="G249" i="74"/>
  <c r="B250" i="74" l="1"/>
  <c r="G250" i="74"/>
  <c r="B251" i="74" l="1"/>
  <c r="G251" i="74"/>
  <c r="B252" i="74" l="1"/>
  <c r="G252" i="74"/>
  <c r="B253" i="74" l="1"/>
  <c r="G253" i="74"/>
  <c r="B254" i="74" l="1"/>
  <c r="G254" i="74"/>
  <c r="B255" i="74" l="1"/>
  <c r="G255" i="74"/>
  <c r="G256" i="74" l="1"/>
  <c r="B256" i="74"/>
  <c r="G257" i="74" l="1"/>
  <c r="B257" i="74"/>
  <c r="G258" i="74" l="1"/>
  <c r="B258" i="74"/>
  <c r="G259" i="74" l="1"/>
  <c r="B259" i="74"/>
  <c r="G260" i="74" l="1"/>
  <c r="B260" i="74"/>
  <c r="G261" i="74" l="1"/>
  <c r="B261" i="74"/>
  <c r="G262" i="74" l="1"/>
  <c r="B262" i="74"/>
  <c r="G263" i="74" l="1"/>
  <c r="B263" i="74"/>
  <c r="B264" i="74" l="1"/>
  <c r="G264" i="74"/>
  <c r="B265" i="74" l="1"/>
  <c r="G265" i="74"/>
  <c r="G266" i="74" l="1"/>
  <c r="B266" i="74"/>
  <c r="B267" i="74" l="1"/>
  <c r="G267" i="74"/>
  <c r="B268" i="74" l="1"/>
  <c r="G268" i="74"/>
  <c r="B269" i="74" l="1"/>
  <c r="G269" i="74"/>
  <c r="G270" i="74" l="1"/>
  <c r="B270" i="74"/>
  <c r="G271" i="74" l="1"/>
  <c r="B271" i="74"/>
  <c r="G272" i="74" l="1"/>
  <c r="B272" i="74"/>
  <c r="B273" i="74" l="1"/>
  <c r="G273" i="74"/>
  <c r="G274" i="74" l="1"/>
  <c r="B274" i="74"/>
  <c r="G275" i="74" l="1"/>
  <c r="B275" i="74"/>
  <c r="B276" i="74" l="1"/>
  <c r="G276" i="74"/>
  <c r="G277" i="74" l="1"/>
  <c r="B277" i="74"/>
  <c r="B278" i="74" l="1"/>
  <c r="G278" i="74"/>
  <c r="G279" i="74" l="1"/>
  <c r="B279" i="74"/>
  <c r="B280" i="74" l="1"/>
  <c r="G280" i="74"/>
  <c r="B281" i="74" l="1"/>
  <c r="G281" i="74"/>
  <c r="B282" i="74" l="1"/>
  <c r="G282" i="74"/>
  <c r="G283" i="74" l="1"/>
  <c r="B283" i="74"/>
  <c r="B284" i="74" l="1"/>
  <c r="G284" i="74"/>
  <c r="B285" i="74" l="1"/>
  <c r="G285" i="74"/>
  <c r="G286" i="74" l="1"/>
  <c r="B286" i="74"/>
  <c r="B287" i="74" l="1"/>
  <c r="G287" i="74"/>
  <c r="B288" i="74" l="1"/>
  <c r="G288" i="74"/>
  <c r="B289" i="74" l="1"/>
  <c r="G289" i="74"/>
  <c r="G290" i="74" l="1"/>
  <c r="B290" i="74"/>
  <c r="B291" i="74" l="1"/>
  <c r="G291" i="74"/>
  <c r="G292" i="74" l="1"/>
  <c r="B292" i="74"/>
  <c r="B293" i="74" l="1"/>
  <c r="G293" i="74"/>
  <c r="B294" i="74" l="1"/>
  <c r="G294" i="74"/>
  <c r="B295" i="74" l="1"/>
  <c r="G295" i="74"/>
  <c r="G296" i="74" l="1"/>
  <c r="B296" i="74"/>
  <c r="B297" i="74" l="1"/>
  <c r="G297" i="74"/>
  <c r="G298" i="74" l="1"/>
  <c r="B298" i="74"/>
  <c r="B299" i="74" l="1"/>
  <c r="G299" i="74"/>
  <c r="G300" i="74" l="1"/>
  <c r="B300" i="74"/>
  <c r="B301" i="74" l="1"/>
  <c r="G301" i="74"/>
  <c r="B302" i="74" l="1"/>
  <c r="G302" i="74"/>
  <c r="B303" i="74" l="1"/>
  <c r="G303" i="74"/>
  <c r="G304" i="74" l="1"/>
  <c r="B304" i="74"/>
  <c r="G305" i="74" l="1"/>
  <c r="B305" i="74"/>
  <c r="B306" i="74" l="1"/>
  <c r="G306" i="74"/>
  <c r="G307" i="74" l="1"/>
  <c r="B307" i="74"/>
  <c r="B308" i="74" l="1"/>
  <c r="G308" i="74"/>
  <c r="B309" i="74" l="1"/>
  <c r="G309" i="74"/>
  <c r="G310" i="74" l="1"/>
  <c r="B310" i="74"/>
  <c r="B311" i="74" l="1"/>
  <c r="G311" i="74"/>
  <c r="B312" i="74" l="1"/>
  <c r="G312" i="74"/>
  <c r="B313" i="74" l="1"/>
  <c r="G313" i="74"/>
  <c r="G314" i="74" l="1"/>
  <c r="B314" i="74"/>
  <c r="G315" i="74" l="1"/>
  <c r="B315" i="74"/>
  <c r="G316" i="74" l="1"/>
  <c r="B316" i="74"/>
  <c r="B317" i="74" l="1"/>
  <c r="G317" i="74"/>
  <c r="B318" i="74" l="1"/>
  <c r="G318" i="74"/>
  <c r="B319" i="74" l="1"/>
  <c r="G319" i="74"/>
  <c r="G320" i="74" l="1"/>
  <c r="B320" i="74"/>
  <c r="G321" i="74" l="1"/>
  <c r="B321" i="74"/>
  <c r="G322" i="74" l="1"/>
  <c r="B322" i="74"/>
  <c r="B323" i="74" l="1"/>
  <c r="G323" i="74"/>
  <c r="G324" i="74" l="1"/>
  <c r="B324" i="74"/>
  <c r="B325" i="74" l="1"/>
  <c r="G325" i="74"/>
  <c r="G326" i="74" l="1"/>
  <c r="B326" i="74"/>
  <c r="B327" i="74" l="1"/>
  <c r="G327" i="74"/>
  <c r="B328" i="74" l="1"/>
  <c r="G328" i="74"/>
  <c r="B329" i="74" l="1"/>
  <c r="G329" i="74"/>
  <c r="B330" i="74" l="1"/>
  <c r="G330" i="74"/>
  <c r="G331" i="74" l="1"/>
  <c r="B331" i="74"/>
  <c r="B332" i="74" l="1"/>
  <c r="G332" i="74"/>
  <c r="G333" i="74" l="1"/>
  <c r="B333" i="74"/>
  <c r="B334" i="74" l="1"/>
  <c r="G334" i="74"/>
  <c r="G335" i="74" l="1"/>
  <c r="B335" i="74"/>
  <c r="B336" i="74" l="1"/>
  <c r="G336" i="74"/>
  <c r="B337" i="74" l="1"/>
  <c r="G337" i="74"/>
  <c r="B338" i="74" l="1"/>
  <c r="G338" i="74"/>
  <c r="G339" i="74" l="1"/>
  <c r="B339" i="74"/>
  <c r="G340" i="74" l="1"/>
  <c r="B340" i="74"/>
  <c r="B341" i="74" l="1"/>
  <c r="G341" i="74"/>
  <c r="B342" i="74" l="1"/>
  <c r="G342" i="74"/>
  <c r="B343" i="74" l="1"/>
  <c r="G343" i="74"/>
  <c r="B344" i="74" l="1"/>
  <c r="G344" i="74"/>
  <c r="G345" i="74" l="1"/>
  <c r="B345" i="74"/>
  <c r="B346" i="74" l="1"/>
  <c r="G346" i="74"/>
  <c r="B347" i="74" l="1"/>
  <c r="G347" i="74"/>
  <c r="G348" i="74" l="1"/>
  <c r="B348" i="74"/>
  <c r="B349" i="74" l="1"/>
  <c r="G349" i="74"/>
  <c r="G350" i="74" l="1"/>
  <c r="B350" i="74"/>
  <c r="B351" i="74" l="1"/>
  <c r="G351" i="74"/>
  <c r="G352" i="74" l="1"/>
  <c r="B352" i="74"/>
  <c r="G353" i="74" l="1"/>
  <c r="B353" i="74"/>
  <c r="G354" i="74" l="1"/>
  <c r="B354" i="74"/>
  <c r="B355" i="74" l="1"/>
  <c r="G355" i="74"/>
  <c r="G356" i="74" l="1"/>
  <c r="B356" i="74"/>
  <c r="G357" i="74" l="1"/>
  <c r="B357" i="74"/>
  <c r="B358" i="74" l="1"/>
  <c r="G358" i="74"/>
  <c r="B359" i="74" l="1"/>
  <c r="G359" i="74"/>
  <c r="G360" i="74" l="1"/>
  <c r="B360" i="74"/>
  <c r="B361" i="74" l="1"/>
  <c r="G361" i="74"/>
  <c r="G362" i="74" l="1"/>
  <c r="B362" i="74"/>
  <c r="B363" i="74" l="1"/>
  <c r="G363" i="74"/>
  <c r="G364" i="74" l="1"/>
  <c r="B364" i="74"/>
  <c r="B365" i="74" l="1"/>
  <c r="G365" i="74"/>
  <c r="G366" i="74" l="1"/>
  <c r="B366" i="74"/>
  <c r="B367" i="74" l="1"/>
  <c r="G367" i="74"/>
  <c r="B368" i="74" l="1"/>
  <c r="G368" i="74"/>
  <c r="G369" i="74" l="1"/>
  <c r="B369" i="74"/>
  <c r="G370" i="74" l="1"/>
  <c r="B370" i="74"/>
  <c r="G371" i="74" l="1"/>
  <c r="B371" i="74"/>
  <c r="B372" i="74" l="1"/>
  <c r="G372" i="74"/>
  <c r="B373" i="74" l="1"/>
  <c r="G373" i="74"/>
  <c r="G374" i="74" l="1"/>
  <c r="B374" i="74"/>
  <c r="B375" i="74" l="1"/>
  <c r="G375" i="74"/>
  <c r="G376" i="74" l="1"/>
  <c r="B376" i="74"/>
  <c r="B377" i="74" l="1"/>
  <c r="G377" i="74"/>
  <c r="G378" i="74" l="1"/>
  <c r="B378" i="74"/>
  <c r="B379" i="74" l="1"/>
  <c r="G379" i="74"/>
  <c r="B380" i="74" l="1"/>
  <c r="G380" i="74"/>
  <c r="B381" i="74" l="1"/>
  <c r="G381" i="74"/>
  <c r="B382" i="74" l="1"/>
  <c r="G382" i="74"/>
  <c r="B383" i="74" l="1"/>
  <c r="G383" i="74"/>
  <c r="G384" i="74" l="1"/>
  <c r="B384" i="74"/>
  <c r="G385" i="74" l="1"/>
  <c r="B385" i="74"/>
  <c r="G386" i="74" l="1"/>
  <c r="B386" i="74"/>
  <c r="B387" i="74" l="1"/>
  <c r="G387" i="74"/>
  <c r="B388" i="74" l="1"/>
  <c r="G388" i="74"/>
  <c r="B389" i="74" l="1"/>
  <c r="G389" i="74"/>
  <c r="B390" i="74" l="1"/>
  <c r="G390" i="74"/>
  <c r="B391" i="74" l="1"/>
  <c r="G391" i="74"/>
  <c r="B392" i="74" l="1"/>
  <c r="G392" i="74"/>
  <c r="B393" i="74" l="1"/>
  <c r="G393" i="74"/>
  <c r="G394" i="74" l="1"/>
  <c r="B394" i="74"/>
  <c r="B395" i="74" l="1"/>
  <c r="G395" i="74"/>
  <c r="B396" i="74" l="1"/>
  <c r="G396" i="74"/>
  <c r="B397" i="74" l="1"/>
  <c r="G397" i="74"/>
  <c r="B398" i="74" l="1"/>
  <c r="G398" i="74"/>
  <c r="G399" i="74" l="1"/>
  <c r="B399" i="74"/>
  <c r="B400" i="74" l="1"/>
  <c r="G400" i="74"/>
  <c r="G401" i="74" l="1"/>
  <c r="B401" i="74"/>
  <c r="G402" i="74" l="1"/>
  <c r="B402" i="74"/>
  <c r="B403" i="74" l="1"/>
  <c r="G403" i="74"/>
  <c r="B404" i="74" l="1"/>
  <c r="G404" i="74"/>
  <c r="G405" i="74" l="1"/>
  <c r="B405" i="74"/>
  <c r="B406" i="74" l="1"/>
  <c r="G406" i="74"/>
  <c r="B407" i="74" l="1"/>
  <c r="G407" i="74"/>
  <c r="B408" i="74" l="1"/>
  <c r="I408" i="74"/>
  <c r="H408" i="74"/>
  <c r="G408" i="74"/>
  <c r="G42" i="74" s="1"/>
  <c r="I17" i="76" l="1"/>
  <c r="F17" i="76"/>
  <c r="E56" i="56" l="1"/>
  <c r="F56" i="56"/>
  <c r="D79" i="80"/>
  <c r="C79" i="80"/>
  <c r="F13" i="56"/>
  <c r="F13" i="76"/>
  <c r="F18" i="76" s="1"/>
  <c r="D18" i="76"/>
  <c r="C116" i="80"/>
  <c r="C92" i="80"/>
  <c r="F80" i="56"/>
  <c r="E80" i="56"/>
  <c r="E68" i="56"/>
  <c r="D92" i="80"/>
  <c r="D104" i="80"/>
  <c r="F68" i="56"/>
  <c r="C104" i="80"/>
  <c r="I13" i="76"/>
  <c r="I18" i="76" s="1"/>
  <c r="I22" i="76" s="1"/>
  <c r="I45" i="76" s="1"/>
  <c r="G18" i="76"/>
  <c r="G68" i="56" l="1"/>
  <c r="D23" i="56"/>
  <c r="J15" i="56"/>
  <c r="J75" i="56"/>
  <c r="I75" i="56"/>
  <c r="F88" i="56"/>
  <c r="E88" i="56"/>
  <c r="J84" i="56"/>
  <c r="I84" i="56"/>
  <c r="F17" i="56"/>
  <c r="J87" i="56"/>
  <c r="I87" i="56"/>
  <c r="C10" i="69"/>
  <c r="F22" i="76"/>
  <c r="F21" i="56"/>
  <c r="D83" i="80"/>
  <c r="G83" i="80" s="1"/>
  <c r="D68" i="80" s="1"/>
  <c r="F60" i="56"/>
  <c r="E60" i="56"/>
  <c r="C83" i="80"/>
  <c r="F83" i="80" s="1"/>
  <c r="C68" i="80" s="1"/>
  <c r="F76" i="56"/>
  <c r="D112" i="80"/>
  <c r="G112" i="80" s="1"/>
  <c r="F72" i="80" s="1"/>
  <c r="E76" i="56"/>
  <c r="C112" i="80"/>
  <c r="F112" i="80" s="1"/>
  <c r="E72" i="80" s="1"/>
  <c r="D100" i="80"/>
  <c r="D78" i="56"/>
  <c r="J13" i="56"/>
  <c r="H23" i="56"/>
  <c r="C117" i="80"/>
  <c r="C93" i="80"/>
  <c r="J71" i="56"/>
  <c r="I71" i="56"/>
  <c r="C111" i="80"/>
  <c r="F111" i="80" s="1"/>
  <c r="E71" i="80" s="1"/>
  <c r="D99" i="80"/>
  <c r="D111" i="80"/>
  <c r="G111" i="80" s="1"/>
  <c r="F71" i="80" s="1"/>
  <c r="E75" i="56"/>
  <c r="F75" i="56"/>
  <c r="D96" i="80"/>
  <c r="C108" i="80"/>
  <c r="F108" i="80" s="1"/>
  <c r="E68" i="80" s="1"/>
  <c r="D108" i="80"/>
  <c r="G108" i="80" s="1"/>
  <c r="F68" i="80" s="1"/>
  <c r="E72" i="56"/>
  <c r="F72" i="56"/>
  <c r="I88" i="56"/>
  <c r="J88" i="56"/>
  <c r="H78" i="56"/>
  <c r="J68" i="56"/>
  <c r="I68" i="56"/>
  <c r="H66" i="56"/>
  <c r="I56" i="56"/>
  <c r="K56" i="56" s="1"/>
  <c r="J56" i="56"/>
  <c r="E69" i="56"/>
  <c r="D93" i="80"/>
  <c r="D105" i="80"/>
  <c r="G105" i="80" s="1"/>
  <c r="F65" i="80" s="1"/>
  <c r="F69" i="56"/>
  <c r="C105" i="80"/>
  <c r="F105" i="80" s="1"/>
  <c r="E65" i="80" s="1"/>
  <c r="J59" i="56"/>
  <c r="I59" i="56"/>
  <c r="F63" i="56"/>
  <c r="E63" i="56"/>
  <c r="D86" i="80"/>
  <c r="G86" i="80" s="1"/>
  <c r="D71" i="80" s="1"/>
  <c r="C86" i="80"/>
  <c r="F86" i="80" s="1"/>
  <c r="C71" i="80" s="1"/>
  <c r="F84" i="56"/>
  <c r="E84" i="56"/>
  <c r="J64" i="56"/>
  <c r="I64" i="56"/>
  <c r="J63" i="56"/>
  <c r="I63" i="56"/>
  <c r="J19" i="56"/>
  <c r="I80" i="56"/>
  <c r="J80" i="56"/>
  <c r="H90" i="56"/>
  <c r="F81" i="56"/>
  <c r="E81" i="56"/>
  <c r="J16" i="56"/>
  <c r="C123" i="80"/>
  <c r="C99" i="80"/>
  <c r="C120" i="80"/>
  <c r="C96" i="80"/>
  <c r="J76" i="56"/>
  <c r="I76" i="56"/>
  <c r="J74" i="56"/>
  <c r="I74" i="56"/>
  <c r="G80" i="56"/>
  <c r="F57" i="56"/>
  <c r="D80" i="80"/>
  <c r="G80" i="80" s="1"/>
  <c r="D65" i="80" s="1"/>
  <c r="E57" i="56"/>
  <c r="C80" i="80"/>
  <c r="F80" i="80" s="1"/>
  <c r="C65" i="80" s="1"/>
  <c r="J83" i="56"/>
  <c r="I83" i="56"/>
  <c r="F87" i="56"/>
  <c r="E87" i="56"/>
  <c r="E62" i="56"/>
  <c r="F62" i="56"/>
  <c r="D85" i="80"/>
  <c r="G85" i="80" s="1"/>
  <c r="D70" i="80" s="1"/>
  <c r="C85" i="80"/>
  <c r="F85" i="80" s="1"/>
  <c r="C70" i="80" s="1"/>
  <c r="J21" i="56"/>
  <c r="J62" i="56"/>
  <c r="I62" i="56"/>
  <c r="F14" i="56"/>
  <c r="C125" i="80"/>
  <c r="C101" i="80"/>
  <c r="F20" i="56"/>
  <c r="D98" i="80"/>
  <c r="D110" i="80"/>
  <c r="G110" i="80" s="1"/>
  <c r="F70" i="80" s="1"/>
  <c r="C110" i="80"/>
  <c r="F110" i="80" s="1"/>
  <c r="E70" i="80" s="1"/>
  <c r="E74" i="56"/>
  <c r="F74" i="56"/>
  <c r="J86" i="56"/>
  <c r="I86" i="56"/>
  <c r="D90" i="56"/>
  <c r="C137" i="80"/>
  <c r="C149" i="80"/>
  <c r="E92" i="80"/>
  <c r="D116" i="80" s="1"/>
  <c r="E116" i="80" s="1"/>
  <c r="C113" i="80"/>
  <c r="F113" i="80" s="1"/>
  <c r="E73" i="80" s="1"/>
  <c r="E77" i="56"/>
  <c r="D113" i="80"/>
  <c r="G113" i="80" s="1"/>
  <c r="F73" i="80" s="1"/>
  <c r="F77" i="56"/>
  <c r="D101" i="80"/>
  <c r="D95" i="80"/>
  <c r="C107" i="80"/>
  <c r="D107" i="80"/>
  <c r="F71" i="56"/>
  <c r="E71" i="56"/>
  <c r="C122" i="80"/>
  <c r="C98" i="80"/>
  <c r="E23" i="56"/>
  <c r="E17" i="56" s="1"/>
  <c r="D22" i="76"/>
  <c r="D45" i="76" s="1"/>
  <c r="I57" i="56"/>
  <c r="J57" i="56"/>
  <c r="F22" i="56"/>
  <c r="C119" i="80"/>
  <c r="C95" i="80"/>
  <c r="F19" i="56"/>
  <c r="J69" i="56"/>
  <c r="I69" i="56"/>
  <c r="E73" i="56"/>
  <c r="F73" i="56"/>
  <c r="D97" i="80"/>
  <c r="D109" i="80"/>
  <c r="G109" i="80" s="1"/>
  <c r="F69" i="80" s="1"/>
  <c r="C109" i="80"/>
  <c r="F109" i="80" s="1"/>
  <c r="E69" i="80" s="1"/>
  <c r="C31" i="80"/>
  <c r="F65" i="56"/>
  <c r="E65" i="56"/>
  <c r="D88" i="80"/>
  <c r="G88" i="80" s="1"/>
  <c r="D73" i="80" s="1"/>
  <c r="C88" i="80"/>
  <c r="F88" i="80" s="1"/>
  <c r="C73" i="80" s="1"/>
  <c r="F59" i="56"/>
  <c r="E59" i="56"/>
  <c r="D82" i="80"/>
  <c r="C82" i="80"/>
  <c r="F86" i="56"/>
  <c r="E86" i="56"/>
  <c r="G56" i="56"/>
  <c r="J81" i="56"/>
  <c r="I81" i="56"/>
  <c r="F18" i="56"/>
  <c r="J18" i="56"/>
  <c r="F89" i="56"/>
  <c r="E89" i="56"/>
  <c r="F83" i="56"/>
  <c r="E83" i="56"/>
  <c r="F58" i="56"/>
  <c r="E58" i="56"/>
  <c r="D81" i="80"/>
  <c r="G81" i="80" s="1"/>
  <c r="D66" i="80" s="1"/>
  <c r="C81" i="80"/>
  <c r="F81" i="80" s="1"/>
  <c r="C66" i="80" s="1"/>
  <c r="D66" i="56"/>
  <c r="J14" i="56"/>
  <c r="C121" i="80"/>
  <c r="C97" i="80"/>
  <c r="J73" i="56"/>
  <c r="I73" i="56"/>
  <c r="F16" i="56"/>
  <c r="F82" i="56"/>
  <c r="E82" i="56"/>
  <c r="I65" i="56"/>
  <c r="J65" i="56"/>
  <c r="G22" i="76"/>
  <c r="G45" i="76" s="1"/>
  <c r="I23" i="56"/>
  <c r="I48" i="56" s="1"/>
  <c r="I58" i="56"/>
  <c r="J58" i="56"/>
  <c r="E61" i="56"/>
  <c r="F61" i="56"/>
  <c r="D84" i="80"/>
  <c r="G84" i="80" s="1"/>
  <c r="D69" i="80" s="1"/>
  <c r="C84" i="80"/>
  <c r="F84" i="80" s="1"/>
  <c r="C69" i="80" s="1"/>
  <c r="I61" i="56"/>
  <c r="J61" i="56"/>
  <c r="J60" i="56"/>
  <c r="I60" i="56"/>
  <c r="F15" i="56"/>
  <c r="I89" i="56"/>
  <c r="J89" i="56"/>
  <c r="J70" i="56"/>
  <c r="I70" i="56"/>
  <c r="F85" i="56"/>
  <c r="E85" i="56"/>
  <c r="I85" i="56"/>
  <c r="J85" i="56"/>
  <c r="E64" i="56"/>
  <c r="F64" i="56"/>
  <c r="D87" i="80"/>
  <c r="G87" i="80" s="1"/>
  <c r="D72" i="80" s="1"/>
  <c r="C87" i="80"/>
  <c r="F87" i="80" s="1"/>
  <c r="C72" i="80" s="1"/>
  <c r="J17" i="56"/>
  <c r="F70" i="56"/>
  <c r="C106" i="80"/>
  <c r="F106" i="80" s="1"/>
  <c r="E66" i="80" s="1"/>
  <c r="D106" i="80"/>
  <c r="G106" i="80" s="1"/>
  <c r="F66" i="80" s="1"/>
  <c r="E70" i="56"/>
  <c r="D94" i="80"/>
  <c r="I77" i="56"/>
  <c r="J77" i="56"/>
  <c r="J82" i="56"/>
  <c r="I82" i="56"/>
  <c r="J20" i="56"/>
  <c r="C124" i="80"/>
  <c r="C100" i="80"/>
  <c r="J72" i="56"/>
  <c r="I72" i="56"/>
  <c r="C118" i="80"/>
  <c r="C94" i="80"/>
  <c r="J22" i="56"/>
  <c r="G60" i="56" l="1"/>
  <c r="E18" i="56"/>
  <c r="G18" i="56" s="1"/>
  <c r="D17" i="5" s="1"/>
  <c r="E19" i="56"/>
  <c r="G19" i="56" s="1"/>
  <c r="D18" i="5" s="1"/>
  <c r="E14" i="56"/>
  <c r="G14" i="56" s="1"/>
  <c r="D13" i="5" s="1"/>
  <c r="E16" i="56"/>
  <c r="G16" i="56" s="1"/>
  <c r="D15" i="5" s="1"/>
  <c r="E15" i="56"/>
  <c r="G15" i="56" s="1"/>
  <c r="D14" i="5" s="1"/>
  <c r="I20" i="56"/>
  <c r="K20" i="56" s="1"/>
  <c r="I21" i="56"/>
  <c r="K21" i="56" s="1"/>
  <c r="K64" i="56"/>
  <c r="K75" i="56"/>
  <c r="K62" i="56"/>
  <c r="K87" i="56"/>
  <c r="K63" i="56"/>
  <c r="G87" i="56"/>
  <c r="G76" i="56"/>
  <c r="K85" i="56"/>
  <c r="G61" i="56"/>
  <c r="I17" i="56"/>
  <c r="K17" i="56" s="1"/>
  <c r="G17" i="56"/>
  <c r="D16" i="5" s="1"/>
  <c r="G64" i="56"/>
  <c r="E21" i="56"/>
  <c r="G21" i="56" s="1"/>
  <c r="D20" i="5" s="1"/>
  <c r="K82" i="56"/>
  <c r="K81" i="56"/>
  <c r="G84" i="56"/>
  <c r="K68" i="56"/>
  <c r="K58" i="56"/>
  <c r="G63" i="56"/>
  <c r="K88" i="56"/>
  <c r="I22" i="56"/>
  <c r="K22" i="56" s="1"/>
  <c r="G58" i="56"/>
  <c r="K83" i="56"/>
  <c r="G59" i="56"/>
  <c r="G82" i="56"/>
  <c r="G88" i="56"/>
  <c r="K57" i="56"/>
  <c r="I18" i="56"/>
  <c r="K18" i="56" s="1"/>
  <c r="K61" i="56"/>
  <c r="G73" i="56"/>
  <c r="G69" i="56"/>
  <c r="G74" i="56"/>
  <c r="G70" i="56"/>
  <c r="G81" i="56"/>
  <c r="G89" i="56"/>
  <c r="G62" i="56"/>
  <c r="E99" i="80"/>
  <c r="D123" i="80" s="1"/>
  <c r="E123" i="80" s="1"/>
  <c r="G123" i="80" s="1"/>
  <c r="G71" i="80" s="1"/>
  <c r="E51" i="80" s="1"/>
  <c r="C156" i="80"/>
  <c r="C144" i="80"/>
  <c r="C150" i="80"/>
  <c r="C138" i="80"/>
  <c r="E93" i="80"/>
  <c r="D117" i="80" s="1"/>
  <c r="E117" i="80" s="1"/>
  <c r="G117" i="80" s="1"/>
  <c r="G65" i="80" s="1"/>
  <c r="E40" i="80" s="1"/>
  <c r="D51" i="80"/>
  <c r="D52" i="80"/>
  <c r="C12" i="69"/>
  <c r="F45" i="76"/>
  <c r="C152" i="80"/>
  <c r="E95" i="80"/>
  <c r="D119" i="80" s="1"/>
  <c r="E119" i="80" s="1"/>
  <c r="C140" i="80"/>
  <c r="I16" i="56"/>
  <c r="K16" i="56" s="1"/>
  <c r="I13" i="56"/>
  <c r="K13" i="56" s="1"/>
  <c r="E94" i="80"/>
  <c r="D118" i="80" s="1"/>
  <c r="E118" i="80" s="1"/>
  <c r="G118" i="80" s="1"/>
  <c r="G66" i="80" s="1"/>
  <c r="E42" i="80" s="1"/>
  <c r="C151" i="80"/>
  <c r="C139" i="80"/>
  <c r="K72" i="56"/>
  <c r="G83" i="56"/>
  <c r="E20" i="56"/>
  <c r="G20" i="56" s="1"/>
  <c r="D19" i="5" s="1"/>
  <c r="K60" i="56"/>
  <c r="D56" i="80"/>
  <c r="D55" i="80"/>
  <c r="E22" i="56"/>
  <c r="G22" i="56" s="1"/>
  <c r="D21" i="5" s="1"/>
  <c r="G77" i="56"/>
  <c r="E101" i="80"/>
  <c r="D125" i="80" s="1"/>
  <c r="E125" i="80" s="1"/>
  <c r="G125" i="80" s="1"/>
  <c r="G73" i="80" s="1"/>
  <c r="E56" i="80" s="1"/>
  <c r="C146" i="80"/>
  <c r="C158" i="80"/>
  <c r="D40" i="80"/>
  <c r="D39" i="80"/>
  <c r="K59" i="56"/>
  <c r="G72" i="56"/>
  <c r="D41" i="80"/>
  <c r="D42" i="80"/>
  <c r="K89" i="56"/>
  <c r="C145" i="80"/>
  <c r="C157" i="80"/>
  <c r="E100" i="80"/>
  <c r="D124" i="80" s="1"/>
  <c r="E124" i="80" s="1"/>
  <c r="G124" i="80" s="1"/>
  <c r="G72" i="80" s="1"/>
  <c r="E53" i="80" s="1"/>
  <c r="D53" i="80"/>
  <c r="D54" i="80"/>
  <c r="G65" i="56"/>
  <c r="G57" i="56"/>
  <c r="F149" i="80"/>
  <c r="G149" i="80"/>
  <c r="K84" i="56"/>
  <c r="D48" i="80"/>
  <c r="D47" i="80"/>
  <c r="K73" i="56"/>
  <c r="F137" i="80"/>
  <c r="G137" i="80"/>
  <c r="K80" i="56"/>
  <c r="E48" i="56"/>
  <c r="E13" i="56"/>
  <c r="G13" i="56" s="1"/>
  <c r="I19" i="56"/>
  <c r="K19" i="56" s="1"/>
  <c r="C154" i="80"/>
  <c r="E97" i="80"/>
  <c r="D121" i="80" s="1"/>
  <c r="E121" i="80" s="1"/>
  <c r="G121" i="80" s="1"/>
  <c r="G69" i="80" s="1"/>
  <c r="E47" i="80" s="1"/>
  <c r="C142" i="80"/>
  <c r="E98" i="80"/>
  <c r="D122" i="80" s="1"/>
  <c r="E122" i="80" s="1"/>
  <c r="G122" i="80" s="1"/>
  <c r="G70" i="80" s="1"/>
  <c r="E50" i="80" s="1"/>
  <c r="C143" i="80"/>
  <c r="C155" i="80"/>
  <c r="K86" i="56"/>
  <c r="K74" i="56"/>
  <c r="G75" i="56"/>
  <c r="K65" i="56"/>
  <c r="D46" i="80"/>
  <c r="D45" i="80"/>
  <c r="G85" i="56"/>
  <c r="I14" i="56"/>
  <c r="K14" i="56" s="1"/>
  <c r="G71" i="56"/>
  <c r="K76" i="56"/>
  <c r="F12" i="5"/>
  <c r="D50" i="80"/>
  <c r="D49" i="80"/>
  <c r="I15" i="56"/>
  <c r="K15" i="56" s="1"/>
  <c r="K77" i="56"/>
  <c r="K70" i="56"/>
  <c r="G86" i="56"/>
  <c r="K69" i="56"/>
  <c r="C153" i="80"/>
  <c r="C141" i="80"/>
  <c r="E96" i="80"/>
  <c r="D120" i="80" s="1"/>
  <c r="E120" i="80" s="1"/>
  <c r="G120" i="80" s="1"/>
  <c r="G68" i="80" s="1"/>
  <c r="E46" i="80" s="1"/>
  <c r="K71" i="56"/>
  <c r="C16" i="69" l="1"/>
  <c r="C24" i="69" s="1"/>
  <c r="E52" i="80"/>
  <c r="F14" i="5"/>
  <c r="G14" i="5" s="1"/>
  <c r="F21" i="5"/>
  <c r="G21" i="5" s="1"/>
  <c r="F17" i="5"/>
  <c r="G17" i="5" s="1"/>
  <c r="G66" i="56"/>
  <c r="K66" i="56"/>
  <c r="F19" i="5"/>
  <c r="G19" i="5" s="1"/>
  <c r="F16" i="5"/>
  <c r="G16" i="5" s="1"/>
  <c r="F20" i="5"/>
  <c r="G20" i="5" s="1"/>
  <c r="E39" i="80"/>
  <c r="F18" i="5"/>
  <c r="G18" i="5" s="1"/>
  <c r="E48" i="80"/>
  <c r="K90" i="56"/>
  <c r="K78" i="56"/>
  <c r="E41" i="80"/>
  <c r="F15" i="5"/>
  <c r="G15" i="5" s="1"/>
  <c r="D12" i="5"/>
  <c r="G23" i="56"/>
  <c r="G48" i="56" s="1"/>
  <c r="G158" i="80"/>
  <c r="J158" i="80" s="1"/>
  <c r="K73" i="80" s="1"/>
  <c r="F158" i="80"/>
  <c r="I158" i="80" s="1"/>
  <c r="J73" i="80" s="1"/>
  <c r="E55" i="80"/>
  <c r="F138" i="80"/>
  <c r="I138" i="80" s="1"/>
  <c r="H65" i="80" s="1"/>
  <c r="G138" i="80"/>
  <c r="J138" i="80" s="1"/>
  <c r="I65" i="80" s="1"/>
  <c r="F151" i="80"/>
  <c r="I151" i="80" s="1"/>
  <c r="J66" i="80" s="1"/>
  <c r="G151" i="80"/>
  <c r="J151" i="80" s="1"/>
  <c r="K66" i="80" s="1"/>
  <c r="G144" i="80"/>
  <c r="J144" i="80" s="1"/>
  <c r="I71" i="80" s="1"/>
  <c r="F144" i="80"/>
  <c r="I144" i="80" s="1"/>
  <c r="H71" i="80" s="1"/>
  <c r="G150" i="80"/>
  <c r="J150" i="80" s="1"/>
  <c r="K65" i="80" s="1"/>
  <c r="F150" i="80"/>
  <c r="I150" i="80" s="1"/>
  <c r="J65" i="80" s="1"/>
  <c r="F143" i="80"/>
  <c r="I143" i="80" s="1"/>
  <c r="H70" i="80" s="1"/>
  <c r="G143" i="80"/>
  <c r="J143" i="80" s="1"/>
  <c r="I70" i="80" s="1"/>
  <c r="G155" i="80"/>
  <c r="J155" i="80" s="1"/>
  <c r="K70" i="80" s="1"/>
  <c r="F155" i="80"/>
  <c r="I155" i="80" s="1"/>
  <c r="J70" i="80" s="1"/>
  <c r="G90" i="56"/>
  <c r="G139" i="80"/>
  <c r="J139" i="80" s="1"/>
  <c r="I66" i="80" s="1"/>
  <c r="F139" i="80"/>
  <c r="I139" i="80" s="1"/>
  <c r="H66" i="80" s="1"/>
  <c r="F13" i="5"/>
  <c r="G13" i="5" s="1"/>
  <c r="F145" i="80"/>
  <c r="I145" i="80" s="1"/>
  <c r="H72" i="80" s="1"/>
  <c r="G145" i="80"/>
  <c r="J145" i="80" s="1"/>
  <c r="I72" i="80" s="1"/>
  <c r="E49" i="80"/>
  <c r="K23" i="56"/>
  <c r="K48" i="56" s="1"/>
  <c r="E54" i="80"/>
  <c r="F140" i="80"/>
  <c r="G140" i="80"/>
  <c r="F157" i="80"/>
  <c r="I157" i="80" s="1"/>
  <c r="J72" i="80" s="1"/>
  <c r="G157" i="80"/>
  <c r="J157" i="80" s="1"/>
  <c r="K72" i="80" s="1"/>
  <c r="F154" i="80"/>
  <c r="I154" i="80" s="1"/>
  <c r="J69" i="80" s="1"/>
  <c r="G154" i="80"/>
  <c r="J154" i="80" s="1"/>
  <c r="K69" i="80" s="1"/>
  <c r="G153" i="80"/>
  <c r="J153" i="80" s="1"/>
  <c r="K68" i="80" s="1"/>
  <c r="F153" i="80"/>
  <c r="I153" i="80" s="1"/>
  <c r="J68" i="80" s="1"/>
  <c r="E45" i="80"/>
  <c r="G152" i="80"/>
  <c r="F152" i="80"/>
  <c r="F146" i="80"/>
  <c r="I146" i="80" s="1"/>
  <c r="H73" i="80" s="1"/>
  <c r="G146" i="80"/>
  <c r="J146" i="80" s="1"/>
  <c r="I73" i="80" s="1"/>
  <c r="G156" i="80"/>
  <c r="J156" i="80" s="1"/>
  <c r="K71" i="80" s="1"/>
  <c r="F156" i="80"/>
  <c r="I156" i="80" s="1"/>
  <c r="J71" i="80" s="1"/>
  <c r="F142" i="80"/>
  <c r="I142" i="80" s="1"/>
  <c r="H69" i="80" s="1"/>
  <c r="G142" i="80"/>
  <c r="J142" i="80" s="1"/>
  <c r="I69" i="80" s="1"/>
  <c r="F141" i="80"/>
  <c r="I141" i="80" s="1"/>
  <c r="H68" i="80" s="1"/>
  <c r="G141" i="80"/>
  <c r="J141" i="80" s="1"/>
  <c r="I68" i="80" s="1"/>
  <c r="G78" i="56"/>
  <c r="C27" i="69" l="1"/>
  <c r="K91" i="56"/>
  <c r="F39" i="80"/>
  <c r="G39" i="80" s="1"/>
  <c r="C12" i="84" s="1"/>
  <c r="F40" i="80"/>
  <c r="G40" i="80" s="1"/>
  <c r="D12" i="84" s="1"/>
  <c r="F51" i="80"/>
  <c r="G51" i="80" s="1"/>
  <c r="C18" i="84" s="1"/>
  <c r="F52" i="80"/>
  <c r="G52" i="80" s="1"/>
  <c r="D18" i="84" s="1"/>
  <c r="F55" i="80"/>
  <c r="G55" i="80" s="1"/>
  <c r="C20" i="84" s="1"/>
  <c r="F56" i="80"/>
  <c r="G56" i="80" s="1"/>
  <c r="D20" i="84" s="1"/>
  <c r="G91" i="56"/>
  <c r="F53" i="80"/>
  <c r="G53" i="80" s="1"/>
  <c r="C19" i="84" s="1"/>
  <c r="F54" i="80"/>
  <c r="G54" i="80" s="1"/>
  <c r="D19" i="84" s="1"/>
  <c r="F41" i="80"/>
  <c r="G41" i="80" s="1"/>
  <c r="C13" i="84" s="1"/>
  <c r="F42" i="80"/>
  <c r="G42" i="80" s="1"/>
  <c r="D13" i="84" s="1"/>
  <c r="F49" i="80"/>
  <c r="G49" i="80" s="1"/>
  <c r="C17" i="84" s="1"/>
  <c r="F50" i="80"/>
  <c r="G50" i="80" s="1"/>
  <c r="D17" i="84" s="1"/>
  <c r="F47" i="80"/>
  <c r="G47" i="80" s="1"/>
  <c r="C16" i="84" s="1"/>
  <c r="F48" i="80"/>
  <c r="G48" i="80" s="1"/>
  <c r="D16" i="84" s="1"/>
  <c r="F45" i="80"/>
  <c r="G45" i="80" s="1"/>
  <c r="C15" i="84" s="1"/>
  <c r="F46" i="80"/>
  <c r="G46" i="80" s="1"/>
  <c r="D15" i="84" s="1"/>
  <c r="F22" i="5" a="1"/>
  <c r="F22" i="5" s="1"/>
  <c r="D22" i="5" a="1"/>
  <c r="D22" i="5" s="1"/>
  <c r="G12" i="5"/>
  <c r="G22" i="5" l="1"/>
  <c r="E124" i="6" l="1"/>
  <c r="E125" i="6" s="1"/>
  <c r="D124" i="6" l="1"/>
  <c r="D125" i="6" s="1"/>
  <c r="C20" i="69" l="1"/>
  <c r="C21" i="69" s="1"/>
  <c r="E73" i="66" l="1"/>
  <c r="H283" i="74" l="1"/>
  <c r="I283" i="74"/>
  <c r="I258" i="74"/>
  <c r="H258" i="74"/>
  <c r="H221" i="74"/>
  <c r="I221" i="74"/>
  <c r="I383" i="74"/>
  <c r="H383" i="74"/>
  <c r="I396" i="74"/>
  <c r="H396" i="74"/>
  <c r="H205" i="74"/>
  <c r="I205" i="74"/>
  <c r="H349" i="74"/>
  <c r="I349" i="74"/>
  <c r="H355" i="74"/>
  <c r="I355" i="74"/>
  <c r="H260" i="74"/>
  <c r="I260" i="74"/>
  <c r="I270" i="74"/>
  <c r="H270" i="74"/>
  <c r="I161" i="74"/>
  <c r="H161" i="74"/>
  <c r="I146" i="74"/>
  <c r="H146" i="74"/>
  <c r="I91" i="74"/>
  <c r="H91" i="74"/>
  <c r="I74" i="74"/>
  <c r="H74" i="74"/>
  <c r="I340" i="74"/>
  <c r="H340" i="74"/>
  <c r="H346" i="74"/>
  <c r="I346" i="74"/>
  <c r="I305" i="74"/>
  <c r="H305" i="74"/>
  <c r="H296" i="74"/>
  <c r="I296" i="74"/>
  <c r="I238" i="74"/>
  <c r="H238" i="74"/>
  <c r="H228" i="74"/>
  <c r="I228" i="74"/>
  <c r="I134" i="74"/>
  <c r="H134" i="74"/>
  <c r="H124" i="74"/>
  <c r="I124" i="74"/>
  <c r="I189" i="74"/>
  <c r="H189" i="74"/>
  <c r="I183" i="74"/>
  <c r="H183" i="74"/>
  <c r="H63" i="74"/>
  <c r="I63" i="74"/>
  <c r="H359" i="74"/>
  <c r="I359" i="74"/>
  <c r="H251" i="74"/>
  <c r="I251" i="74"/>
  <c r="H123" i="74"/>
  <c r="I123" i="74"/>
  <c r="H110" i="74"/>
  <c r="I110" i="74"/>
  <c r="H184" i="74"/>
  <c r="I184" i="74"/>
  <c r="H64" i="74"/>
  <c r="I64" i="74"/>
  <c r="I55" i="74"/>
  <c r="H55" i="74"/>
  <c r="I226" i="74"/>
  <c r="H226" i="74"/>
  <c r="H216" i="74"/>
  <c r="I216" i="74"/>
  <c r="H136" i="74"/>
  <c r="I136" i="74"/>
  <c r="H162" i="74"/>
  <c r="I162" i="74"/>
  <c r="I84" i="74"/>
  <c r="H84" i="74"/>
  <c r="H96" i="74"/>
  <c r="I96" i="74"/>
  <c r="H322" i="74"/>
  <c r="I322" i="74"/>
  <c r="H341" i="74"/>
  <c r="I341" i="74"/>
  <c r="H308" i="74"/>
  <c r="I308" i="74"/>
  <c r="I312" i="74"/>
  <c r="H312" i="74"/>
  <c r="I250" i="74"/>
  <c r="H250" i="74"/>
  <c r="H233" i="74"/>
  <c r="I233" i="74"/>
  <c r="I127" i="74"/>
  <c r="H127" i="74"/>
  <c r="I122" i="74"/>
  <c r="H122" i="74"/>
  <c r="H169" i="74"/>
  <c r="I169" i="74"/>
  <c r="I65" i="74"/>
  <c r="H65" i="74"/>
  <c r="I49" i="74"/>
  <c r="H49" i="74"/>
  <c r="H92" i="74"/>
  <c r="I92" i="74"/>
  <c r="H274" i="74"/>
  <c r="I274" i="74"/>
  <c r="H135" i="74"/>
  <c r="I135" i="74"/>
  <c r="H81" i="74"/>
  <c r="I81" i="74"/>
  <c r="H78" i="74"/>
  <c r="I78" i="74"/>
  <c r="I342" i="74"/>
  <c r="H342" i="74"/>
  <c r="I323" i="74"/>
  <c r="H323" i="74"/>
  <c r="H301" i="74"/>
  <c r="I301" i="74"/>
  <c r="I297" i="74"/>
  <c r="H297" i="74"/>
  <c r="I257" i="74"/>
  <c r="H257" i="74"/>
  <c r="H255" i="74"/>
  <c r="I255" i="74"/>
  <c r="I116" i="74"/>
  <c r="H116" i="74"/>
  <c r="I172" i="74"/>
  <c r="H172" i="74"/>
  <c r="H166" i="74"/>
  <c r="I166" i="74"/>
  <c r="I46" i="74"/>
  <c r="H46" i="74"/>
  <c r="H51" i="74"/>
  <c r="I51" i="74"/>
  <c r="I333" i="74"/>
  <c r="H333" i="74"/>
  <c r="H201" i="74"/>
  <c r="I201" i="74"/>
  <c r="I217" i="74"/>
  <c r="H217" i="74"/>
  <c r="I163" i="74"/>
  <c r="H163" i="74"/>
  <c r="H93" i="74"/>
  <c r="I93" i="74"/>
  <c r="H90" i="74"/>
  <c r="I90" i="74"/>
  <c r="H338" i="74"/>
  <c r="I338" i="74"/>
  <c r="H337" i="74"/>
  <c r="I337" i="74"/>
  <c r="I311" i="74"/>
  <c r="H311" i="74"/>
  <c r="H304" i="74"/>
  <c r="I304" i="74"/>
  <c r="I237" i="74"/>
  <c r="H237" i="74"/>
  <c r="I244" i="74"/>
  <c r="H244" i="74"/>
  <c r="H125" i="74"/>
  <c r="I125" i="74"/>
  <c r="I176" i="74"/>
  <c r="H176" i="74"/>
  <c r="H182" i="74"/>
  <c r="I182" i="74"/>
  <c r="I61" i="74"/>
  <c r="H61" i="74"/>
  <c r="I71" i="74"/>
  <c r="H71" i="74"/>
  <c r="H95" i="74"/>
  <c r="I95" i="74"/>
  <c r="H381" i="74"/>
  <c r="I381" i="74"/>
  <c r="H285" i="74"/>
  <c r="I285" i="74"/>
  <c r="I208" i="74"/>
  <c r="H208" i="74"/>
  <c r="H281" i="74"/>
  <c r="I281" i="74"/>
  <c r="I401" i="74"/>
  <c r="H401" i="74"/>
  <c r="H402" i="74"/>
  <c r="I402" i="74"/>
  <c r="H209" i="74"/>
  <c r="I209" i="74"/>
  <c r="I198" i="74"/>
  <c r="H198" i="74"/>
  <c r="H361" i="74"/>
  <c r="I361" i="74"/>
  <c r="I375" i="74"/>
  <c r="H375" i="74"/>
  <c r="H276" i="74"/>
  <c r="I276" i="74"/>
  <c r="H261" i="74"/>
  <c r="I261" i="74"/>
  <c r="I152" i="74"/>
  <c r="H152" i="74"/>
  <c r="I145" i="74"/>
  <c r="H145" i="74"/>
  <c r="H79" i="74"/>
  <c r="I79" i="74"/>
  <c r="I103" i="74"/>
  <c r="H103" i="74"/>
  <c r="I335" i="74"/>
  <c r="H335" i="74"/>
  <c r="I321" i="74"/>
  <c r="H321" i="74"/>
  <c r="I310" i="74"/>
  <c r="H310" i="74"/>
  <c r="H313" i="74"/>
  <c r="I313" i="74"/>
  <c r="I254" i="74"/>
  <c r="H254" i="74"/>
  <c r="I126" i="74"/>
  <c r="H126" i="74"/>
  <c r="H132" i="74"/>
  <c r="I132" i="74"/>
  <c r="I192" i="74"/>
  <c r="H192" i="74"/>
  <c r="H171" i="74"/>
  <c r="I171" i="74"/>
  <c r="I67" i="74"/>
  <c r="H67" i="74"/>
  <c r="I44" i="74"/>
  <c r="H44" i="74"/>
  <c r="I147" i="74"/>
  <c r="H147" i="74"/>
  <c r="H398" i="74"/>
  <c r="I398" i="74"/>
  <c r="I371" i="74"/>
  <c r="H371" i="74"/>
  <c r="H382" i="74"/>
  <c r="I382" i="74"/>
  <c r="I263" i="74"/>
  <c r="H263" i="74"/>
  <c r="I403" i="74"/>
  <c r="H403" i="74"/>
  <c r="I387" i="74"/>
  <c r="H387" i="74"/>
  <c r="I202" i="74"/>
  <c r="H202" i="74"/>
  <c r="H214" i="74"/>
  <c r="I214" i="74"/>
  <c r="H377" i="74"/>
  <c r="I377" i="74"/>
  <c r="H348" i="74"/>
  <c r="I348" i="74"/>
  <c r="I273" i="74"/>
  <c r="H273" i="74"/>
  <c r="I262" i="74"/>
  <c r="H262" i="74"/>
  <c r="H153" i="74"/>
  <c r="I153" i="74"/>
  <c r="H151" i="74"/>
  <c r="I151" i="74"/>
  <c r="I100" i="74"/>
  <c r="H100" i="74"/>
  <c r="H94" i="74"/>
  <c r="I94" i="74"/>
  <c r="H317" i="74"/>
  <c r="I317" i="74"/>
  <c r="I328" i="74"/>
  <c r="H328" i="74"/>
  <c r="H288" i="74"/>
  <c r="I288" i="74"/>
  <c r="H253" i="74"/>
  <c r="I253" i="74"/>
  <c r="I245" i="74"/>
  <c r="H245" i="74"/>
  <c r="I117" i="74"/>
  <c r="H117" i="74"/>
  <c r="H121" i="74"/>
  <c r="I121" i="74"/>
  <c r="H170" i="74"/>
  <c r="I170" i="74"/>
  <c r="I187" i="74"/>
  <c r="H187" i="74"/>
  <c r="C42" i="74"/>
  <c r="C26" i="74" s="1"/>
  <c r="H43" i="74"/>
  <c r="I43" i="74"/>
  <c r="H60" i="74"/>
  <c r="I60" i="74"/>
  <c r="H395" i="74"/>
  <c r="I395" i="74"/>
  <c r="H295" i="74"/>
  <c r="I295" i="74"/>
  <c r="H204" i="74"/>
  <c r="I204" i="74"/>
  <c r="H157" i="74"/>
  <c r="I157" i="74"/>
  <c r="H376" i="74"/>
  <c r="I376" i="74"/>
  <c r="I148" i="74"/>
  <c r="H148" i="74"/>
  <c r="I385" i="74"/>
  <c r="H385" i="74"/>
  <c r="I404" i="74"/>
  <c r="H404" i="74"/>
  <c r="I220" i="74"/>
  <c r="H220" i="74"/>
  <c r="H203" i="74"/>
  <c r="I203" i="74"/>
  <c r="H360" i="74"/>
  <c r="I360" i="74"/>
  <c r="I368" i="74"/>
  <c r="H368" i="74"/>
  <c r="I279" i="74"/>
  <c r="H279" i="74"/>
  <c r="H277" i="74"/>
  <c r="I277" i="74"/>
  <c r="I142" i="74"/>
  <c r="H142" i="74"/>
  <c r="H164" i="74"/>
  <c r="I164" i="74"/>
  <c r="H104" i="74"/>
  <c r="I104" i="74"/>
  <c r="H85" i="74"/>
  <c r="I85" i="74"/>
  <c r="I327" i="74"/>
  <c r="H327" i="74"/>
  <c r="H307" i="74"/>
  <c r="I307" i="74"/>
  <c r="I291" i="74"/>
  <c r="H291" i="74"/>
  <c r="H231" i="74"/>
  <c r="I231" i="74"/>
  <c r="H232" i="74"/>
  <c r="I232" i="74"/>
  <c r="H109" i="74"/>
  <c r="I109" i="74"/>
  <c r="I130" i="74"/>
  <c r="H130" i="74"/>
  <c r="H188" i="74"/>
  <c r="I188" i="74"/>
  <c r="H191" i="74"/>
  <c r="I191" i="74"/>
  <c r="H47" i="74"/>
  <c r="I47" i="74"/>
  <c r="I58" i="74"/>
  <c r="H58" i="74"/>
  <c r="I149" i="74"/>
  <c r="H149" i="74"/>
  <c r="H372" i="74"/>
  <c r="I372" i="74"/>
  <c r="H354" i="74"/>
  <c r="I354" i="74"/>
  <c r="I388" i="74"/>
  <c r="H388" i="74"/>
  <c r="H370" i="74"/>
  <c r="I370" i="74"/>
  <c r="H394" i="74"/>
  <c r="I394" i="74"/>
  <c r="H391" i="74"/>
  <c r="I391" i="74"/>
  <c r="H215" i="74"/>
  <c r="I215" i="74"/>
  <c r="H196" i="74"/>
  <c r="I196" i="74"/>
  <c r="I358" i="74"/>
  <c r="H358" i="74"/>
  <c r="H364" i="74"/>
  <c r="I364" i="74"/>
  <c r="H269" i="74"/>
  <c r="I269" i="74"/>
  <c r="I275" i="74"/>
  <c r="H275" i="74"/>
  <c r="I150" i="74"/>
  <c r="H150" i="74"/>
  <c r="I144" i="74"/>
  <c r="H144" i="74"/>
  <c r="I82" i="74"/>
  <c r="H82" i="74"/>
  <c r="H101" i="74"/>
  <c r="I101" i="74"/>
  <c r="H343" i="74"/>
  <c r="I343" i="74"/>
  <c r="H294" i="74"/>
  <c r="I294" i="74"/>
  <c r="H300" i="74"/>
  <c r="I300" i="74"/>
  <c r="I247" i="74"/>
  <c r="H247" i="74"/>
  <c r="I249" i="74"/>
  <c r="H249" i="74"/>
  <c r="I113" i="74"/>
  <c r="H113" i="74"/>
  <c r="I129" i="74"/>
  <c r="H129" i="74"/>
  <c r="H186" i="74"/>
  <c r="I186" i="74"/>
  <c r="I180" i="74"/>
  <c r="H180" i="74"/>
  <c r="H59" i="74"/>
  <c r="I59" i="74"/>
  <c r="I62" i="74"/>
  <c r="H62" i="74"/>
  <c r="I319" i="74"/>
  <c r="H319" i="74"/>
  <c r="I365" i="74"/>
  <c r="H365" i="74"/>
  <c r="I272" i="74"/>
  <c r="H272" i="74"/>
  <c r="I278" i="74"/>
  <c r="H278" i="74"/>
  <c r="I139" i="74"/>
  <c r="H139" i="74"/>
  <c r="H140" i="74"/>
  <c r="I140" i="74"/>
  <c r="I89" i="74"/>
  <c r="H89" i="74"/>
  <c r="H318" i="74"/>
  <c r="I318" i="74"/>
  <c r="I336" i="74"/>
  <c r="H336" i="74"/>
  <c r="H299" i="74"/>
  <c r="I299" i="74"/>
  <c r="H298" i="74"/>
  <c r="I298" i="74"/>
  <c r="H242" i="74"/>
  <c r="I242" i="74"/>
  <c r="I230" i="74"/>
  <c r="H230" i="74"/>
  <c r="I120" i="74"/>
  <c r="H120" i="74"/>
  <c r="H119" i="74"/>
  <c r="I119" i="74"/>
  <c r="I190" i="74"/>
  <c r="H190" i="74"/>
  <c r="H185" i="74"/>
  <c r="I185" i="74"/>
  <c r="H68" i="74"/>
  <c r="I68" i="74"/>
  <c r="I53" i="74"/>
  <c r="H53" i="74"/>
  <c r="I344" i="74"/>
  <c r="H344" i="74"/>
  <c r="H131" i="74"/>
  <c r="I131" i="74"/>
  <c r="I115" i="74"/>
  <c r="H115" i="74"/>
  <c r="H181" i="74"/>
  <c r="I181" i="74"/>
  <c r="I179" i="74"/>
  <c r="H179" i="74"/>
  <c r="I57" i="74"/>
  <c r="H57" i="74"/>
  <c r="H48" i="74"/>
  <c r="I48" i="74"/>
  <c r="I289" i="74"/>
  <c r="H289" i="74"/>
  <c r="I397" i="74"/>
  <c r="H397" i="74"/>
  <c r="I350" i="74"/>
  <c r="H350" i="74"/>
  <c r="H332" i="74"/>
  <c r="I332" i="74"/>
  <c r="H362" i="74"/>
  <c r="I362" i="74"/>
  <c r="I141" i="74"/>
  <c r="H141" i="74"/>
  <c r="H88" i="74"/>
  <c r="I88" i="74"/>
  <c r="I86" i="74"/>
  <c r="H86" i="74"/>
  <c r="H329" i="74"/>
  <c r="I329" i="74"/>
  <c r="H330" i="74"/>
  <c r="I330" i="74"/>
  <c r="H292" i="74"/>
  <c r="I292" i="74"/>
  <c r="I286" i="74"/>
  <c r="H286" i="74"/>
  <c r="H236" i="74"/>
  <c r="I236" i="74"/>
  <c r="H241" i="74"/>
  <c r="I241" i="74"/>
  <c r="H118" i="74"/>
  <c r="I118" i="74"/>
  <c r="H112" i="74"/>
  <c r="I112" i="74"/>
  <c r="H174" i="74"/>
  <c r="I174" i="74"/>
  <c r="H193" i="74"/>
  <c r="I193" i="74"/>
  <c r="I50" i="74"/>
  <c r="H50" i="74"/>
  <c r="I69" i="74"/>
  <c r="H69" i="74"/>
  <c r="I200" i="74"/>
  <c r="H200" i="74"/>
  <c r="H199" i="74"/>
  <c r="I199" i="74"/>
  <c r="H219" i="74"/>
  <c r="I219" i="74"/>
  <c r="I259" i="74"/>
  <c r="H259" i="74"/>
  <c r="H240" i="74"/>
  <c r="I240" i="74"/>
  <c r="H197" i="74"/>
  <c r="I197" i="74"/>
  <c r="H218" i="74"/>
  <c r="I218" i="74"/>
  <c r="I143" i="74"/>
  <c r="H143" i="74"/>
  <c r="H87" i="74"/>
  <c r="I87" i="74"/>
  <c r="H345" i="74"/>
  <c r="I345" i="74"/>
  <c r="I320" i="74"/>
  <c r="H320" i="74"/>
  <c r="H315" i="74"/>
  <c r="I315" i="74"/>
  <c r="I293" i="74"/>
  <c r="H293" i="74"/>
  <c r="I256" i="74"/>
  <c r="H256" i="74"/>
  <c r="I246" i="74"/>
  <c r="H246" i="74"/>
  <c r="H105" i="74"/>
  <c r="I105" i="74"/>
  <c r="H108" i="74"/>
  <c r="I108" i="74"/>
  <c r="H177" i="74"/>
  <c r="I177" i="74"/>
  <c r="H178" i="74"/>
  <c r="I178" i="74"/>
  <c r="H54" i="74"/>
  <c r="I54" i="74"/>
  <c r="H70" i="74"/>
  <c r="I70" i="74"/>
  <c r="I229" i="74"/>
  <c r="H229" i="74"/>
  <c r="H399" i="74"/>
  <c r="I399" i="74"/>
  <c r="H405" i="74"/>
  <c r="I405" i="74"/>
  <c r="I223" i="74"/>
  <c r="H223" i="74"/>
  <c r="I165" i="74"/>
  <c r="H165" i="74"/>
  <c r="H303" i="74"/>
  <c r="I303" i="74"/>
  <c r="I384" i="74"/>
  <c r="H384" i="74"/>
  <c r="H268" i="74"/>
  <c r="I268" i="74"/>
  <c r="I380" i="74"/>
  <c r="H380" i="74"/>
  <c r="H374" i="74"/>
  <c r="I374" i="74"/>
  <c r="I138" i="74"/>
  <c r="H138" i="74"/>
  <c r="I386" i="74"/>
  <c r="H386" i="74"/>
  <c r="I222" i="74"/>
  <c r="H222" i="74"/>
  <c r="H207" i="74"/>
  <c r="I207" i="74"/>
  <c r="H363" i="74"/>
  <c r="I363" i="74"/>
  <c r="I366" i="74"/>
  <c r="H366" i="74"/>
  <c r="H284" i="74"/>
  <c r="I284" i="74"/>
  <c r="H156" i="74"/>
  <c r="I156" i="74"/>
  <c r="I155" i="74"/>
  <c r="H155" i="74"/>
  <c r="H77" i="74"/>
  <c r="I77" i="74"/>
  <c r="H80" i="74"/>
  <c r="I80" i="74"/>
  <c r="H326" i="74"/>
  <c r="I326" i="74"/>
  <c r="I339" i="74"/>
  <c r="H339" i="74"/>
  <c r="I290" i="74"/>
  <c r="H290" i="74"/>
  <c r="H314" i="74"/>
  <c r="I314" i="74"/>
  <c r="I227" i="74"/>
  <c r="H227" i="74"/>
  <c r="H235" i="74"/>
  <c r="I235" i="74"/>
  <c r="H107" i="74"/>
  <c r="I107" i="74"/>
  <c r="I114" i="74"/>
  <c r="H114" i="74"/>
  <c r="H173" i="74"/>
  <c r="I173" i="74"/>
  <c r="I175" i="74"/>
  <c r="H175" i="74"/>
  <c r="I52" i="74"/>
  <c r="H52" i="74"/>
  <c r="I56" i="74"/>
  <c r="H56" i="74"/>
  <c r="I369" i="74"/>
  <c r="H369" i="74"/>
  <c r="I265" i="74"/>
  <c r="H265" i="74"/>
  <c r="H347" i="74"/>
  <c r="I347" i="74"/>
  <c r="H206" i="74"/>
  <c r="I206" i="74"/>
  <c r="I267" i="74"/>
  <c r="H267" i="74"/>
  <c r="H98" i="74"/>
  <c r="I98" i="74"/>
  <c r="H248" i="74"/>
  <c r="I248" i="74"/>
  <c r="I211" i="74"/>
  <c r="H211" i="74"/>
  <c r="I160" i="74"/>
  <c r="H160" i="74"/>
  <c r="H212" i="74"/>
  <c r="I212" i="74"/>
  <c r="H266" i="74"/>
  <c r="I266" i="74"/>
  <c r="H406" i="74"/>
  <c r="I406" i="74"/>
  <c r="H390" i="74"/>
  <c r="I390" i="74"/>
  <c r="I400" i="74"/>
  <c r="H400" i="74"/>
  <c r="I213" i="74"/>
  <c r="H213" i="74"/>
  <c r="H225" i="74"/>
  <c r="I225" i="74"/>
  <c r="H367" i="74"/>
  <c r="I367" i="74"/>
  <c r="H357" i="74"/>
  <c r="I357" i="74"/>
  <c r="I282" i="74"/>
  <c r="H282" i="74"/>
  <c r="H154" i="74"/>
  <c r="I154" i="74"/>
  <c r="H159" i="74"/>
  <c r="I159" i="74"/>
  <c r="H75" i="74"/>
  <c r="I75" i="74"/>
  <c r="H76" i="74"/>
  <c r="I76" i="74"/>
  <c r="I331" i="74"/>
  <c r="H331" i="74"/>
  <c r="H334" i="74"/>
  <c r="I334" i="74"/>
  <c r="H287" i="74"/>
  <c r="I287" i="74"/>
  <c r="I309" i="74"/>
  <c r="H309" i="74"/>
  <c r="H234" i="74"/>
  <c r="I234" i="74"/>
  <c r="I239" i="74"/>
  <c r="H239" i="74"/>
  <c r="H133" i="74"/>
  <c r="I133" i="74"/>
  <c r="H128" i="74"/>
  <c r="I128" i="74"/>
  <c r="H195" i="74"/>
  <c r="I195" i="74"/>
  <c r="I194" i="74"/>
  <c r="H194" i="74"/>
  <c r="I66" i="74"/>
  <c r="H66" i="74"/>
  <c r="I45" i="74"/>
  <c r="H45" i="74"/>
  <c r="H280" i="74"/>
  <c r="I280" i="74"/>
  <c r="I373" i="74"/>
  <c r="H373" i="74"/>
  <c r="H389" i="74"/>
  <c r="I389" i="74"/>
  <c r="I407" i="74"/>
  <c r="H407" i="74"/>
  <c r="I353" i="74"/>
  <c r="H353" i="74"/>
  <c r="I83" i="74"/>
  <c r="H83" i="74"/>
  <c r="I316" i="74"/>
  <c r="H316" i="74"/>
  <c r="I392" i="74"/>
  <c r="H392" i="74"/>
  <c r="I351" i="74"/>
  <c r="H351" i="74"/>
  <c r="I393" i="74"/>
  <c r="H393" i="74"/>
  <c r="I352" i="74"/>
  <c r="H352" i="74"/>
  <c r="I99" i="74"/>
  <c r="H99" i="74"/>
  <c r="H379" i="74"/>
  <c r="I379" i="74"/>
  <c r="I378" i="74"/>
  <c r="H378" i="74"/>
  <c r="I224" i="74"/>
  <c r="H224" i="74"/>
  <c r="I210" i="74"/>
  <c r="H210" i="74"/>
  <c r="I356" i="74"/>
  <c r="H356" i="74"/>
  <c r="H271" i="74"/>
  <c r="I271" i="74"/>
  <c r="H264" i="74"/>
  <c r="I264" i="74"/>
  <c r="H158" i="74"/>
  <c r="I158" i="74"/>
  <c r="I137" i="74"/>
  <c r="H137" i="74"/>
  <c r="H102" i="74"/>
  <c r="I102" i="74"/>
  <c r="I97" i="74"/>
  <c r="H97" i="74"/>
  <c r="I324" i="74"/>
  <c r="H324" i="74"/>
  <c r="I325" i="74"/>
  <c r="H325" i="74"/>
  <c r="I306" i="74"/>
  <c r="H306" i="74"/>
  <c r="H302" i="74"/>
  <c r="I302" i="74"/>
  <c r="I252" i="74"/>
  <c r="H252" i="74"/>
  <c r="I243" i="74"/>
  <c r="H243" i="74"/>
  <c r="I111" i="74"/>
  <c r="H111" i="74"/>
  <c r="H106" i="74"/>
  <c r="I106" i="74"/>
  <c r="H168" i="74"/>
  <c r="I168" i="74"/>
  <c r="H167" i="74"/>
  <c r="I167" i="74"/>
  <c r="I73" i="74"/>
  <c r="H73" i="74"/>
  <c r="I72" i="74"/>
  <c r="H72" i="74"/>
  <c r="I42" i="74" l="1"/>
  <c r="H42" i="74"/>
  <c r="E104" i="80"/>
  <c r="H149" i="80"/>
  <c r="F116" i="80"/>
  <c r="H137" i="80"/>
  <c r="E79" i="80"/>
  <c r="F79" i="80" l="1"/>
  <c r="C64" i="80" s="1"/>
  <c r="G79" i="80"/>
  <c r="D64" i="80" s="1"/>
  <c r="H152" i="80"/>
  <c r="F119" i="80"/>
  <c r="E82" i="80"/>
  <c r="H140" i="80"/>
  <c r="E107" i="80"/>
  <c r="F104" i="80"/>
  <c r="E64" i="80" s="1"/>
  <c r="G104" i="80"/>
  <c r="F64" i="80" s="1"/>
  <c r="G116" i="80"/>
  <c r="G64" i="80" s="1"/>
  <c r="I149" i="80"/>
  <c r="J64" i="80" s="1"/>
  <c r="J149" i="80"/>
  <c r="K64" i="80" s="1"/>
  <c r="J137" i="80"/>
  <c r="I64" i="80" s="1"/>
  <c r="I137" i="80"/>
  <c r="H64" i="80" s="1"/>
  <c r="E38" i="80" l="1"/>
  <c r="J140" i="80"/>
  <c r="I67" i="80" s="1"/>
  <c r="I140" i="80"/>
  <c r="H67" i="80" s="1"/>
  <c r="G82" i="80"/>
  <c r="D67" i="80" s="1"/>
  <c r="F82" i="80"/>
  <c r="C67" i="80" s="1"/>
  <c r="J152" i="80"/>
  <c r="K67" i="80" s="1"/>
  <c r="I152" i="80"/>
  <c r="J67" i="80" s="1"/>
  <c r="F37" i="80"/>
  <c r="F38" i="80"/>
  <c r="E37" i="80"/>
  <c r="D38" i="80"/>
  <c r="D37" i="80"/>
  <c r="F107" i="80"/>
  <c r="E67" i="80" s="1"/>
  <c r="G107" i="80"/>
  <c r="F67" i="80" s="1"/>
  <c r="G119" i="80"/>
  <c r="G67" i="80" s="1"/>
  <c r="G38" i="80" l="1"/>
  <c r="D11" i="84" s="1"/>
  <c r="E44" i="80"/>
  <c r="G37" i="80"/>
  <c r="C11" i="84" s="1"/>
  <c r="E43" i="80"/>
  <c r="D44" i="80"/>
  <c r="D43" i="80"/>
  <c r="F44" i="80"/>
  <c r="F43" i="80"/>
  <c r="G43" i="80" l="1"/>
  <c r="C14" i="84" s="1"/>
  <c r="G44" i="80"/>
  <c r="D14" i="8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1E30D717-DCE4-43D6-B707-45CEBAD4AAA0}">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0A4CEA0A-15DF-4A31-A264-D2C976A4BD46}">
      <text>
        <r>
          <rPr>
            <sz val="9"/>
            <color indexed="81"/>
            <rFont val="Tahoma"/>
            <family val="2"/>
          </rPr>
          <t>The sum of percentages should not be greater than 100%. If above 100%, the cell will be shaded red. If less than 100%, it will be shaded in light red.</t>
        </r>
      </text>
    </comment>
    <comment ref="C35" authorId="0" shapeId="0" xr:uid="{4844D3BC-30DB-438B-8B1E-CDADE73A87FD}">
      <text>
        <r>
          <rPr>
            <sz val="9"/>
            <color indexed="81"/>
            <rFont val="Tahoma"/>
            <family val="2"/>
          </rPr>
          <t>The sum of percentages should not be greater than 100%. If above 100%, the cell will be shaded red. If less than 100%, it will be shaded in light red.</t>
        </r>
      </text>
    </comment>
    <comment ref="C47" authorId="0" shapeId="0" xr:uid="{FC0F992F-F248-47FB-8585-929B59EFEA42}">
      <text>
        <r>
          <rPr>
            <sz val="9"/>
            <color indexed="81"/>
            <rFont val="Tahoma"/>
            <family val="2"/>
          </rPr>
          <t>The sum of percentages should not be greater than 100%. If above 100%, the cell will be shaded red. If less than 100%, it will be shaded in light red.</t>
        </r>
      </text>
    </comment>
    <comment ref="C66" authorId="0" shapeId="0" xr:uid="{6B79F8E7-5F85-4225-92C5-16D3083A4EEC}">
      <text>
        <r>
          <rPr>
            <sz val="9"/>
            <color indexed="81"/>
            <rFont val="Tahoma"/>
            <family val="2"/>
          </rPr>
          <t>The sum of percentages should not be greater than 100%. If above 100%, the cell will be shaded red. If less than 100%, it will be shaded in light red.</t>
        </r>
      </text>
    </comment>
    <comment ref="C78" authorId="0" shapeId="0" xr:uid="{47572AA5-38DF-475C-BDCF-AE27F5B5CAA4}">
      <text>
        <r>
          <rPr>
            <sz val="9"/>
            <color indexed="81"/>
            <rFont val="Tahoma"/>
            <family val="2"/>
          </rPr>
          <t>The sum of percentages should not be greater than 100%. If above 100%, the cell will be shaded red. If less than 100%, it will be shaded in light red.</t>
        </r>
      </text>
    </comment>
    <comment ref="C90" authorId="0" shapeId="0" xr:uid="{E1B1B4AB-0CFF-40F3-AA6F-48D23D935208}">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CEEF190D-23B7-46AE-9004-BE7DA49CF9D8}">
      <text>
        <r>
          <rPr>
            <sz val="9"/>
            <color indexed="81"/>
            <rFont val="Tahoma"/>
            <family val="2"/>
          </rPr>
          <t>This item only to be used for periods from the implementation of the revised accounting standard on leases AASB16</t>
        </r>
      </text>
    </comment>
    <comment ref="D27" authorId="0" shapeId="0" xr:uid="{E422B42E-6E3C-4733-912C-71ECDCD068A1}">
      <text>
        <r>
          <rPr>
            <sz val="9"/>
            <color indexed="81"/>
            <rFont val="Tahoma"/>
            <family val="2"/>
          </rPr>
          <t>This item only to be used for periods from the implementation of the revised accounting standard on leases AASB16</t>
        </r>
      </text>
    </comment>
    <comment ref="D34" authorId="0" shapeId="0" xr:uid="{9E3EA95E-828A-41B7-BCCF-70B2EC45984F}">
      <text>
        <r>
          <rPr>
            <sz val="9"/>
            <color indexed="81"/>
            <rFont val="Tahoma"/>
            <family val="2"/>
          </rPr>
          <t>This item only to be used for periods from the implementation of the revised accounting standard on leases AASB16</t>
        </r>
      </text>
    </comment>
    <comment ref="D35" authorId="1" shapeId="0" xr:uid="{7C38FB25-9A45-4673-A465-FADE570749BC}">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8AFCE04E-FA11-42CC-A12E-9AF828E7BE3E}">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<sst xmlns="http://schemas.openxmlformats.org/spreadsheetml/2006/main" count="1930" uniqueCount="798">
  <si>
    <t>Category</t>
  </si>
  <si>
    <t>Colour coding of input sheets:</t>
  </si>
  <si>
    <t>Leave coloured cells blank if no information exists - PLEASE DO NOT ENTER TEXT unless specifically requested to do so.</t>
  </si>
  <si>
    <t>Business address</t>
  </si>
  <si>
    <t>Address</t>
  </si>
  <si>
    <t>Suburb</t>
  </si>
  <si>
    <t>State</t>
  </si>
  <si>
    <t>Postcode</t>
  </si>
  <si>
    <t>Postal address</t>
  </si>
  <si>
    <t>Contact name/s</t>
  </si>
  <si>
    <t>Contact phone/s</t>
  </si>
  <si>
    <t>Contact email address/s</t>
  </si>
  <si>
    <t xml:space="preserve"> </t>
  </si>
  <si>
    <t>Description</t>
  </si>
  <si>
    <t>Profit from sale of fixed assets</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</si>
  <si>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</si>
  <si>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</si>
  <si>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</si>
  <si>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</si>
  <si>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</si>
  <si>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</si>
  <si>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</si>
  <si>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</si>
  <si>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</si>
  <si>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</si>
  <si>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</si>
  <si>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</si>
  <si>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</si>
  <si>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Storage services</t>
  </si>
  <si>
    <t>Trading services</t>
  </si>
  <si>
    <t>Other (please specify)</t>
  </si>
  <si>
    <t>Provided to related parties</t>
  </si>
  <si>
    <t>Direct revenue</t>
  </si>
  <si>
    <t>Customer contribution revenue</t>
  </si>
  <si>
    <t>Other direct revenue</t>
  </si>
  <si>
    <t>Insurance</t>
  </si>
  <si>
    <t>Licence and regulatory costs</t>
  </si>
  <si>
    <t>Directly attributable finance charges</t>
  </si>
  <si>
    <t>Indirect revenue allocated</t>
  </si>
  <si>
    <t xml:space="preserve">Shared asset depreciation </t>
  </si>
  <si>
    <t>Loss from sale of shared fixed assets</t>
  </si>
  <si>
    <t>Amounts excluding related party transactions</t>
  </si>
  <si>
    <t>Related party transactions</t>
  </si>
  <si>
    <t>Information technology and communication costs</t>
  </si>
  <si>
    <t>Rental and leasing costs</t>
  </si>
  <si>
    <t>Leasing and rental costs</t>
  </si>
  <si>
    <t>Pipeline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</si>
  <si>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</si>
  <si>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</si>
  <si>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</si>
  <si>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</si>
  <si>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</si>
  <si>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</si>
  <si>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</si>
  <si>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</si>
  <si>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</si>
  <si>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</si>
  <si>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</si>
  <si>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Year</t>
  </si>
  <si>
    <t>Asset description</t>
  </si>
  <si>
    <t>Closing compressors carrying value</t>
  </si>
  <si>
    <t>Closing buildings carrying value</t>
  </si>
  <si>
    <t>Total allocated to pipeline excluding related parties</t>
  </si>
  <si>
    <t>Total related party amounts allocated to pipeline</t>
  </si>
  <si>
    <t>Total assets</t>
  </si>
  <si>
    <t>Pipeline information</t>
  </si>
  <si>
    <t>Revenue</t>
  </si>
  <si>
    <t>Operating expenses</t>
  </si>
  <si>
    <t>Net tax liabilities</t>
  </si>
  <si>
    <t>Shared supporting assets</t>
  </si>
  <si>
    <t xml:space="preserve">Inventories </t>
  </si>
  <si>
    <t>Deferred tax assets</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</si>
  <si>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</si>
  <si>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</si>
  <si>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</si>
  <si>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</si>
  <si>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</si>
  <si>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</si>
  <si>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</si>
  <si>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</si>
  <si>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</si>
  <si>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</si>
  <si>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</si>
  <si>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</si>
  <si>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</si>
  <si>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</si>
  <si>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Asset useful life</t>
  </si>
  <si>
    <t>Total capitalised pipeline construction costs</t>
  </si>
  <si>
    <t>Closing city gates, supply regulators and valve stations carrying value</t>
  </si>
  <si>
    <t>Closing SCADA carrying value</t>
  </si>
  <si>
    <t>Land and easements</t>
  </si>
  <si>
    <t>Closing land and easements carrying value</t>
  </si>
  <si>
    <t>Other non-depreciable pipeline assets</t>
  </si>
  <si>
    <t>Estimated residual value</t>
  </si>
  <si>
    <t>Asset impairment</t>
  </si>
  <si>
    <t>Impairment date</t>
  </si>
  <si>
    <t>Basis for impairment</t>
  </si>
  <si>
    <t>Reporting template</t>
  </si>
  <si>
    <t>Reporting period start date:</t>
  </si>
  <si>
    <t>Reporting period end date:</t>
  </si>
  <si>
    <t>Shared assets</t>
  </si>
  <si>
    <t>Return on capital</t>
  </si>
  <si>
    <t>Total Return of Capital</t>
  </si>
  <si>
    <t>Reversal date</t>
  </si>
  <si>
    <t>Basis for Reversal</t>
  </si>
  <si>
    <t>Description (list each individual shared asset category greater than 5%)</t>
  </si>
  <si>
    <t>Category of shared assets</t>
  </si>
  <si>
    <t>Total amount</t>
  </si>
  <si>
    <t>Description of works</t>
  </si>
  <si>
    <t>Date recognised</t>
  </si>
  <si>
    <t xml:space="preserve">Year ending </t>
  </si>
  <si>
    <t>$ nominal</t>
  </si>
  <si>
    <t>Table 1.1: Pipeline details</t>
  </si>
  <si>
    <t>Table 1.2: Pipeline services provided</t>
  </si>
  <si>
    <t xml:space="preserve">Description </t>
  </si>
  <si>
    <t>(list each individual revenue item)</t>
  </si>
  <si>
    <t>Indirect revenue</t>
  </si>
  <si>
    <t xml:space="preserve"> (list each individual cost)</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</si>
  <si>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</si>
  <si>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</si>
  <si>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</si>
  <si>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</si>
  <si>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</si>
  <si>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</si>
  <si>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</si>
  <si>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</si>
  <si>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Service provider:</t>
  </si>
  <si>
    <t>Pipeline name:</t>
  </si>
  <si>
    <t>Indirect revenue excluding related parties</t>
  </si>
  <si>
    <t>Table 4.2: Pipeline details</t>
  </si>
  <si>
    <t>Reporting period</t>
  </si>
  <si>
    <t>Previous reporting period</t>
  </si>
  <si>
    <t>Other depreciable pipeline assets</t>
  </si>
  <si>
    <t>Closing other depreciable pipeline assets carrying value</t>
  </si>
  <si>
    <t>Stand-alone compression services</t>
  </si>
  <si>
    <t>Date</t>
  </si>
  <si>
    <t>AER amendment#</t>
  </si>
  <si>
    <t>Worksheet</t>
  </si>
  <si>
    <t>Table</t>
  </si>
  <si>
    <t>Amendment record</t>
  </si>
  <si>
    <t>AER advised of errors in the published file - the amendment record allows for errors to be corrected in a transparent manner</t>
  </si>
  <si>
    <t>Change</t>
  </si>
  <si>
    <t>Reason</t>
  </si>
  <si>
    <t>3 Statement of pipeline assets</t>
  </si>
  <si>
    <t>3.3 Depreciation</t>
  </si>
  <si>
    <t>3.3.1</t>
  </si>
  <si>
    <t>List amended</t>
  </si>
  <si>
    <t>The term 'other depreciable assets' has been replaced with ' other depreciable pipeline assets' to match the terms used on worksheet 3.</t>
  </si>
  <si>
    <t>2. Revenue and expenses</t>
  </si>
  <si>
    <t>F13</t>
  </si>
  <si>
    <t>Formula corrected</t>
  </si>
  <si>
    <t>Formula amended to sum both elements of 'Direct revenue' to get 'Total direct revenue'.</t>
  </si>
  <si>
    <t>M7 and N7</t>
  </si>
  <si>
    <t>Heading amended</t>
  </si>
  <si>
    <t>The heading has been amended to make it clear that accumulated depreciation is to be reported for both the current reporting period and the prior period.</t>
  </si>
  <si>
    <t>Prior years' accumulated depreciation</t>
  </si>
  <si>
    <t>I5:K5</t>
  </si>
  <si>
    <t>Guidance note added</t>
  </si>
  <si>
    <t>Column O</t>
  </si>
  <si>
    <t>Formula to aggregate relevant rows (Metering) to determine Closing value for metering assets</t>
  </si>
  <si>
    <t>Formula updated to avoid double counting of prior years' data.</t>
  </si>
  <si>
    <t>New worksheet inserted</t>
  </si>
  <si>
    <t>Formula inserted</t>
  </si>
  <si>
    <t>Formula updated</t>
  </si>
  <si>
    <t>Cell</t>
  </si>
  <si>
    <t>D33:E33</t>
  </si>
  <si>
    <t xml:space="preserve">D9:D52 </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</si>
  <si>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</si>
  <si>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Closing leased asset carrying value</t>
  </si>
  <si>
    <t>rows inserted</t>
  </si>
  <si>
    <t>Rows 63-67 and 74-78</t>
  </si>
  <si>
    <t>New items inserted to record Leased Assets as per AASB16.</t>
  </si>
  <si>
    <t>D68:E68 and D82:E82</t>
  </si>
  <si>
    <t>3.1 Pipeline asset useful life</t>
  </si>
  <si>
    <t>tab renamed 3.3 Depreciation amortisation</t>
  </si>
  <si>
    <t xml:space="preserve">D14, D19, D25, D31, D37, D43, D49, D59 </t>
  </si>
  <si>
    <t>Formulae ammended to include prior year accumulated depreciation plus current year depreciation.  It was only picking up current year depreciation.</t>
  </si>
  <si>
    <t>Formulae corrected</t>
  </si>
  <si>
    <t>Cover</t>
  </si>
  <si>
    <t>To be visible.</t>
  </si>
  <si>
    <t>Formatting - font changed from white to black colour</t>
  </si>
  <si>
    <t>1.1 Financial performance</t>
  </si>
  <si>
    <t>1.1.1</t>
  </si>
  <si>
    <t>C10</t>
  </si>
  <si>
    <t>Formatting - changed from Accounting Comma to Percentage Percent</t>
  </si>
  <si>
    <t>To disclose percentage with appropriate signage</t>
  </si>
  <si>
    <t>D31:F32</t>
  </si>
  <si>
    <t>3.1.1</t>
  </si>
  <si>
    <t>B21:F25 and B32:F37</t>
  </si>
  <si>
    <t>Allow for lease asset information</t>
  </si>
  <si>
    <t>L58:L78</t>
  </si>
  <si>
    <t>Insert column</t>
  </si>
  <si>
    <t>3.3.2</t>
  </si>
  <si>
    <t>To explicitly allow for prior period depreciation</t>
  </si>
  <si>
    <t>Row 59</t>
  </si>
  <si>
    <t>to record additions and improvements capitalised</t>
  </si>
  <si>
    <t>D58</t>
  </si>
  <si>
    <t>Formulae updated to include leased assets</t>
  </si>
  <si>
    <t>to only pick up initial acquisition costs</t>
  </si>
  <si>
    <t>Shared leased assets</t>
  </si>
  <si>
    <t>D60:D67</t>
  </si>
  <si>
    <t>D9:D52</t>
  </si>
  <si>
    <t>List updated</t>
  </si>
  <si>
    <t>added Leased assets to drop list</t>
  </si>
  <si>
    <t>added Shared leased assets to drop list</t>
  </si>
  <si>
    <t>Leased Asset</t>
  </si>
  <si>
    <t>4 Recovered Capital</t>
  </si>
  <si>
    <t>Rows 15, 22, 29</t>
  </si>
  <si>
    <t>New items inserted to record Leased Assets</t>
  </si>
  <si>
    <t>to include Leased Assets in total</t>
  </si>
  <si>
    <t>E15, E22 and E29</t>
  </si>
  <si>
    <t>Formula added</t>
  </si>
  <si>
    <t>to sum columns F to BH for respective items</t>
  </si>
  <si>
    <t>Leased Asset Interest/Financing Charge</t>
  </si>
  <si>
    <t>F16:BH16 and F23:BH23</t>
  </si>
  <si>
    <t>3.3 Depreciation amortisation</t>
  </si>
  <si>
    <t>3.3.1 and 3.3.2</t>
  </si>
  <si>
    <t>Headings updated for clarity</t>
  </si>
  <si>
    <t>B5, B56, K7, G58, J58 and M58</t>
  </si>
  <si>
    <t xml:space="preserve">Total assets </t>
  </si>
  <si>
    <t>All numbers are expressed in $nominal</t>
  </si>
  <si>
    <t>Indirect operating expenses</t>
  </si>
  <si>
    <t>Impairment losses (nature of the impairment loss)</t>
  </si>
  <si>
    <r>
      <t xml:space="preserve">Current year </t>
    </r>
    <r>
      <rPr>
        <b/>
        <sz val="10"/>
        <color indexed="9"/>
        <rFont val="Arial"/>
        <family val="2"/>
      </rPr>
      <t>depreciation</t>
    </r>
  </si>
  <si>
    <t>Shared property, plant and equipment</t>
  </si>
  <si>
    <t>Government contribution revenue</t>
  </si>
  <si>
    <t>Opening asset value</t>
  </si>
  <si>
    <t>Capitalised maintenance or improvements</t>
  </si>
  <si>
    <t>Depreciation</t>
  </si>
  <si>
    <t>Closing pipelines carrying value</t>
  </si>
  <si>
    <t xml:space="preserve">Additions </t>
  </si>
  <si>
    <t>Closing metering carrying value</t>
  </si>
  <si>
    <t>Shared supporting assets allocated</t>
  </si>
  <si>
    <t xml:space="preserve">Total shared supporting assets allocated </t>
  </si>
  <si>
    <t>Closing leased assets carrying value</t>
  </si>
  <si>
    <t>Closing shared property, plant and equipment carrying value</t>
  </si>
  <si>
    <t>Disposals or early termination (at cost)</t>
  </si>
  <si>
    <t>Has any information in this template been amended since last published within this current reporting period?</t>
  </si>
  <si>
    <t>Summary</t>
  </si>
  <si>
    <t>Pipeline assets cost base</t>
  </si>
  <si>
    <t>Shared assets cost base</t>
  </si>
  <si>
    <r>
      <t>Other</t>
    </r>
    <r>
      <rPr>
        <b/>
        <sz val="10"/>
        <color indexed="10"/>
        <rFont val="Arial"/>
        <family val="2"/>
      </rPr>
      <t xml:space="preserve"> </t>
    </r>
    <r>
      <rPr>
        <b/>
        <sz val="10"/>
        <color indexed="51"/>
        <rFont val="Arial"/>
        <family val="2"/>
      </rPr>
      <t>assets</t>
    </r>
  </si>
  <si>
    <t>For information</t>
  </si>
  <si>
    <t>Rate of return (WACC)</t>
  </si>
  <si>
    <t>other service (insert description)</t>
  </si>
  <si>
    <t>Reported information is current as at:</t>
  </si>
  <si>
    <t>Current year depreciation</t>
  </si>
  <si>
    <t>1. Pipeline information</t>
  </si>
  <si>
    <t>B16, B20, B21</t>
  </si>
  <si>
    <t>To make the labelling of pipeline service categories consistent with those listed in Table 2.1.1.</t>
  </si>
  <si>
    <t>2. Revenues and expenses</t>
  </si>
  <si>
    <t>2.1 Revenue by service</t>
  </si>
  <si>
    <t>2.1.1</t>
  </si>
  <si>
    <t>Rows 16 and 17</t>
  </si>
  <si>
    <t>Row 20</t>
  </si>
  <si>
    <t>3. Statement of pipeline assets</t>
  </si>
  <si>
    <t>C8 and C81</t>
  </si>
  <si>
    <t>C82</t>
  </si>
  <si>
    <t>H7 and G58</t>
  </si>
  <si>
    <t>J7 and I58</t>
  </si>
  <si>
    <t>D60:D77</t>
  </si>
  <si>
    <t>3.4 Shared supporting assets</t>
  </si>
  <si>
    <t>3.4.1</t>
  </si>
  <si>
    <t>D9:D40</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</si>
  <si>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</si>
  <si>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</si>
  <si>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To clarify that Table 2.1.1 only captures service revenue, rather than all direct revenue. </t>
  </si>
  <si>
    <t>Rows removed</t>
  </si>
  <si>
    <t>Rows amended and inserted</t>
  </si>
  <si>
    <t xml:space="preserve">Heading amended </t>
  </si>
  <si>
    <t xml:space="preserve">Cover </t>
  </si>
  <si>
    <t>A25:E25</t>
  </si>
  <si>
    <t>Row inserted</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</si>
  <si>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</si>
  <si>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</si>
  <si>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</si>
  <si>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</si>
  <si>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</si>
  <si>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</si>
  <si>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</si>
  <si>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</si>
  <si>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</si>
  <si>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Row 12 to Row 14 /
 C12: C14</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</si>
  <si>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</si>
  <si>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</si>
  <si>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</si>
  <si>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</si>
  <si>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</si>
  <si>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</si>
  <si>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</si>
  <si>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</si>
  <si>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</si>
  <si>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 xml:space="preserve">C10, C21 </t>
  </si>
  <si>
    <t>To split “Park and park and loan services” into two rows: “Park services” and “Park and loan services” , consistent with how service categories are presented in Table 1.2.</t>
  </si>
  <si>
    <t xml:space="preserve">To replace 'Distribution/transmission revenue' with 'Other pipeline services (if relevant)', consistent with how service categories are presented in Table 1.2. </t>
  </si>
  <si>
    <t>I21</t>
  </si>
  <si>
    <t>To correctly calculate the 'total service revenue'.</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</si>
  <si>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</si>
  <si>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</si>
  <si>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</si>
  <si>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</si>
  <si>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</si>
  <si>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</si>
  <si>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</si>
  <si>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</si>
  <si>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</si>
  <si>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</si>
  <si>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</si>
  <si>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</si>
  <si>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</si>
  <si>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Heading inserted</t>
  </si>
  <si>
    <t xml:space="preserve">To improve the clarity of asset categories </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</si>
  <si>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</si>
  <si>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</si>
  <si>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</si>
  <si>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</si>
  <si>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</si>
  <si>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</si>
  <si>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</si>
  <si>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</si>
  <si>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</si>
  <si>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</si>
  <si>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</si>
  <si>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</si>
  <si>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</si>
  <si>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</si>
  <si>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</si>
  <si>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</si>
  <si>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</si>
  <si>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</si>
  <si>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</si>
  <si>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</si>
  <si>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</si>
  <si>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</si>
  <si>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</si>
  <si>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</si>
  <si>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</si>
  <si>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</si>
  <si>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</si>
  <si>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</si>
  <si>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</si>
  <si>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</si>
  <si>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</si>
  <si>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</si>
  <si>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</si>
  <si>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</si>
  <si>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</si>
  <si>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</si>
  <si>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</si>
  <si>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</si>
  <si>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</si>
  <si>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</si>
  <si>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</si>
  <si>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</si>
  <si>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</si>
  <si>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</si>
  <si>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</si>
  <si>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</si>
  <si>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</si>
  <si>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</si>
  <si>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</si>
  <si>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</si>
  <si>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</si>
  <si>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All worksheets</t>
  </si>
  <si>
    <t xml:space="preserve">All data points expressed in dollars terms have been formatted to remove decimal points (except for weighted average prices) and to express negative values in brackets. </t>
  </si>
  <si>
    <t>A7</t>
  </si>
  <si>
    <t xml:space="preserve">2.2 Revenue contributions </t>
  </si>
  <si>
    <t>E9:E14</t>
  </si>
  <si>
    <t>Formula added and formatting changed</t>
  </si>
  <si>
    <t xml:space="preserve">Added sum formula. </t>
  </si>
  <si>
    <t>2.2.1</t>
  </si>
  <si>
    <t>Closing odorant plants carrying value</t>
  </si>
  <si>
    <t>C38, C44</t>
  </si>
  <si>
    <t>Spelling correction - "Odourant" changed to "Odorant"</t>
  </si>
  <si>
    <t>Spelling correction - "insructions" changed to "instructions"</t>
  </si>
  <si>
    <t>D7</t>
  </si>
  <si>
    <t>To correct spelling mistake: "Acqusition" changed to "Acquisition"</t>
  </si>
  <si>
    <t>Construction cost or acquisition cost (where allowed) apportioned</t>
  </si>
  <si>
    <t>D18</t>
  </si>
  <si>
    <t>To correct spelling error - "Acqusition" changed to "Acquisition"</t>
  </si>
  <si>
    <t xml:space="preserve">To record the publication date of the reporting template </t>
  </si>
  <si>
    <t xml:space="preserve">Publication date of this financial report: </t>
  </si>
  <si>
    <t>To provide guidance that MDQ Total TJ shall be reported as the sum of MDQ's over the reporting period in TJs</t>
  </si>
  <si>
    <t>Comment box inserted</t>
  </si>
  <si>
    <t>G10, N10, U10, AA10, AG10, AN10, AT10, AZ10, BF10</t>
  </si>
  <si>
    <t xml:space="preserve">F11 and I11 </t>
  </si>
  <si>
    <t xml:space="preserve">To amend the formula to sum up D11 and E11 ; and G11 and H11 respectively. </t>
  </si>
  <si>
    <t xml:space="preserve">The removed categories have been moved to Table 2.1, as discussed at amendment record number 31. </t>
  </si>
  <si>
    <t>Type of regulated pipeline:</t>
  </si>
  <si>
    <t>Acquisition date (provide a range)</t>
  </si>
  <si>
    <t>Indirect revenue from related parties</t>
  </si>
  <si>
    <t>Description of the matter</t>
  </si>
  <si>
    <t>Proposed expenditure (if available, required for publicly announced expansions)</t>
  </si>
  <si>
    <t>Total proposed expenditure</t>
  </si>
  <si>
    <t>GJ/day</t>
  </si>
  <si>
    <t>Historical demand</t>
  </si>
  <si>
    <t>Publicly available link on Gas Bulletin Board</t>
  </si>
  <si>
    <t>Description of the information</t>
  </si>
  <si>
    <t>For information required to be published on the Gas Bulletin Board, please provide a publicly available link on their website to the relevant part of the Gas Bulletin Board.</t>
  </si>
  <si>
    <t>% Cost adjustment for accelerated depreciation (if applicable)</t>
  </si>
  <si>
    <t>Adjusted cost base</t>
  </si>
  <si>
    <t>Total amounts allocated to pipeline</t>
  </si>
  <si>
    <t>28. Estimated remaining direct asset lives</t>
  </si>
  <si>
    <t>Estimated one-year direct asset depreciation</t>
  </si>
  <si>
    <t>Estimated remaining asset life</t>
  </si>
  <si>
    <t>Revenue and expenses</t>
  </si>
  <si>
    <t>CONTENTS</t>
  </si>
  <si>
    <t>Revenue contributions</t>
  </si>
  <si>
    <t>Depreciation amortisation</t>
  </si>
  <si>
    <t>SUMMARY</t>
  </si>
  <si>
    <t>Price benchmarks</t>
  </si>
  <si>
    <t>2. REVENUE AND EXPENSES</t>
  </si>
  <si>
    <t>1. PIPELINE INFORMATION</t>
  </si>
  <si>
    <t>4.1 Pipelines capex</t>
  </si>
  <si>
    <t>Utilised capacity</t>
  </si>
  <si>
    <t>Available capacity-total</t>
  </si>
  <si>
    <t>Available capacity-firm</t>
  </si>
  <si>
    <t>Available contracted capacity</t>
  </si>
  <si>
    <t>Contracted firm capacity-storage</t>
  </si>
  <si>
    <t>Contracted firm capacity-transportation</t>
  </si>
  <si>
    <t>TJ/day</t>
  </si>
  <si>
    <t>Current reporting period</t>
  </si>
  <si>
    <t>Table 5.1: Historical demand information</t>
  </si>
  <si>
    <t>Table 5.3: Daily demand</t>
  </si>
  <si>
    <t>Total expenditure</t>
  </si>
  <si>
    <t xml:space="preserve">2.3 Revenue contributions </t>
  </si>
  <si>
    <t>2.4 Indirect revenue</t>
  </si>
  <si>
    <t>Fixed operating costs</t>
  </si>
  <si>
    <t>Low</t>
  </si>
  <si>
    <t>High</t>
  </si>
  <si>
    <t>2 Fixed operating costs</t>
  </si>
  <si>
    <t>Return on capital &amp; Tax</t>
  </si>
  <si>
    <t>Average regulatory return on debt</t>
  </si>
  <si>
    <t>Gearing</t>
  </si>
  <si>
    <t>Statutory tax rate</t>
  </si>
  <si>
    <t>Gamma</t>
  </si>
  <si>
    <t>30-31. Depreciation on (total: direct and shared/direct) assets per unit of capacity</t>
  </si>
  <si>
    <t>34. Estimation of taxes</t>
  </si>
  <si>
    <t>Pipeline rate of return</t>
  </si>
  <si>
    <t>Post-tax return on equity</t>
  </si>
  <si>
    <t>Estimated pretax return on equity</t>
  </si>
  <si>
    <t>Tax as a % of equity</t>
  </si>
  <si>
    <t>32. Estimated RCM depreciation per unit of capacity</t>
  </si>
  <si>
    <t>Tax as a % of assets</t>
  </si>
  <si>
    <t>Closing asset value based on Table 4.1</t>
  </si>
  <si>
    <t>Pre-tax rate of return</t>
  </si>
  <si>
    <t>Estimated yearly depreciation</t>
  </si>
  <si>
    <t>Tax estimate</t>
  </si>
  <si>
    <t>Allocation to pipeline service</t>
  </si>
  <si>
    <t>%</t>
  </si>
  <si>
    <t>Capital contributions</t>
  </si>
  <si>
    <t>Total capital contributions</t>
  </si>
  <si>
    <t>Total indirect revenue</t>
  </si>
  <si>
    <t>Total depreciation</t>
  </si>
  <si>
    <t>Total net revenue</t>
  </si>
  <si>
    <t>Average regulatory rate of return</t>
  </si>
  <si>
    <t>Commission date (provide a range)</t>
  </si>
  <si>
    <t>Direct revenue (excl. capital contributions)</t>
  </si>
  <si>
    <t>Total direct revenue (excl. capital contributions)</t>
  </si>
  <si>
    <t>Expenses</t>
  </si>
  <si>
    <t>Total Expenses</t>
  </si>
  <si>
    <t>Direct expenses</t>
  </si>
  <si>
    <t>Other direct expenses</t>
  </si>
  <si>
    <t>Shared expenses</t>
  </si>
  <si>
    <t>Employee expenses</t>
  </si>
  <si>
    <t>Total expenses</t>
  </si>
  <si>
    <t>Other shared expenses</t>
  </si>
  <si>
    <t>Direct expenses (excl. depreciation)</t>
  </si>
  <si>
    <t>Total direct expenses (excl. depreciation)</t>
  </si>
  <si>
    <t>Shared expenses allocated (excl. depreciation)</t>
  </si>
  <si>
    <t>Total shared expenses (excl. depreciation)</t>
  </si>
  <si>
    <t>Shared expenses excluding related parties</t>
  </si>
  <si>
    <t>Shared expenses paid to related parties</t>
  </si>
  <si>
    <t>Other indirect revenue</t>
  </si>
  <si>
    <t>Table 2.2.1:  Revenue by service</t>
  </si>
  <si>
    <t>Table 2.2.2:  Expenses by service</t>
  </si>
  <si>
    <t>Table 2.3.1: Customer contributions received</t>
  </si>
  <si>
    <t>Table 2.3.2: Government contributions received</t>
  </si>
  <si>
    <t>Table 2.4.1: Indirect revenue allocation</t>
  </si>
  <si>
    <t>Table 2.5.1: Shared expense allocation</t>
  </si>
  <si>
    <t>Shared expenses allocated</t>
  </si>
  <si>
    <t>Total costs less depreciation in Table 2.1.1</t>
  </si>
  <si>
    <t>Direct costs less depreciation in Table 2.1.1</t>
  </si>
  <si>
    <t>Service provider inputs</t>
  </si>
  <si>
    <t>AER inputs</t>
  </si>
  <si>
    <t>29. Three estimates of opex per unit of capacity</t>
  </si>
  <si>
    <t>Total asset depreciation in Table 2.1.1</t>
  </si>
  <si>
    <t>Direct asset depreciation in Table 2.1.1</t>
  </si>
  <si>
    <t>2.5 Shared expenses</t>
  </si>
  <si>
    <t>5. HISTORICAL DEMAND</t>
  </si>
  <si>
    <t>35. Based on the inferred rates of return under Depreciated book value method</t>
  </si>
  <si>
    <t>6.1 Inputs</t>
  </si>
  <si>
    <t>6.3 Elements calculated</t>
  </si>
  <si>
    <t>6.4 Calculation process</t>
  </si>
  <si>
    <t>Table 2.1:  Statement of pipeline revenue and expenses by service</t>
  </si>
  <si>
    <t>Grey = Not applicable/No inputs required</t>
  </si>
  <si>
    <t>Pipeline length (kilometres)</t>
  </si>
  <si>
    <t>Direct revenue by pipeline</t>
  </si>
  <si>
    <t>Total direct revenue by pipeline</t>
  </si>
  <si>
    <t>Total indirect revenue by pipeline</t>
  </si>
  <si>
    <t>Total revenue by pipeline</t>
  </si>
  <si>
    <t>Total direct expenses by pipeline</t>
  </si>
  <si>
    <t>Indirect revenue allocated to pipeline</t>
  </si>
  <si>
    <t>Direct expenses by pipeline</t>
  </si>
  <si>
    <t>Shared expenses by pipeline</t>
  </si>
  <si>
    <t>Total shared expenses allocated to pipeline</t>
  </si>
  <si>
    <t>Total expenses by pipeline</t>
  </si>
  <si>
    <t>Please ensure allocation methodologies are explained in sufficient detail in the Basis of Preparation as required under the Guideline.</t>
  </si>
  <si>
    <t>Pricing template</t>
  </si>
  <si>
    <t>Part 10 Financial Reporting Template</t>
  </si>
  <si>
    <t>Part 10 Financial Reporting</t>
  </si>
  <si>
    <t>Asset value - Recovered Capital Method (RCM)</t>
  </si>
  <si>
    <t>6. PRICING TEMPLATE</t>
  </si>
  <si>
    <t>Pipeline capital expenditure</t>
  </si>
  <si>
    <t>All dollar amounts are to be unrounded, and in nominal terms.</t>
  </si>
  <si>
    <t>Basis of Preparation ID</t>
  </si>
  <si>
    <t>Basis of preparation ID</t>
  </si>
  <si>
    <t>Recovered capital method  (Table 4.1)</t>
  </si>
  <si>
    <t>Return on assets</t>
  </si>
  <si>
    <t>Other</t>
  </si>
  <si>
    <t>2.1 Profit &amp; Loss by component</t>
  </si>
  <si>
    <t>3 Return on capital &amp; Tax</t>
  </si>
  <si>
    <t>3 Return of capital</t>
  </si>
  <si>
    <t>6.2 Pricing benchmarks</t>
  </si>
  <si>
    <t>Table 2.1.1:  Statement of pipeline revenue and expenses by component</t>
  </si>
  <si>
    <t>Measurement unit</t>
  </si>
  <si>
    <t>Fixed operating costs per unit</t>
  </si>
  <si>
    <t>Return of capital per unit</t>
  </si>
  <si>
    <t>Return on capital &amp; Tax per unit</t>
  </si>
  <si>
    <t>Total cost per unit</t>
  </si>
  <si>
    <t>$/GJ/day of Pipeline MDQ</t>
  </si>
  <si>
    <t>$/GJ of MDQ traded</t>
  </si>
  <si>
    <t>$/GJ traded</t>
  </si>
  <si>
    <t>Pricing benchmarks summary</t>
  </si>
  <si>
    <t>Data visualisation</t>
  </si>
  <si>
    <t>Financial summary</t>
  </si>
  <si>
    <t>Revenue &amp; Expense allocation to pipeline services</t>
  </si>
  <si>
    <t>Orange = Input cells</t>
  </si>
  <si>
    <t>Light Blue / Dark Blue = AER instructions / headings</t>
  </si>
  <si>
    <t>Basis of preparation document is to be uploaded alongside this financial template, providing assumptions, methodologies, and other relevant information.</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</si>
  <si>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</si>
  <si>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</si>
  <si>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</si>
  <si>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</si>
  <si>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</si>
  <si>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Return on capital per capacity denominator</t>
  </si>
  <si>
    <t>Tax estimate per capacity denominator</t>
  </si>
  <si>
    <t>Data validation lists</t>
  </si>
  <si>
    <t xml:space="preserve">Pipelines </t>
  </si>
  <si>
    <t xml:space="preserve">Compressors </t>
  </si>
  <si>
    <t xml:space="preserve">City Gates, supply regulators and valve stations </t>
  </si>
  <si>
    <t xml:space="preserve">Metering </t>
  </si>
  <si>
    <t xml:space="preserve">Odorant plants </t>
  </si>
  <si>
    <t xml:space="preserve">SCADA (Communications) </t>
  </si>
  <si>
    <t xml:space="preserve">Buildings </t>
  </si>
  <si>
    <t xml:space="preserve">Leased assets </t>
  </si>
  <si>
    <t>Inventories</t>
  </si>
  <si>
    <t>Other assets</t>
  </si>
  <si>
    <t>Capacity denominator (report period) TJ</t>
  </si>
  <si>
    <t>Table 4.1.1: Capital expenditure greater than 5% of construction cost</t>
  </si>
  <si>
    <t>Table 4.1.2: Historical expansions and extensions</t>
  </si>
  <si>
    <t>Please report all historical expansions/extensions in table 4.1.2, regardless of value.
Please ensure all extensions/expansions in the next 12 months that have advanced to the "Final Investment Decision" stage are comprehensively reported in table 4.1.3.</t>
  </si>
  <si>
    <t>Closing other non-depreciable pipeline assets carrying value</t>
  </si>
  <si>
    <t>Pipeline nameplate capacity</t>
  </si>
  <si>
    <t>Depreciation (excl. impairment)</t>
  </si>
  <si>
    <t>Impairment losses</t>
  </si>
  <si>
    <t>Depreciation (Amortisation) (excl. impairment)</t>
  </si>
  <si>
    <t>Table 4.1.3: Planned expansions and extensions of capacity</t>
  </si>
  <si>
    <t>Facility's proposed nameplate rating, or the estimated likely range during affected period</t>
  </si>
  <si>
    <t>Proposed commissioning date, or a range of dates</t>
  </si>
  <si>
    <t>Expected end date, or a range of dates</t>
  </si>
  <si>
    <t>Firm forward haul transportation service</t>
  </si>
  <si>
    <t>Backhaul services</t>
  </si>
  <si>
    <t>Interruptible or as available transportation service</t>
  </si>
  <si>
    <t>Firm stand-alone compression service</t>
  </si>
  <si>
    <t>Interruptible or as available stand-alone compression service</t>
  </si>
  <si>
    <t>Park services</t>
  </si>
  <si>
    <t>Park and loan services</t>
  </si>
  <si>
    <t>Capacity trading service</t>
  </si>
  <si>
    <t>In pipe trading service</t>
  </si>
  <si>
    <t>Profit &amp; Loss statement by component</t>
  </si>
  <si>
    <t>Table 3.1.1: Pipeline assets (DBVM)</t>
  </si>
  <si>
    <t>Table 3.2.1: Pipeline assets (RAB)</t>
  </si>
  <si>
    <t>Contracted MDQ</t>
  </si>
  <si>
    <t>Table 5.2: Demand by pipeline service</t>
  </si>
  <si>
    <t>Opening Cost Base</t>
  </si>
  <si>
    <t>Current year additions</t>
  </si>
  <si>
    <t>Current year disposals or Early termination</t>
  </si>
  <si>
    <t>Modify cost adjustment column if accelerated depreciation is applicable.</t>
  </si>
  <si>
    <t>$</t>
  </si>
  <si>
    <t>Date RAB estabilished</t>
  </si>
  <si>
    <t xml:space="preserve"> Pipelines </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</si>
  <si>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</si>
  <si>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</si>
  <si>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</si>
  <si>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</si>
  <si>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</si>
  <si>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</si>
  <si>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</si>
  <si>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</si>
  <si>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</si>
  <si>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</si>
  <si>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</si>
  <si>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</si>
  <si>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</si>
  <si>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</si>
  <si>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</si>
  <si>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</si>
  <si>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</si>
  <si>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</si>
  <si>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</si>
  <si>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</si>
  <si>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</si>
  <si>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</si>
  <si>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</si>
  <si>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</si>
  <si>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</si>
  <si>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</si>
  <si>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</si>
  <si>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</si>
  <si>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</si>
  <si>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</si>
  <si>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</si>
  <si>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</si>
  <si>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</si>
  <si>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</si>
  <si>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</si>
  <si>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</si>
  <si>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</si>
  <si>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</si>
  <si>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</si>
  <si>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</si>
  <si>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</si>
  <si>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</si>
  <si>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</si>
  <si>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</si>
  <si>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</si>
  <si>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 xml:space="preserve"> Odorant plants </t>
  </si>
  <si>
    <t>Depreciable direct assets in Table 3.1.1 or 3.2.1</t>
  </si>
  <si>
    <t xml:space="preserve">Depreciated book value method (Table 3.1.1 for Non-scheme pipelines) </t>
  </si>
  <si>
    <t xml:space="preserve">Regulatory Asset Base (Table 3.2.1 for Scheme pipelines) </t>
  </si>
  <si>
    <t>Table 3.3.1: Asset useful life</t>
  </si>
  <si>
    <t>Table 3.4.1: Assets impaired</t>
  </si>
  <si>
    <t>Table 3.4.2: Asset impairment reversals</t>
  </si>
  <si>
    <t>Table 3.5.1: Pipeline assets at cost</t>
  </si>
  <si>
    <t>Table 3.6.1: Shared supporting asset allocation</t>
  </si>
  <si>
    <t>Table 3.5.2: Shared assets at cost</t>
  </si>
  <si>
    <t>Table 4.1: Pipeline assets (RCM)</t>
  </si>
  <si>
    <t>3.3 Asset useful life</t>
  </si>
  <si>
    <t>3.4 Asset impairment</t>
  </si>
  <si>
    <t>3.5 Depreciation amortisation</t>
  </si>
  <si>
    <t>3.6 Shared supporting assets</t>
  </si>
  <si>
    <t>3.1 ASSET VALUE - DEPRICIATED BOOK VALUE METHOD (DBVM)</t>
  </si>
  <si>
    <t>4. ASSET VALUE - RECOVERED CAPITAL METHOD (RCM)</t>
  </si>
  <si>
    <t>3.2 ASSET VALUE - REGULATORY ASSET BASE (RAB)</t>
  </si>
  <si>
    <t>Asset value - Depreciated Book Value Method (DBVM) (For Non-scheme pipeline only)</t>
  </si>
  <si>
    <t>Asset value - Regulatory Asset Base (RAB) (For Scheme pipeline only)</t>
  </si>
  <si>
    <t>Please ensure allocation methodologies are explained in sufficient detail within the Basis of Preparation as required under the Guideline.</t>
  </si>
  <si>
    <t>Current year capitalised maintenance or improvements</t>
  </si>
  <si>
    <t>Asset allocation to pipeline service</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</si>
  <si>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</si>
  <si>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Backhaul service</t>
  </si>
  <si>
    <t>Park service</t>
  </si>
  <si>
    <t>Allocation to pipeline services</t>
  </si>
  <si>
    <t>2.2 Allocation to pipeline services</t>
  </si>
  <si>
    <t xml:space="preserve"> -</t>
  </si>
  <si>
    <t>Residual Value</t>
  </si>
  <si>
    <t>This template is for a non-indexed asset value derived from a regulator-determined initial regulatory asset base and capital expenditure with straight-line depreciation, for scheme pipelines.</t>
  </si>
  <si>
    <t>All numbers are expressed in $nominal.</t>
  </si>
  <si>
    <t xml:space="preserve"> Shared supporting assets (RAB)</t>
  </si>
  <si>
    <t>Depreciable direct assets in Table 3.1.1 or 3.2.1 (Including Land and easements)</t>
  </si>
  <si>
    <t>Profit and loss (Table 2.1.1)</t>
  </si>
  <si>
    <t>Value as at current reporting period</t>
  </si>
  <si>
    <t>36. Based on the average regulatory rate of return</t>
  </si>
  <si>
    <t>Based on the inferred rates of return under Depreciated book value method</t>
  </si>
  <si>
    <t>Based on the average regulatory rate of return</t>
  </si>
  <si>
    <t>Earnings before interest and tax (EBIT)</t>
  </si>
  <si>
    <t>Earnings before interest and tax (EBIT) by service</t>
  </si>
  <si>
    <t>This template is for a non-indexed asset value based on original construction costs and “depreciation” based on a notional cash-flow based “return of capital” approach, for non-scheme pipelines.</t>
  </si>
  <si>
    <t>Initial acquisition costs</t>
  </si>
  <si>
    <t>Data validation lists_1</t>
  </si>
  <si>
    <t xml:space="preserve">Initial construction costs </t>
  </si>
  <si>
    <t>Closing Regulatory Asset Base value</t>
  </si>
  <si>
    <t>Table 3.1.2:  Initial costs of pipeline assets (DBVM)</t>
  </si>
  <si>
    <t xml:space="preserve">This template is for a non-indexed asset value based on the Australian Accounting Standards, featuring allowances for acquisition costs and asset impairments, for non-scheme pipelines.
</t>
  </si>
  <si>
    <t>Construction year</t>
  </si>
  <si>
    <t>Acquisition year</t>
  </si>
  <si>
    <t>Year of closing RAB set</t>
  </si>
  <si>
    <t>C16</t>
  </si>
  <si>
    <t>Column C, D, E, F, I, J, K</t>
  </si>
  <si>
    <t>change the format of cell C16 from “date” to “number”</t>
  </si>
  <si>
    <t>this cell currently displays # symbols instead of a number</t>
  </si>
  <si>
    <t>update the formula</t>
  </si>
  <si>
    <t>Table 2.1: Statement of pipeline revenue and expenses by service</t>
  </si>
  <si>
    <t>the restricted cell space precludes the complete display of service provider name</t>
  </si>
  <si>
    <t>D12-D21, F12-F21</t>
  </si>
  <si>
    <t xml:space="preserve">#N/A in the cells cause the sum formula in cells D22/F22 to return an error </t>
  </si>
  <si>
    <t>adjust column width to allow more characters</t>
  </si>
  <si>
    <t>N/A</t>
  </si>
  <si>
    <t>FY25</t>
  </si>
  <si>
    <t>FY24</t>
  </si>
  <si>
    <t>Transmission</t>
  </si>
  <si>
    <t>Shared corporate operating expense</t>
  </si>
  <si>
    <t>Non-scheme pipeline</t>
  </si>
  <si>
    <t>Sydney</t>
  </si>
  <si>
    <t>NSW</t>
  </si>
  <si>
    <t>PO Box R41</t>
  </si>
  <si>
    <t>Royal Exhange</t>
  </si>
  <si>
    <t>Andrew Narin (General Manager Investor Relations)</t>
  </si>
  <si>
    <t>+61 (03) 8416 2887</t>
  </si>
  <si>
    <t>APARegReporting@apa.com.au</t>
  </si>
  <si>
    <t>https://aemo.com.au/energy-systems/gas/gas-bulletin-board-gbb/data-gbb/gas-flows</t>
  </si>
  <si>
    <t>Yes</t>
  </si>
  <si>
    <t>Shared lease asset interest expense</t>
  </si>
  <si>
    <t>Shared lease asset depreciation</t>
  </si>
  <si>
    <t>Information Technology</t>
  </si>
  <si>
    <t>Various</t>
  </si>
  <si>
    <t>FY20</t>
  </si>
  <si>
    <t>FY22</t>
  </si>
  <si>
    <t>FY23</t>
  </si>
  <si>
    <t>EAST AUSTRALIAN PIPELINE PTY LIMITED</t>
  </si>
  <si>
    <t>33 064 629 009</t>
  </si>
  <si>
    <t xml:space="preserve">Indefinite </t>
  </si>
  <si>
    <t>FY07</t>
  </si>
  <si>
    <t>FY08</t>
  </si>
  <si>
    <t>FY09</t>
  </si>
  <si>
    <t>FY11</t>
  </si>
  <si>
    <t>FY13</t>
  </si>
  <si>
    <t>FY15</t>
  </si>
  <si>
    <t>FY17</t>
  </si>
  <si>
    <t>FY18</t>
  </si>
  <si>
    <t>FY19</t>
  </si>
  <si>
    <t>Moomba Marsden Pipeline CP Installation, Pigging, Corrosion Mitigation and Easement Site Evaluation</t>
  </si>
  <si>
    <t>Milne Compressor Station installation as part of the East Coast Expansion and other Stay in Business caoital expenditure</t>
  </si>
  <si>
    <t>Milne and Roundhill Compressor Stations installation as part of the East Coast Expansion, Stress Corrosion Control and other Stay in Business capital expenditure</t>
  </si>
  <si>
    <t>Per leased asset life</t>
  </si>
  <si>
    <t>Buyout Contract - Pipeline Maintenance Agreement with Agility and Stay in Business Capital Expenditure</t>
  </si>
  <si>
    <t>Young Looping and Stay in Business Capital Expenditure</t>
  </si>
  <si>
    <t>Capacity Expansion project and Stay in Business Capital Expenditure</t>
  </si>
  <si>
    <t>Victorian Northern Interconnect Expansion project and Stay in Business Capital Expenditure</t>
  </si>
  <si>
    <t>Young Wagga Compressor overhaul, Young Interchange Upgrade, SCC &amp; CP Programs and Pigging</t>
  </si>
  <si>
    <t>Section 12</t>
  </si>
  <si>
    <t xml:space="preserve">Section 13 </t>
  </si>
  <si>
    <t>Section 15</t>
  </si>
  <si>
    <t>Section 17</t>
  </si>
  <si>
    <t>Section 19</t>
  </si>
  <si>
    <t>Section 21</t>
  </si>
  <si>
    <t>Section 22</t>
  </si>
  <si>
    <t>Section 24</t>
  </si>
  <si>
    <t>Section 25</t>
  </si>
  <si>
    <t>Level 10, 121 Castlereagh Street</t>
  </si>
  <si>
    <t>Section 11</t>
  </si>
  <si>
    <t>Section 16</t>
  </si>
  <si>
    <t>Section 23</t>
  </si>
  <si>
    <t>See section 24 of the Basis of Preparation document.</t>
  </si>
  <si>
    <t>Per Weighted Average Statutory Accounting Useful life</t>
  </si>
  <si>
    <t>Section 21 &amp; Section 22</t>
  </si>
  <si>
    <t>Section 18</t>
  </si>
  <si>
    <t>Customer contribution</t>
  </si>
  <si>
    <t>Compressor Station 4</t>
  </si>
  <si>
    <t>QSN Link works</t>
  </si>
  <si>
    <t>Wallumbilla Compressor Station</t>
  </si>
  <si>
    <t>QSN Link Pipeline</t>
  </si>
  <si>
    <t>Moomba CS - Pipe &amp; Fittings</t>
  </si>
  <si>
    <t>Eastern Haul - Pipe &amp; Fittings</t>
  </si>
  <si>
    <t>Wallumbilla CS3 - Pipe &amp; Fittings</t>
  </si>
  <si>
    <t>APA Grid - Phase 1 &amp; 2  (SWQP Portion)</t>
  </si>
  <si>
    <t>RBP18 - DN250 Redirection</t>
  </si>
  <si>
    <t>DULBYDILLA CREEK (SS6) COMPRESSOR</t>
  </si>
  <si>
    <t>FY19 to FY20</t>
  </si>
  <si>
    <t>Moomba Sydney Pipeline and South West Queensland Pipeline</t>
  </si>
  <si>
    <t>CY09</t>
  </si>
  <si>
    <t>CY12</t>
  </si>
  <si>
    <t>This FY25 Part 10 template is published without an assurance report. Assurance over the "Pipeline Statements" will be provided as part of the FY26 assurance process and will be published within this reporting template on the APA website by 30 November 2026.</t>
  </si>
  <si>
    <t xml:space="preserve">Please refer to the Basis of Preparation Addendum for Consolidating Reporting </t>
  </si>
  <si>
    <t>This FY25 Part 10 template is published without an assurance report. Assurance over the "Pipelines Capex" will be provided as part of the FY26 assurance process and will be published within this reporting template on the APA website by 30 November 2026.</t>
  </si>
  <si>
    <t>This FY25 Part 10 template is published without an assurance report. Assurance over the "Historical Demand" will be provided as part of the FY26 assurance process and will be published within this reporting template on the APA website by 30 November 2026.</t>
  </si>
  <si>
    <t>No</t>
  </si>
  <si>
    <t>Auction Service</t>
  </si>
  <si>
    <t>Redirection Service</t>
  </si>
  <si>
    <t>Nameplate capacity</t>
  </si>
  <si>
    <t>Centrifugal Compressor Installation at Young</t>
  </si>
  <si>
    <t>Culcairn Compressor Station</t>
  </si>
  <si>
    <t>Young Looping</t>
  </si>
  <si>
    <t>Capacity Expansion Project</t>
  </si>
  <si>
    <t>Victorian Northern Interconnect Expansion project</t>
  </si>
  <si>
    <t>Victorian Northern Interconnect Expansion Project</t>
  </si>
  <si>
    <t>Milne Compressor Station Installation as part of the East Coast Expansion</t>
  </si>
  <si>
    <t>Milne and Roundhill Compressor Stations Installation as part of the East Coast Expansion</t>
  </si>
  <si>
    <t>Roundhill Compressor Stations Installation as part of the East Coast Expansion</t>
  </si>
  <si>
    <t>New South Wales
Queensland</t>
  </si>
  <si>
    <t>565 TJ/day Southern-haul capacity
193 TJ/day Northern-haul capacity
487-512 TJ Westernhaul
340 TJ Easternhaul</t>
  </si>
  <si>
    <t>1/6/2000 to 30/6/2025</t>
  </si>
  <si>
    <t>9/10/2012 to 30/6/2025</t>
  </si>
  <si>
    <t>1/10/2001 to 30/6/2025</t>
  </si>
  <si>
    <t>1/7/2010 to 30/6/2025</t>
  </si>
  <si>
    <t>1/3/2003 to 30/6/2025</t>
  </si>
  <si>
    <t>1/7/2019 to 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</si>
</sst>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s>
  <fonts count="77" x14ac:knownFonts="1">
    <font>
      <sz val="10"/>
      <name val="Arial"/>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name val="Arial"/>
      <family val="2"/>
    </font>
    <font>
      <sz val="9"/>
      <name val="Calibri"/>
      <family val="2"/>
    </font>
    <font>
      <sz val="11"/>
      <color theme="1"/>
      <name val="Calibri"/>
      <family val="2"/>
      <scheme val="minor"/>
    </font>
    <font>
      <sz val="10"/>
      <color theme="1"/>
      <name val="Arial"/>
      <family val="2"/>
    </font>
    <font>
      <b/>
      <sz val="16"/>
      <color theme="0"/>
      <name val="Arial"/>
      <family val="2"/>
    </font>
    <font>
      <sz val="10"/>
      <name val="Cambria"/>
      <family val="2"/>
      <scheme val="maj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b/>
      <sz val="10"/>
      <color rgb="FFFFFFFF"/>
      <name val="Arial"/>
      <family val="2"/>
    </font>
    <font>
      <sz val="12"/>
      <color rgb="FFFFFFFF"/>
      <name val="Arial"/>
      <family val="2"/>
    </font>
    <font>
      <b/>
      <sz val="20"/>
      <color rgb="FF17415D"/>
      <name val="Arial"/>
      <family val="2"/>
    </font>
  </fonts>
  <fills count="4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theme="4"/>
      </left>
      <right/>
      <top/>
      <bottom/>
      <diagonal/>
    </border>
    <border>
      <left/>
      <right style="thin">
        <color theme="4"/>
      </right>
      <top/>
      <bottom/>
      <diagonal/>
    </border>
  </borders>
  <cellStyleXfs count="277">
    <xf numFmtId="0" fontId="0" fillId="0" borderId="0"/>
    <xf numFmtId="0" fontId="8" fillId="0" borderId="0"/>
    <xf numFmtId="0" fontId="8"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164" fontId="8" fillId="13" borderId="0" applyNumberFormat="0" applyFont="0" applyBorder="0" applyAlignment="0">
      <alignment horizontal="right"/>
    </xf>
    <xf numFmtId="41" fontId="8" fillId="13" borderId="0" applyNumberFormat="0" applyFont="0" applyBorder="0" applyAlignment="0">
      <alignment horizontal="right"/>
    </xf>
    <xf numFmtId="41" fontId="37"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37"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41" fontId="8" fillId="13" borderId="0" applyNumberFormat="0" applyFont="0" applyBorder="0" applyAlignment="0">
      <alignment horizontal="right"/>
    </xf>
    <xf numFmtId="0" fontId="17" fillId="8" borderId="1" applyNumberFormat="0" applyAlignment="0" applyProtection="0"/>
    <xf numFmtId="0" fontId="17" fillId="9" borderId="1" applyNumberFormat="0" applyAlignment="0" applyProtection="0"/>
    <xf numFmtId="0" fontId="18" fillId="26" borderId="2" applyNumberFormat="0" applyAlignment="0" applyProtection="0"/>
    <xf numFmtId="0" fontId="18" fillId="27" borderId="2" applyNumberFormat="0" applyAlignment="0" applyProtection="0"/>
    <xf numFmtId="43" fontId="3"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51"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55" fillId="32" borderId="0">
      <alignment vertical="center"/>
    </xf>
    <xf numFmtId="49" fontId="55" fillId="33" borderId="0">
      <alignment vertical="center"/>
    </xf>
    <xf numFmtId="0" fontId="19" fillId="0" borderId="0" applyNumberForma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3" fillId="0" borderId="0" applyNumberFormat="0" applyFill="0" applyBorder="0" applyAlignment="0" applyProtection="0">
      <alignment vertical="top"/>
      <protection locked="0"/>
    </xf>
    <xf numFmtId="0" fontId="24" fillId="4" borderId="1" applyNumberFormat="0" applyAlignment="0" applyProtection="0"/>
    <xf numFmtId="0" fontId="24" fillId="5" borderId="1" applyNumberFormat="0" applyAlignment="0" applyProtection="0"/>
    <xf numFmtId="164" fontId="3" fillId="31" borderId="0" applyFont="0" applyBorder="0" applyAlignment="0">
      <alignment horizontal="right"/>
      <protection locked="0"/>
    </xf>
    <xf numFmtId="41" fontId="8" fillId="31" borderId="0" applyFont="0" applyBorder="0" applyAlignment="0">
      <alignment horizontal="right"/>
      <protection locked="0"/>
    </xf>
    <xf numFmtId="41" fontId="37"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37"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8" fillId="31" borderId="0" applyFont="0" applyBorder="0" applyAlignment="0">
      <alignment horizontal="right"/>
      <protection locked="0"/>
    </xf>
    <xf numFmtId="41" fontId="42" fillId="31" borderId="0" applyFont="0" applyBorder="0" applyAlignment="0">
      <alignment horizontal="right"/>
      <protection locked="0"/>
    </xf>
    <xf numFmtId="41" fontId="8" fillId="31" borderId="0" applyFont="0" applyBorder="0" applyAlignment="0">
      <alignment horizontal="right"/>
      <protection locked="0"/>
    </xf>
    <xf numFmtId="165" fontId="8" fillId="30" borderId="0" applyFont="0" applyBorder="0">
      <alignment horizontal="right"/>
      <protection locked="0"/>
    </xf>
    <xf numFmtId="165" fontId="37" fillId="30" borderId="0" applyFont="0" applyBorder="0">
      <alignment horizontal="right"/>
      <protection locked="0"/>
    </xf>
    <xf numFmtId="165" fontId="8" fillId="30" borderId="0" applyFont="0" applyBorder="0">
      <alignment horizontal="right"/>
      <protection locked="0"/>
    </xf>
    <xf numFmtId="164" fontId="8" fillId="7" borderId="0" applyFont="0" applyBorder="0">
      <alignment horizontal="right"/>
      <protection locked="0"/>
    </xf>
    <xf numFmtId="41" fontId="8" fillId="7" borderId="0" applyFont="0" applyBorder="0">
      <alignment horizontal="right"/>
      <protection locked="0"/>
    </xf>
    <xf numFmtId="41" fontId="37"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37"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41" fontId="8" fillId="7" borderId="0" applyFont="0" applyBorder="0">
      <alignment horizontal="right"/>
      <protection locked="0"/>
    </xf>
    <xf numFmtId="0" fontId="25" fillId="0" borderId="6" applyNumberFormat="0" applyFill="0" applyAlignment="0" applyProtection="0"/>
    <xf numFmtId="0" fontId="26" fillId="10" borderId="0" applyNumberFormat="0" applyBorder="0" applyAlignment="0" applyProtection="0"/>
    <xf numFmtId="0" fontId="26" fillId="11" borderId="0" applyNumberFormat="0" applyBorder="0" applyAlignment="0" applyProtection="0"/>
    <xf numFmtId="0" fontId="8" fillId="0" borderId="0"/>
    <xf numFmtId="0" fontId="56" fillId="0" borderId="0"/>
    <xf numFmtId="0" fontId="36" fillId="0" borderId="0"/>
    <xf numFmtId="0" fontId="57" fillId="0" borderId="0"/>
    <xf numFmtId="0" fontId="53" fillId="0" borderId="0"/>
    <xf numFmtId="0" fontId="8" fillId="0" borderId="0"/>
    <xf numFmtId="0" fontId="37" fillId="0" borderId="0"/>
    <xf numFmtId="0" fontId="8" fillId="0" borderId="0"/>
    <xf numFmtId="0" fontId="8" fillId="0" borderId="0"/>
    <xf numFmtId="0" fontId="8" fillId="0" borderId="0"/>
    <xf numFmtId="0" fontId="8" fillId="0" borderId="0" applyNumberFormat="0" applyFill="0" applyBorder="0" applyAlignment="0" applyProtection="0"/>
    <xf numFmtId="0" fontId="53" fillId="0" borderId="0"/>
    <xf numFmtId="0" fontId="57" fillId="0" borderId="0"/>
    <xf numFmtId="0" fontId="53" fillId="0" borderId="0"/>
    <xf numFmtId="0" fontId="3" fillId="9" borderId="0"/>
    <xf numFmtId="0" fontId="3" fillId="9" borderId="0"/>
    <xf numFmtId="0" fontId="3" fillId="9" borderId="0"/>
    <xf numFmtId="0" fontId="3" fillId="0" borderId="0"/>
    <xf numFmtId="0" fontId="3" fillId="9" borderId="0"/>
    <xf numFmtId="0" fontId="8" fillId="9" borderId="0"/>
    <xf numFmtId="0" fontId="3" fillId="9" borderId="0"/>
    <xf numFmtId="0" fontId="3" fillId="9" borderId="0"/>
    <xf numFmtId="0" fontId="37" fillId="9" borderId="0"/>
    <xf numFmtId="0" fontId="3" fillId="9" borderId="0"/>
    <xf numFmtId="0" fontId="42" fillId="9" borderId="0"/>
    <xf numFmtId="0" fontId="8" fillId="6" borderId="7" applyNumberFormat="0" applyFont="0" applyAlignment="0" applyProtection="0"/>
    <xf numFmtId="0" fontId="37" fillId="7" borderId="7" applyNumberFormat="0" applyFont="0" applyAlignment="0" applyProtection="0"/>
    <xf numFmtId="0" fontId="8" fillId="7" borderId="7" applyNumberFormat="0" applyFont="0" applyAlignment="0" applyProtection="0"/>
    <xf numFmtId="0" fontId="27" fillId="8" borderId="8" applyNumberFormat="0" applyAlignment="0" applyProtection="0"/>
    <xf numFmtId="0" fontId="27" fillId="9" borderId="8" applyNumberFormat="0" applyAlignment="0" applyProtection="0"/>
    <xf numFmtId="9" fontId="3" fillId="0" borderId="0" applyFont="0" applyFill="0" applyBorder="0" applyAlignment="0" applyProtection="0"/>
    <xf numFmtId="9" fontId="51"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 fillId="0" borderId="0"/>
    <xf numFmtId="0" fontId="8" fillId="0" borderId="0"/>
    <xf numFmtId="0" fontId="37" fillId="0" borderId="0"/>
    <xf numFmtId="0" fontId="8" fillId="0" borderId="0"/>
    <xf numFmtId="0" fontId="37" fillId="0" borderId="0"/>
    <xf numFmtId="0" fontId="8" fillId="0" borderId="0"/>
    <xf numFmtId="0" fontId="42" fillId="0" borderId="0"/>
    <xf numFmtId="0" fontId="8" fillId="0" borderId="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52" fillId="0" borderId="0"/>
    <xf numFmtId="0" fontId="3" fillId="0" borderId="0"/>
    <xf numFmtId="43" fontId="3" fillId="0" borderId="0" applyFont="0" applyFill="0" applyBorder="0" applyAlignment="0" applyProtection="0"/>
    <xf numFmtId="9" fontId="3" fillId="0" borderId="0" applyFont="0" applyFill="0" applyBorder="0" applyAlignment="0" applyProtection="0"/>
  </cellStyleXfs>
  <cellXfs count="458">
    <xf numFmtId="0" fontId="0" fillId="0" borderId="0" xfId="0"/>
    <xf numFmtId="0" fontId="11" fillId="9" borderId="0" xfId="235" applyFont="1"/>
    <xf numFmtId="0" fontId="12" fillId="9" borderId="0" xfId="235" applyFont="1" applyAlignment="1">
      <alignment vertical="center"/>
    </xf>
    <xf numFmtId="0" fontId="11" fillId="9" borderId="0" xfId="235" applyFont="1" applyAlignment="1">
      <alignment vertical="center"/>
    </xf>
    <xf numFmtId="0" fontId="3" fillId="9" borderId="0" xfId="239"/>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xf numFmtId="14" fontId="8" fillId="0" borderId="0" xfId="0" applyNumberFormat="1" applyFont="1" applyAlignment="1">
      <alignment vertical="center"/>
    </xf>
    <xf numFmtId="43" fontId="0" fillId="0" borderId="0" xfId="0" applyNumberFormat="1"/>
    <xf numFmtId="164" fontId="35" fillId="13" borderId="10" xfId="79" applyNumberFormat="1" applyFont="1" applyFill="1" applyBorder="1" applyAlignment="1"/>
    <xf numFmtId="0" fontId="8" fillId="0" borderId="0" xfId="0" applyFont="1" applyAlignment="1">
      <alignment wrapText="1"/>
    </xf>
    <xf numFmtId="0" fontId="3" fillId="9" borderId="0" xfId="239" applyProtection="1">
      <protection locked="0"/>
    </xf>
    <xf numFmtId="164" fontId="8" fillId="13" borderId="10" xfId="79" applyNumberFormat="1" applyFont="1" applyFill="1" applyBorder="1" applyAlignment="1" applyProtection="1">
      <alignment horizontal="right"/>
    </xf>
    <xf numFmtId="164" fontId="5" fillId="13" borderId="10" xfId="79" applyNumberFormat="1" applyFont="1" applyFill="1" applyBorder="1" applyAlignment="1" applyProtection="1">
      <alignment horizontal="right"/>
    </xf>
    <xf numFmtId="10" fontId="5" fillId="13" borderId="10" xfId="242" applyNumberFormat="1" applyFont="1" applyFill="1" applyBorder="1" applyAlignment="1">
      <alignment horizontal="right"/>
    </xf>
    <xf numFmtId="168" fontId="8" fillId="35" borderId="10" xfId="242" applyNumberFormat="1" applyFont="1" applyFill="1" applyBorder="1"/>
    <xf numFmtId="164" fontId="8" fillId="35" borderId="10" xfId="79" applyNumberFormat="1" applyFont="1" applyFill="1" applyBorder="1" applyAlignment="1" applyProtection="1">
      <alignment horizontal="right"/>
    </xf>
    <xf numFmtId="167" fontId="10" fillId="28" borderId="0" xfId="0" applyNumberFormat="1" applyFont="1" applyFill="1" applyAlignment="1">
      <alignment horizontal="left" vertical="center" wrapText="1"/>
    </xf>
    <xf numFmtId="169" fontId="5" fillId="13" borderId="10" xfId="244" applyNumberFormat="1" applyFont="1" applyFill="1" applyBorder="1" applyAlignment="1">
      <alignment horizontal="right"/>
    </xf>
    <xf numFmtId="166" fontId="5" fillId="13" borderId="10" xfId="244" applyNumberFormat="1" applyFont="1" applyFill="1" applyBorder="1" applyAlignment="1">
      <alignment horizontal="right"/>
    </xf>
    <xf numFmtId="43" fontId="5" fillId="13" borderId="10" xfId="79" applyFont="1" applyFill="1" applyBorder="1" applyAlignment="1" applyProtection="1">
      <alignment horizontal="right"/>
    </xf>
    <xf numFmtId="49" fontId="10" fillId="36" borderId="10" xfId="239" applyNumberFormat="1" applyFont="1" applyFill="1" applyBorder="1" applyAlignment="1">
      <alignment horizontal="left"/>
    </xf>
    <xf numFmtId="49" fontId="58" fillId="36" borderId="10" xfId="239" applyNumberFormat="1" applyFont="1" applyFill="1" applyBorder="1" applyAlignment="1">
      <alignment horizontal="left"/>
    </xf>
    <xf numFmtId="2" fontId="33" fillId="36" borderId="11" xfId="240" applyNumberFormat="1" applyFont="1" applyFill="1" applyBorder="1" applyAlignment="1">
      <alignment horizontal="left" vertical="center" wrapText="1"/>
    </xf>
    <xf numFmtId="167" fontId="10" fillId="36" borderId="10" xfId="239" quotePrefix="1" applyNumberFormat="1" applyFont="1" applyFill="1" applyBorder="1" applyAlignment="1">
      <alignment vertical="center" wrapText="1"/>
    </xf>
    <xf numFmtId="49" fontId="33" fillId="36" borderId="10" xfId="239" applyNumberFormat="1" applyFont="1" applyFill="1" applyBorder="1" applyAlignment="1">
      <alignment horizontal="center" vertical="center" wrapText="1"/>
    </xf>
    <xf numFmtId="167" fontId="39" fillId="36" borderId="10" xfId="239" quotePrefix="1" applyNumberFormat="1" applyFont="1" applyFill="1" applyBorder="1" applyAlignment="1">
      <alignment horizontal="left" vertical="center" wrapText="1"/>
    </xf>
    <xf numFmtId="167" fontId="58" fillId="36" borderId="10" xfId="239" quotePrefix="1" applyNumberFormat="1" applyFont="1" applyFill="1" applyBorder="1" applyAlignment="1">
      <alignment horizontal="left" vertical="center" wrapText="1" indent="1"/>
    </xf>
    <xf numFmtId="167" fontId="59" fillId="36" borderId="10" xfId="239" quotePrefix="1" applyNumberFormat="1" applyFont="1" applyFill="1" applyBorder="1" applyAlignment="1">
      <alignment horizontal="left" vertical="center" wrapText="1"/>
    </xf>
    <xf numFmtId="49" fontId="58" fillId="36" borderId="10" xfId="239" applyNumberFormat="1" applyFont="1" applyFill="1" applyBorder="1" applyAlignment="1">
      <alignment horizontal="left" indent="1"/>
    </xf>
    <xf numFmtId="49" fontId="58" fillId="36" borderId="10" xfId="243" applyNumberFormat="1" applyFont="1" applyFill="1" applyBorder="1" applyAlignment="1">
      <alignment horizontal="left" vertical="center" wrapText="1" indent="1"/>
    </xf>
    <xf numFmtId="167" fontId="33" fillId="36" borderId="10" xfId="239" quotePrefix="1" applyNumberFormat="1" applyFont="1" applyFill="1" applyBorder="1" applyAlignment="1">
      <alignment horizontal="center" vertical="center" wrapText="1"/>
    </xf>
    <xf numFmtId="2" fontId="33" fillId="36" borderId="10" xfId="239" applyNumberFormat="1" applyFont="1" applyFill="1" applyBorder="1" applyAlignment="1">
      <alignment horizontal="center" vertical="center" wrapText="1"/>
    </xf>
    <xf numFmtId="2" fontId="10" fillId="36" borderId="10" xfId="79" applyNumberFormat="1" applyFont="1" applyFill="1" applyBorder="1" applyAlignment="1" applyProtection="1">
      <alignment horizontal="center"/>
    </xf>
    <xf numFmtId="49" fontId="10" fillId="36" borderId="10" xfId="239" applyNumberFormat="1" applyFont="1" applyFill="1" applyBorder="1"/>
    <xf numFmtId="49" fontId="33" fillId="36" borderId="10" xfId="239" applyNumberFormat="1" applyFont="1" applyFill="1" applyBorder="1" applyAlignment="1">
      <alignment horizontal="left"/>
    </xf>
    <xf numFmtId="49" fontId="10" fillId="36" borderId="10" xfId="239" applyNumberFormat="1" applyFont="1" applyFill="1" applyBorder="1" applyAlignment="1">
      <alignment horizontal="left" wrapText="1"/>
    </xf>
    <xf numFmtId="49" fontId="33" fillId="36" borderId="12" xfId="239" applyNumberFormat="1" applyFont="1" applyFill="1" applyBorder="1" applyAlignment="1">
      <alignment horizontal="center" vertical="center" wrapText="1"/>
    </xf>
    <xf numFmtId="49" fontId="33" fillId="36" borderId="13" xfId="239" applyNumberFormat="1" applyFont="1" applyFill="1" applyBorder="1" applyAlignment="1">
      <alignment horizontal="center" vertical="center" wrapText="1"/>
    </xf>
    <xf numFmtId="49" fontId="33" fillId="36" borderId="10" xfId="242" applyNumberFormat="1" applyFont="1" applyFill="1" applyBorder="1" applyAlignment="1">
      <alignment horizontal="center" vertical="center" wrapText="1"/>
    </xf>
    <xf numFmtId="164" fontId="33" fillId="36" borderId="10" xfId="242" applyNumberFormat="1" applyFont="1" applyFill="1" applyBorder="1" applyAlignment="1">
      <alignment horizontal="right" vertical="center" wrapText="1"/>
    </xf>
    <xf numFmtId="49" fontId="33" fillId="36" borderId="10" xfId="242" applyNumberFormat="1" applyFont="1" applyFill="1" applyBorder="1" applyAlignment="1">
      <alignment horizontal="center"/>
    </xf>
    <xf numFmtId="166" fontId="10" fillId="36" borderId="14" xfId="79" applyNumberFormat="1" applyFont="1" applyFill="1" applyBorder="1" applyAlignment="1" applyProtection="1">
      <alignment horizontal="right" vertical="center"/>
    </xf>
    <xf numFmtId="49" fontId="33" fillId="36" borderId="10" xfId="242" applyNumberFormat="1" applyFont="1" applyFill="1" applyBorder="1" applyAlignment="1">
      <alignment horizontal="right" vertical="center" wrapText="1"/>
    </xf>
    <xf numFmtId="49" fontId="33" fillId="36" borderId="14" xfId="242" applyNumberFormat="1" applyFont="1" applyFill="1" applyBorder="1" applyAlignment="1">
      <alignment horizontal="center"/>
    </xf>
    <xf numFmtId="49" fontId="10" fillId="36" borderId="10" xfId="239" applyNumberFormat="1" applyFont="1" applyFill="1" applyBorder="1" applyAlignment="1">
      <alignment wrapText="1"/>
    </xf>
    <xf numFmtId="167" fontId="33" fillId="36" borderId="10" xfId="240" quotePrefix="1" applyNumberFormat="1" applyFont="1" applyFill="1" applyBorder="1" applyAlignment="1">
      <alignment horizontal="center" vertical="center" wrapText="1"/>
    </xf>
    <xf numFmtId="2" fontId="33" fillId="36" borderId="11" xfId="240" applyNumberFormat="1" applyFont="1" applyFill="1" applyBorder="1" applyAlignment="1">
      <alignment horizontal="center" vertical="center" wrapText="1"/>
    </xf>
    <xf numFmtId="2" fontId="60" fillId="36" borderId="11" xfId="240" applyNumberFormat="1" applyFont="1" applyFill="1" applyBorder="1" applyAlignment="1">
      <alignment horizontal="left" vertical="center" wrapText="1"/>
    </xf>
    <xf numFmtId="41" fontId="10" fillId="36" borderId="15" xfId="240" applyNumberFormat="1" applyFont="1" applyFill="1" applyBorder="1" applyAlignment="1">
      <alignment horizontal="left" indent="1"/>
    </xf>
    <xf numFmtId="41" fontId="7" fillId="36" borderId="15" xfId="240" applyNumberFormat="1" applyFont="1" applyFill="1" applyBorder="1"/>
    <xf numFmtId="164" fontId="33" fillId="36" borderId="10" xfId="242" applyNumberFormat="1" applyFont="1" applyFill="1" applyBorder="1" applyAlignment="1">
      <alignment horizontal="center" vertical="center" wrapText="1"/>
    </xf>
    <xf numFmtId="167" fontId="33" fillId="36" borderId="10" xfId="244" applyNumberFormat="1" applyFont="1" applyFill="1" applyBorder="1" applyAlignment="1">
      <alignment horizontal="center" vertical="center" wrapText="1"/>
    </xf>
    <xf numFmtId="49" fontId="33" fillId="36" borderId="10" xfId="244" applyNumberFormat="1" applyFont="1" applyFill="1" applyBorder="1" applyAlignment="1">
      <alignment horizontal="center" vertical="center" wrapText="1"/>
    </xf>
    <xf numFmtId="49" fontId="60" fillId="36" borderId="10" xfId="244" applyNumberFormat="1" applyFont="1" applyFill="1" applyBorder="1" applyAlignment="1">
      <alignment horizontal="center" vertical="center" wrapText="1"/>
    </xf>
    <xf numFmtId="166" fontId="10" fillId="36" borderId="14" xfId="79" applyNumberFormat="1" applyFont="1" applyFill="1" applyBorder="1" applyAlignment="1" applyProtection="1">
      <alignment horizontal="center" vertical="center"/>
    </xf>
    <xf numFmtId="166" fontId="58" fillId="36" borderId="14" xfId="79" applyNumberFormat="1" applyFont="1" applyFill="1" applyBorder="1" applyAlignment="1" applyProtection="1">
      <alignment horizontal="center" vertical="center"/>
    </xf>
    <xf numFmtId="2" fontId="58" fillId="36" borderId="14" xfId="79" applyNumberFormat="1" applyFont="1" applyFill="1" applyBorder="1" applyAlignment="1" applyProtection="1">
      <alignment horizontal="center" vertical="center"/>
    </xf>
    <xf numFmtId="1" fontId="10" fillId="36" borderId="14" xfId="79" applyNumberFormat="1" applyFont="1" applyFill="1" applyBorder="1" applyAlignment="1" applyProtection="1">
      <alignment horizontal="center" vertical="center"/>
    </xf>
    <xf numFmtId="49" fontId="33" fillId="36" borderId="10" xfId="244" applyNumberFormat="1" applyFont="1" applyFill="1" applyBorder="1" applyAlignment="1">
      <alignment horizontal="left" vertical="center" wrapText="1"/>
    </xf>
    <xf numFmtId="167" fontId="10" fillId="36" borderId="10" xfId="0" applyNumberFormat="1" applyFont="1" applyFill="1" applyBorder="1" applyAlignment="1">
      <alignment horizontal="left" vertical="center" wrapText="1"/>
    </xf>
    <xf numFmtId="49" fontId="10" fillId="36" borderId="10" xfId="244" applyNumberFormat="1" applyFont="1" applyFill="1" applyBorder="1" applyAlignment="1">
      <alignment horizontal="left" vertical="center" wrapText="1"/>
    </xf>
    <xf numFmtId="49" fontId="58" fillId="36" borderId="10" xfId="244" applyNumberFormat="1" applyFont="1" applyFill="1" applyBorder="1" applyAlignment="1">
      <alignment horizontal="left" vertical="center" wrapText="1"/>
    </xf>
    <xf numFmtId="166" fontId="61" fillId="36" borderId="10" xfId="244" applyNumberFormat="1" applyFont="1" applyFill="1" applyBorder="1" applyAlignment="1">
      <alignment horizontal="left"/>
    </xf>
    <xf numFmtId="0" fontId="8" fillId="37" borderId="16" xfId="239" applyFont="1" applyFill="1" applyBorder="1" applyAlignment="1" applyProtection="1">
      <alignment horizontal="center"/>
      <protection locked="0"/>
    </xf>
    <xf numFmtId="166" fontId="8" fillId="37" borderId="16" xfId="239" applyNumberFormat="1" applyFont="1" applyFill="1" applyBorder="1" applyAlignment="1" applyProtection="1">
      <alignment horizontal="center"/>
      <protection locked="0"/>
    </xf>
    <xf numFmtId="166" fontId="8" fillId="37" borderId="10" xfId="239" applyNumberFormat="1" applyFont="1" applyFill="1" applyBorder="1" applyAlignment="1" applyProtection="1">
      <alignment horizontal="center"/>
      <protection locked="0"/>
    </xf>
    <xf numFmtId="166" fontId="8" fillId="37" borderId="10" xfId="239" applyNumberFormat="1" applyFont="1" applyFill="1" applyBorder="1" applyAlignment="1" applyProtection="1">
      <alignment horizontal="left" indent="1"/>
      <protection locked="0"/>
    </xf>
    <xf numFmtId="164" fontId="8" fillId="37" borderId="10" xfId="79" applyNumberFormat="1" applyFont="1" applyFill="1" applyBorder="1" applyAlignment="1" applyProtection="1">
      <alignment horizontal="right"/>
      <protection locked="0"/>
    </xf>
    <xf numFmtId="166" fontId="8" fillId="37" borderId="10" xfId="239" applyNumberFormat="1" applyFont="1" applyFill="1" applyBorder="1" applyAlignment="1" applyProtection="1">
      <alignment horizontal="right"/>
      <protection locked="0"/>
    </xf>
    <xf numFmtId="164" fontId="8" fillId="37" borderId="16" xfId="239" applyNumberFormat="1" applyFont="1" applyFill="1" applyBorder="1" applyAlignment="1" applyProtection="1">
      <alignment horizontal="right"/>
      <protection locked="0"/>
    </xf>
    <xf numFmtId="166" fontId="8" fillId="37" borderId="16" xfId="239" applyNumberFormat="1" applyFont="1" applyFill="1" applyBorder="1" applyAlignment="1" applyProtection="1">
      <alignment horizontal="right"/>
      <protection locked="0"/>
    </xf>
    <xf numFmtId="0" fontId="8" fillId="37" borderId="10" xfId="242" applyFont="1" applyFill="1" applyBorder="1" applyProtection="1">
      <protection locked="0"/>
    </xf>
    <xf numFmtId="164" fontId="8" fillId="37" borderId="10" xfId="242" applyNumberFormat="1" applyFont="1" applyFill="1" applyBorder="1" applyAlignment="1" applyProtection="1">
      <alignment horizontal="right"/>
      <protection locked="0"/>
    </xf>
    <xf numFmtId="10" fontId="8" fillId="37" borderId="10" xfId="242" applyNumberFormat="1" applyFont="1" applyFill="1" applyBorder="1" applyAlignment="1" applyProtection="1">
      <alignment horizontal="right"/>
      <protection locked="0"/>
    </xf>
    <xf numFmtId="168" fontId="8" fillId="37" borderId="10" xfId="242" applyNumberFormat="1" applyFont="1" applyFill="1" applyBorder="1" applyProtection="1">
      <protection locked="0"/>
    </xf>
    <xf numFmtId="14" fontId="8" fillId="37" borderId="10" xfId="242" applyNumberFormat="1" applyFont="1" applyFill="1" applyBorder="1" applyAlignment="1" applyProtection="1">
      <alignment horizontal="center"/>
      <protection locked="0"/>
    </xf>
    <xf numFmtId="169" fontId="8" fillId="37" borderId="16" xfId="239" applyNumberFormat="1" applyFont="1" applyFill="1" applyBorder="1" applyAlignment="1" applyProtection="1">
      <alignment horizontal="right"/>
      <protection locked="0"/>
    </xf>
    <xf numFmtId="166" fontId="8" fillId="37" borderId="10" xfId="244" applyNumberFormat="1" applyFont="1" applyFill="1" applyBorder="1" applyAlignment="1" applyProtection="1">
      <alignment horizontal="right"/>
      <protection locked="0"/>
    </xf>
    <xf numFmtId="169" fontId="8" fillId="37" borderId="10" xfId="244" applyNumberFormat="1" applyFont="1" applyFill="1" applyBorder="1" applyAlignment="1" applyProtection="1">
      <alignment horizontal="right"/>
      <protection locked="0"/>
    </xf>
    <xf numFmtId="1" fontId="8" fillId="37" borderId="10" xfId="244" applyNumberFormat="1" applyFont="1" applyFill="1" applyBorder="1" applyAlignment="1" applyProtection="1">
      <alignment horizontal="right"/>
      <protection locked="0"/>
    </xf>
    <xf numFmtId="164" fontId="8" fillId="37" borderId="10" xfId="244" applyNumberFormat="1" applyFont="1" applyFill="1" applyBorder="1" applyAlignment="1" applyProtection="1">
      <alignment horizontal="right"/>
      <protection locked="0"/>
    </xf>
    <xf numFmtId="14" fontId="8" fillId="37" borderId="10" xfId="242" applyNumberFormat="1" applyFont="1" applyFill="1" applyBorder="1" applyProtection="1">
      <protection locked="0"/>
    </xf>
    <xf numFmtId="164" fontId="8" fillId="37" borderId="10" xfId="242" applyNumberFormat="1" applyFont="1" applyFill="1" applyBorder="1" applyProtection="1">
      <protection locked="0"/>
    </xf>
    <xf numFmtId="167" fontId="40" fillId="38" borderId="0" xfId="0" applyNumberFormat="1" applyFont="1" applyFill="1" applyAlignment="1">
      <alignment horizontal="left" vertical="center" wrapText="1"/>
    </xf>
    <xf numFmtId="10" fontId="35" fillId="13" borderId="10" xfId="251" applyNumberFormat="1" applyFont="1" applyFill="1" applyBorder="1" applyAlignment="1">
      <alignment horizontal="right"/>
    </xf>
    <xf numFmtId="41" fontId="10" fillId="38" borderId="10" xfId="240" applyNumberFormat="1" applyFont="1" applyFill="1" applyBorder="1"/>
    <xf numFmtId="41" fontId="60" fillId="38" borderId="10" xfId="240" applyNumberFormat="1" applyFont="1" applyFill="1" applyBorder="1" applyAlignment="1">
      <alignment horizontal="left"/>
    </xf>
    <xf numFmtId="41" fontId="33" fillId="38" borderId="10" xfId="240" applyNumberFormat="1" applyFont="1" applyFill="1" applyBorder="1"/>
    <xf numFmtId="49" fontId="10" fillId="38" borderId="10" xfId="239" applyNumberFormat="1" applyFont="1" applyFill="1" applyBorder="1"/>
    <xf numFmtId="167" fontId="10" fillId="38" borderId="0" xfId="0" applyNumberFormat="1" applyFont="1" applyFill="1" applyAlignment="1">
      <alignment horizontal="left" vertical="center" wrapText="1"/>
    </xf>
    <xf numFmtId="49" fontId="33" fillId="36" borderId="10" xfId="242" applyNumberFormat="1" applyFont="1" applyFill="1" applyBorder="1" applyAlignment="1">
      <alignment horizontal="center" vertical="center"/>
    </xf>
    <xf numFmtId="164" fontId="8" fillId="39" borderId="10" xfId="79" applyNumberFormat="1" applyFont="1" applyFill="1" applyBorder="1" applyAlignment="1" applyProtection="1">
      <alignment horizontal="right"/>
    </xf>
    <xf numFmtId="0" fontId="55" fillId="32" borderId="0" xfId="157">
      <alignment vertical="center"/>
    </xf>
    <xf numFmtId="0" fontId="44" fillId="0" borderId="0" xfId="0" applyFont="1" applyAlignment="1">
      <alignment horizontal="right" indent="2"/>
    </xf>
    <xf numFmtId="0" fontId="44" fillId="0" borderId="0" xfId="0" applyFont="1"/>
    <xf numFmtId="0" fontId="44" fillId="0" borderId="17" xfId="0" applyFont="1" applyBorder="1"/>
    <xf numFmtId="0" fontId="44" fillId="0" borderId="18" xfId="0" applyFont="1" applyBorder="1"/>
    <xf numFmtId="49" fontId="62" fillId="38" borderId="0" xfId="158" applyFont="1" applyFill="1">
      <alignment vertical="center"/>
    </xf>
    <xf numFmtId="14" fontId="62" fillId="38" borderId="0" xfId="239" applyNumberFormat="1" applyFont="1" applyFill="1" applyAlignment="1">
      <alignment horizontal="left"/>
    </xf>
    <xf numFmtId="14" fontId="62" fillId="38" borderId="0" xfId="239" applyNumberFormat="1" applyFont="1" applyFill="1" applyAlignment="1">
      <alignment horizontal="right"/>
    </xf>
    <xf numFmtId="14" fontId="55" fillId="38" borderId="0" xfId="239" applyNumberFormat="1" applyFont="1" applyFill="1" applyAlignment="1">
      <alignment horizontal="right"/>
    </xf>
    <xf numFmtId="0" fontId="0" fillId="9" borderId="0" xfId="239" applyFont="1"/>
    <xf numFmtId="167" fontId="10" fillId="36" borderId="10" xfId="0" applyNumberFormat="1" applyFont="1" applyFill="1" applyBorder="1" applyAlignment="1">
      <alignment horizontal="center" vertical="center" wrapText="1"/>
    </xf>
    <xf numFmtId="167" fontId="33" fillId="36" borderId="10" xfId="0" applyNumberFormat="1" applyFont="1" applyFill="1" applyBorder="1" applyAlignment="1">
      <alignment horizontal="center" vertical="center" wrapText="1"/>
    </xf>
    <xf numFmtId="167" fontId="61" fillId="36" borderId="10" xfId="0" applyNumberFormat="1" applyFont="1" applyFill="1" applyBorder="1" applyAlignment="1">
      <alignment horizontal="center" vertical="center" wrapText="1"/>
    </xf>
    <xf numFmtId="0" fontId="8" fillId="37" borderId="10" xfId="239" applyFont="1" applyFill="1" applyBorder="1" applyAlignment="1" applyProtection="1">
      <alignment horizontal="center"/>
      <protection locked="0"/>
    </xf>
    <xf numFmtId="0" fontId="0" fillId="40" borderId="0" xfId="0" applyFill="1"/>
    <xf numFmtId="0" fontId="6" fillId="40" borderId="0" xfId="0" applyFont="1" applyFill="1"/>
    <xf numFmtId="49" fontId="33" fillId="36" borderId="10" xfId="239" applyNumberFormat="1" applyFont="1" applyFill="1" applyBorder="1" applyAlignment="1">
      <alignment horizontal="left" vertical="center" wrapText="1"/>
    </xf>
    <xf numFmtId="2" fontId="10" fillId="36" borderId="0" xfId="79" applyNumberFormat="1" applyFont="1" applyFill="1" applyBorder="1" applyAlignment="1" applyProtection="1">
      <alignment horizontal="center"/>
    </xf>
    <xf numFmtId="49" fontId="10" fillId="36" borderId="10" xfId="240" applyNumberFormat="1" applyFont="1" applyFill="1" applyBorder="1" applyAlignment="1">
      <alignment horizontal="center" vertical="center"/>
    </xf>
    <xf numFmtId="170" fontId="8" fillId="13" borderId="10" xfId="81" applyNumberFormat="1" applyFont="1" applyFill="1" applyBorder="1" applyAlignment="1" applyProtection="1">
      <alignment horizontal="right"/>
    </xf>
    <xf numFmtId="2" fontId="10" fillId="36" borderId="10" xfId="81" applyNumberFormat="1" applyFont="1" applyFill="1" applyBorder="1" applyAlignment="1" applyProtection="1">
      <alignment horizontal="center"/>
    </xf>
    <xf numFmtId="49" fontId="58" fillId="36" borderId="10" xfId="240" applyNumberFormat="1" applyFont="1" applyFill="1" applyBorder="1"/>
    <xf numFmtId="164" fontId="8" fillId="13" borderId="10" xfId="81" applyNumberFormat="1" applyFont="1" applyFill="1" applyBorder="1" applyAlignment="1" applyProtection="1">
      <alignment horizontal="right"/>
    </xf>
    <xf numFmtId="164" fontId="5" fillId="13" borderId="10" xfId="81" applyNumberFormat="1" applyFont="1" applyFill="1" applyBorder="1" applyAlignment="1" applyProtection="1">
      <alignment horizontal="right"/>
    </xf>
    <xf numFmtId="164" fontId="5" fillId="39" borderId="10" xfId="81" applyNumberFormat="1" applyFont="1" applyFill="1" applyBorder="1" applyAlignment="1" applyProtection="1">
      <alignment horizontal="right"/>
    </xf>
    <xf numFmtId="49" fontId="10" fillId="36" borderId="10" xfId="239" applyNumberFormat="1" applyFont="1" applyFill="1" applyBorder="1" applyAlignment="1">
      <alignment horizontal="left" vertical="center" wrapText="1"/>
    </xf>
    <xf numFmtId="49" fontId="10" fillId="38" borderId="10" xfId="239" applyNumberFormat="1" applyFont="1" applyFill="1" applyBorder="1" applyAlignment="1">
      <alignment horizontal="left" vertical="center" wrapText="1"/>
    </xf>
    <xf numFmtId="10" fontId="5" fillId="13" borderId="10" xfId="81" applyNumberFormat="1" applyFont="1" applyFill="1" applyBorder="1" applyAlignment="1" applyProtection="1">
      <alignment horizontal="right"/>
    </xf>
    <xf numFmtId="0" fontId="10" fillId="36" borderId="10" xfId="239" applyFont="1" applyFill="1" applyBorder="1" applyAlignment="1">
      <alignment horizontal="left"/>
    </xf>
    <xf numFmtId="49" fontId="33" fillId="38" borderId="10" xfId="239" applyNumberFormat="1" applyFont="1" applyFill="1" applyBorder="1" applyAlignment="1">
      <alignment horizontal="left"/>
    </xf>
    <xf numFmtId="164" fontId="35" fillId="13" borderId="10" xfId="79" applyNumberFormat="1" applyFont="1" applyFill="1" applyBorder="1" applyAlignment="1">
      <alignment horizontal="right"/>
    </xf>
    <xf numFmtId="2" fontId="8" fillId="37" borderId="16" xfId="239" applyNumberFormat="1" applyFont="1" applyFill="1" applyBorder="1" applyAlignment="1" applyProtection="1">
      <alignment horizontal="right"/>
      <protection locked="0"/>
    </xf>
    <xf numFmtId="167" fontId="10" fillId="36" borderId="10" xfId="239" quotePrefix="1" applyNumberFormat="1" applyFont="1" applyFill="1" applyBorder="1" applyAlignment="1">
      <alignment horizontal="left" vertical="center" wrapText="1"/>
    </xf>
    <xf numFmtId="0" fontId="8" fillId="37" borderId="10" xfId="242" applyFont="1" applyFill="1" applyBorder="1" applyAlignment="1" applyProtection="1">
      <alignment horizontal="left" vertical="center"/>
      <protection locked="0"/>
    </xf>
    <xf numFmtId="164" fontId="8" fillId="40" borderId="10" xfId="242" applyNumberFormat="1" applyFont="1" applyFill="1" applyBorder="1" applyAlignment="1">
      <alignment horizontal="right"/>
    </xf>
    <xf numFmtId="10" fontId="8" fillId="40" borderId="10" xfId="242" applyNumberFormat="1" applyFont="1" applyFill="1" applyBorder="1" applyAlignment="1">
      <alignment horizontal="right"/>
    </xf>
    <xf numFmtId="10" fontId="8" fillId="13" borderId="10" xfId="79" applyNumberFormat="1" applyFont="1" applyFill="1" applyBorder="1" applyAlignment="1" applyProtection="1">
      <alignment horizontal="right"/>
    </xf>
    <xf numFmtId="164" fontId="35" fillId="13" borderId="10" xfId="79" applyNumberFormat="1" applyFont="1" applyFill="1" applyBorder="1" applyAlignment="1" applyProtection="1">
      <alignment horizontal="right"/>
    </xf>
    <xf numFmtId="164" fontId="8" fillId="36" borderId="10" xfId="79" applyNumberFormat="1" applyFont="1" applyFill="1" applyBorder="1" applyAlignment="1" applyProtection="1">
      <alignment horizontal="right"/>
    </xf>
    <xf numFmtId="164" fontId="8" fillId="37" borderId="10" xfId="79" applyNumberFormat="1" applyFont="1" applyFill="1" applyBorder="1" applyAlignment="1" applyProtection="1">
      <alignment horizontal="right" indent="1"/>
      <protection locked="0"/>
    </xf>
    <xf numFmtId="164" fontId="34" fillId="13" borderId="10" xfId="79" applyNumberFormat="1" applyFont="1" applyFill="1" applyBorder="1" applyAlignment="1" applyProtection="1">
      <alignment horizontal="right"/>
    </xf>
    <xf numFmtId="168" fontId="8" fillId="37" borderId="10" xfId="242" applyNumberFormat="1" applyFont="1" applyFill="1" applyBorder="1" applyAlignment="1" applyProtection="1">
      <alignment horizontal="center" vertical="center"/>
      <protection locked="0"/>
    </xf>
    <xf numFmtId="168" fontId="8" fillId="37" borderId="10" xfId="242" applyNumberFormat="1" applyFont="1" applyFill="1" applyBorder="1" applyAlignment="1" applyProtection="1">
      <alignment horizontal="center" vertical="center" wrapText="1"/>
      <protection locked="0"/>
    </xf>
    <xf numFmtId="49" fontId="55" fillId="38" borderId="0" xfId="158" applyFill="1">
      <alignment vertical="center"/>
    </xf>
    <xf numFmtId="167" fontId="33" fillId="36" borderId="10" xfId="239" quotePrefix="1" applyNumberFormat="1" applyFont="1" applyFill="1" applyBorder="1" applyAlignment="1">
      <alignment horizontal="left" vertical="center" wrapText="1"/>
    </xf>
    <xf numFmtId="49" fontId="33" fillId="38" borderId="10" xfId="239" applyNumberFormat="1" applyFont="1" applyFill="1" applyBorder="1"/>
    <xf numFmtId="173" fontId="35" fillId="13" borderId="10" xfId="81" applyNumberFormat="1" applyFont="1" applyFill="1" applyBorder="1" applyAlignment="1">
      <alignment horizontal="right"/>
    </xf>
    <xf numFmtId="173" fontId="35" fillId="13" borderId="10" xfId="81" applyNumberFormat="1" applyFont="1" applyFill="1" applyBorder="1" applyAlignment="1">
      <alignment horizontal="center" vertical="center"/>
    </xf>
    <xf numFmtId="14" fontId="8" fillId="37" borderId="16" xfId="239" applyNumberFormat="1" applyFont="1" applyFill="1" applyBorder="1" applyAlignment="1" applyProtection="1">
      <alignment horizontal="right"/>
      <protection locked="0"/>
    </xf>
    <xf numFmtId="164" fontId="5" fillId="39" borderId="10" xfId="79" applyNumberFormat="1" applyFont="1" applyFill="1" applyBorder="1" applyAlignment="1" applyProtection="1">
      <alignment horizontal="right"/>
    </xf>
    <xf numFmtId="0" fontId="45" fillId="0" borderId="19" xfId="0" applyFont="1" applyBorder="1"/>
    <xf numFmtId="0" fontId="45" fillId="0" borderId="20" xfId="0" applyFont="1" applyBorder="1"/>
    <xf numFmtId="0" fontId="45" fillId="0" borderId="21" xfId="0" applyFont="1" applyBorder="1"/>
    <xf numFmtId="0" fontId="45" fillId="0" borderId="17" xfId="0" applyFont="1" applyBorder="1"/>
    <xf numFmtId="0" fontId="45" fillId="0" borderId="18" xfId="0" applyFont="1" applyBorder="1"/>
    <xf numFmtId="0" fontId="45" fillId="0" borderId="0" xfId="0" applyFont="1"/>
    <xf numFmtId="0" fontId="45" fillId="0" borderId="22" xfId="0" applyFont="1" applyBorder="1"/>
    <xf numFmtId="0" fontId="45" fillId="0" borderId="23" xfId="0" applyFont="1" applyBorder="1" applyAlignment="1">
      <alignment horizontal="right" indent="2"/>
    </xf>
    <xf numFmtId="0" fontId="45" fillId="0" borderId="23" xfId="0" applyFont="1" applyBorder="1"/>
    <xf numFmtId="0" fontId="45" fillId="0" borderId="24" xfId="0" applyFont="1" applyBorder="1"/>
    <xf numFmtId="0" fontId="62" fillId="38" borderId="0" xfId="0" applyFont="1" applyFill="1" applyAlignment="1">
      <alignment horizontal="right" indent="2"/>
    </xf>
    <xf numFmtId="0" fontId="63" fillId="38" borderId="0" xfId="166" quotePrefix="1" applyFont="1" applyFill="1" applyBorder="1" applyAlignment="1" applyProtection="1"/>
    <xf numFmtId="0" fontId="63" fillId="38" borderId="0" xfId="0" quotePrefix="1" applyFont="1" applyFill="1" applyAlignment="1">
      <alignment horizontal="left"/>
    </xf>
    <xf numFmtId="0" fontId="64" fillId="40" borderId="0" xfId="166" quotePrefix="1" applyFont="1" applyFill="1" applyBorder="1" applyAlignment="1" applyProtection="1"/>
    <xf numFmtId="0" fontId="64" fillId="40" borderId="0" xfId="0" quotePrefix="1" applyFont="1" applyFill="1" applyAlignment="1">
      <alignment horizontal="left"/>
    </xf>
    <xf numFmtId="0" fontId="46" fillId="37" borderId="12" xfId="240" applyFont="1" applyFill="1" applyBorder="1" applyAlignment="1" applyProtection="1">
      <alignment horizontal="right" vertical="center"/>
      <protection locked="0"/>
    </xf>
    <xf numFmtId="0" fontId="48" fillId="41" borderId="0" xfId="0" applyFont="1" applyFill="1"/>
    <xf numFmtId="0" fontId="65" fillId="41" borderId="0" xfId="0" applyFont="1" applyFill="1"/>
    <xf numFmtId="0" fontId="8" fillId="37" borderId="10" xfId="244" applyFont="1" applyFill="1" applyBorder="1" applyAlignment="1" applyProtection="1">
      <alignment horizontal="right"/>
      <protection locked="0"/>
    </xf>
    <xf numFmtId="2" fontId="10" fillId="36" borderId="10" xfId="240" applyNumberFormat="1" applyFont="1" applyFill="1" applyBorder="1" applyAlignment="1">
      <alignment horizontal="center" vertical="center" wrapText="1"/>
    </xf>
    <xf numFmtId="41" fontId="10" fillId="36" borderId="10" xfId="240" applyNumberFormat="1" applyFont="1" applyFill="1" applyBorder="1" applyAlignment="1">
      <alignment horizontal="left" indent="1"/>
    </xf>
    <xf numFmtId="49" fontId="60" fillId="36" borderId="10" xfId="240" applyNumberFormat="1" applyFont="1" applyFill="1" applyBorder="1" applyAlignment="1">
      <alignment horizontal="left" vertical="center" wrapText="1"/>
    </xf>
    <xf numFmtId="10" fontId="8" fillId="0" borderId="0" xfId="226" applyNumberFormat="1"/>
    <xf numFmtId="166" fontId="35" fillId="39" borderId="10" xfId="81" applyNumberFormat="1" applyFont="1" applyFill="1" applyBorder="1" applyAlignment="1" applyProtection="1">
      <alignment horizontal="right"/>
    </xf>
    <xf numFmtId="49" fontId="60" fillId="36" borderId="10" xfId="240" applyNumberFormat="1" applyFont="1" applyFill="1" applyBorder="1"/>
    <xf numFmtId="171" fontId="35" fillId="13" borderId="10" xfId="81" applyNumberFormat="1" applyFont="1" applyFill="1" applyBorder="1" applyAlignment="1" applyProtection="1">
      <alignment horizontal="right"/>
    </xf>
    <xf numFmtId="164" fontId="35" fillId="13" borderId="10" xfId="81" applyNumberFormat="1" applyFont="1" applyFill="1" applyBorder="1" applyAlignment="1" applyProtection="1"/>
    <xf numFmtId="170" fontId="35" fillId="13" borderId="10" xfId="81" applyNumberFormat="1" applyFont="1" applyFill="1" applyBorder="1" applyAlignment="1" applyProtection="1"/>
    <xf numFmtId="0" fontId="8" fillId="0" borderId="0" xfId="226" applyAlignment="1">
      <alignment horizontal="left" vertical="center" wrapText="1"/>
    </xf>
    <xf numFmtId="49" fontId="10" fillId="36" borderId="10" xfId="240" applyNumberFormat="1" applyFont="1" applyFill="1" applyBorder="1" applyAlignment="1">
      <alignment horizontal="left" vertical="center" wrapText="1"/>
    </xf>
    <xf numFmtId="49" fontId="33" fillId="36" borderId="10" xfId="240" applyNumberFormat="1" applyFont="1" applyFill="1" applyBorder="1" applyAlignment="1">
      <alignment horizontal="left" vertical="center" wrapText="1"/>
    </xf>
    <xf numFmtId="172" fontId="35" fillId="13" borderId="25" xfId="81" applyNumberFormat="1" applyFont="1" applyFill="1" applyBorder="1" applyAlignment="1" applyProtection="1">
      <alignment horizontal="right"/>
    </xf>
    <xf numFmtId="172" fontId="35" fillId="13" borderId="26" xfId="81" applyNumberFormat="1" applyFont="1" applyFill="1" applyBorder="1" applyAlignment="1" applyProtection="1">
      <alignment horizontal="right"/>
    </xf>
    <xf numFmtId="172" fontId="35" fillId="13" borderId="27" xfId="81" applyNumberFormat="1" applyFont="1" applyFill="1" applyBorder="1" applyAlignment="1" applyProtection="1">
      <alignment horizontal="right"/>
    </xf>
    <xf numFmtId="172" fontId="35" fillId="13" borderId="10" xfId="81" applyNumberFormat="1" applyFont="1" applyFill="1" applyBorder="1" applyAlignment="1" applyProtection="1">
      <alignment horizontal="right"/>
    </xf>
    <xf numFmtId="172" fontId="35" fillId="13" borderId="28" xfId="81" applyNumberFormat="1" applyFont="1" applyFill="1" applyBorder="1" applyAlignment="1" applyProtection="1">
      <alignment horizontal="right"/>
    </xf>
    <xf numFmtId="172" fontId="35" fillId="13" borderId="29" xfId="81" applyNumberFormat="1" applyFont="1" applyFill="1" applyBorder="1" applyAlignment="1" applyProtection="1">
      <alignment horizontal="right"/>
    </xf>
    <xf numFmtId="49" fontId="10" fillId="36" borderId="29" xfId="240" applyNumberFormat="1" applyFont="1" applyFill="1" applyBorder="1" applyAlignment="1">
      <alignment horizontal="center" vertical="center" wrapText="1"/>
    </xf>
    <xf numFmtId="0" fontId="8" fillId="0" borderId="0" xfId="226" applyAlignment="1">
      <alignment horizontal="center" vertical="center"/>
    </xf>
    <xf numFmtId="49" fontId="33" fillId="36" borderId="15" xfId="240" applyNumberFormat="1" applyFont="1" applyFill="1" applyBorder="1" applyAlignment="1">
      <alignment horizontal="center" vertical="center"/>
    </xf>
    <xf numFmtId="0" fontId="6" fillId="40" borderId="0" xfId="240" applyFont="1" applyFill="1"/>
    <xf numFmtId="173" fontId="35" fillId="13" borderId="10" xfId="81" applyNumberFormat="1" applyFont="1" applyFill="1" applyBorder="1" applyAlignment="1" applyProtection="1">
      <alignment horizontal="right"/>
    </xf>
    <xf numFmtId="49" fontId="58" fillId="36" borderId="10" xfId="240" applyNumberFormat="1" applyFont="1" applyFill="1" applyBorder="1" applyAlignment="1">
      <alignment horizontal="center" vertical="center"/>
    </xf>
    <xf numFmtId="49" fontId="58" fillId="38" borderId="10" xfId="240" applyNumberFormat="1" applyFont="1" applyFill="1" applyBorder="1"/>
    <xf numFmtId="49" fontId="10" fillId="36" borderId="0" xfId="240" applyNumberFormat="1" applyFont="1" applyFill="1" applyAlignment="1">
      <alignment horizontal="left"/>
    </xf>
    <xf numFmtId="49" fontId="10" fillId="36" borderId="10" xfId="240" applyNumberFormat="1" applyFont="1" applyFill="1" applyBorder="1" applyAlignment="1">
      <alignment horizontal="left"/>
    </xf>
    <xf numFmtId="0" fontId="6" fillId="9" borderId="0" xfId="240" applyFont="1"/>
    <xf numFmtId="0" fontId="8" fillId="0" borderId="0" xfId="226"/>
    <xf numFmtId="0" fontId="8" fillId="9" borderId="0" xfId="240"/>
    <xf numFmtId="14" fontId="58" fillId="36" borderId="10" xfId="239" applyNumberFormat="1" applyFont="1" applyFill="1" applyBorder="1" applyAlignment="1">
      <alignment horizontal="right"/>
    </xf>
    <xf numFmtId="14" fontId="60" fillId="36" borderId="10" xfId="239" applyNumberFormat="1" applyFont="1" applyFill="1" applyBorder="1" applyAlignment="1">
      <alignment horizontal="right"/>
    </xf>
    <xf numFmtId="49" fontId="58" fillId="36" borderId="10" xfId="243"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6" fillId="0" borderId="0" xfId="0" applyFont="1"/>
    <xf numFmtId="9" fontId="35" fillId="37" borderId="10" xfId="254" applyFont="1" applyFill="1" applyBorder="1" applyAlignment="1" applyProtection="1">
      <alignment horizontal="right"/>
      <protection locked="0"/>
    </xf>
    <xf numFmtId="10" fontId="35" fillId="37" borderId="10" xfId="254" applyNumberFormat="1" applyFont="1" applyFill="1" applyBorder="1" applyAlignment="1" applyProtection="1">
      <alignment horizontal="right"/>
      <protection locked="0"/>
    </xf>
    <xf numFmtId="49" fontId="33" fillId="36" borderId="0" xfId="240" applyNumberFormat="1" applyFont="1" applyFill="1" applyAlignment="1">
      <alignment horizontal="left" vertical="center" wrapText="1"/>
    </xf>
    <xf numFmtId="2" fontId="35" fillId="13" borderId="10" xfId="81" applyNumberFormat="1" applyFont="1" applyFill="1" applyBorder="1" applyAlignment="1" applyProtection="1">
      <alignment horizontal="right"/>
    </xf>
    <xf numFmtId="49" fontId="10" fillId="36" borderId="0" xfId="240" applyNumberFormat="1" applyFont="1" applyFill="1" applyAlignment="1">
      <alignment horizontal="left" vertical="center" wrapText="1"/>
    </xf>
    <xf numFmtId="10" fontId="8" fillId="39" borderId="10" xfId="81" applyNumberFormat="1" applyFont="1" applyFill="1" applyBorder="1" applyAlignment="1" applyProtection="1">
      <alignment horizontal="right"/>
    </xf>
    <xf numFmtId="0" fontId="32" fillId="9" borderId="0" xfId="238" applyFont="1" applyFill="1"/>
    <xf numFmtId="0" fontId="3" fillId="9" borderId="0" xfId="242"/>
    <xf numFmtId="0" fontId="4" fillId="9" borderId="0" xfId="242" applyFont="1"/>
    <xf numFmtId="166" fontId="6" fillId="9" borderId="0" xfId="242" applyNumberFormat="1" applyFont="1" applyAlignment="1">
      <alignment horizontal="left"/>
    </xf>
    <xf numFmtId="49" fontId="8" fillId="9" borderId="0" xfId="242" applyNumberFormat="1" applyFont="1"/>
    <xf numFmtId="164" fontId="8" fillId="39" borderId="10" xfId="242" applyNumberFormat="1" applyFont="1" applyFill="1" applyBorder="1" applyAlignment="1">
      <alignment horizontal="right"/>
    </xf>
    <xf numFmtId="166" fontId="6" fillId="0" borderId="0" xfId="242" applyNumberFormat="1" applyFont="1" applyFill="1" applyAlignment="1">
      <alignment horizontal="left"/>
    </xf>
    <xf numFmtId="164" fontId="8" fillId="9" borderId="0" xfId="242" applyNumberFormat="1" applyFont="1"/>
    <xf numFmtId="49" fontId="33" fillId="36" borderId="10" xfId="245" applyNumberFormat="1" applyFont="1" applyFill="1" applyBorder="1" applyAlignment="1">
      <alignment horizontal="left" vertical="center" wrapText="1"/>
    </xf>
    <xf numFmtId="0" fontId="67" fillId="0" borderId="0" xfId="0" applyFont="1" applyAlignment="1">
      <alignment vertical="center"/>
    </xf>
    <xf numFmtId="0" fontId="6" fillId="9" borderId="0" xfId="239" applyFont="1"/>
    <xf numFmtId="166" fontId="5" fillId="9" borderId="0" xfId="239" applyNumberFormat="1" applyFont="1" applyAlignment="1">
      <alignment horizontal="left"/>
    </xf>
    <xf numFmtId="164" fontId="8" fillId="9" borderId="0" xfId="239" applyNumberFormat="1" applyFont="1" applyAlignment="1">
      <alignment horizontal="center"/>
    </xf>
    <xf numFmtId="14" fontId="8" fillId="39" borderId="16" xfId="239" applyNumberFormat="1" applyFont="1" applyFill="1" applyBorder="1" applyAlignment="1">
      <alignment horizontal="center"/>
    </xf>
    <xf numFmtId="0" fontId="68" fillId="0" borderId="0" xfId="0" applyFont="1"/>
    <xf numFmtId="49" fontId="10" fillId="36" borderId="28" xfId="240" applyNumberFormat="1" applyFont="1" applyFill="1" applyBorder="1" applyAlignment="1">
      <alignment horizontal="center" vertical="center" wrapText="1"/>
    </xf>
    <xf numFmtId="2" fontId="33" fillId="36" borderId="10" xfId="240" applyNumberFormat="1" applyFont="1" applyFill="1" applyBorder="1" applyAlignment="1">
      <alignment horizontal="center" vertical="center" wrapText="1"/>
    </xf>
    <xf numFmtId="49" fontId="33" fillId="36" borderId="30" xfId="244" applyNumberFormat="1" applyFont="1" applyFill="1" applyBorder="1" applyAlignment="1">
      <alignment horizontal="center" vertical="center" wrapText="1"/>
    </xf>
    <xf numFmtId="49" fontId="33" fillId="36" borderId="0" xfId="244" applyNumberFormat="1" applyFont="1" applyFill="1" applyAlignment="1">
      <alignment horizontal="center" vertical="center" wrapText="1"/>
    </xf>
    <xf numFmtId="0" fontId="3" fillId="9" borderId="0" xfId="237"/>
    <xf numFmtId="0" fontId="55" fillId="38" borderId="0" xfId="237" applyFont="1" applyFill="1" applyAlignment="1">
      <alignment vertical="center"/>
    </xf>
    <xf numFmtId="0" fontId="3" fillId="9" borderId="0" xfId="237" applyAlignment="1">
      <alignment horizontal="left" vertical="center"/>
    </xf>
    <xf numFmtId="0" fontId="69" fillId="36" borderId="0" xfId="237" applyFont="1" applyFill="1" applyAlignment="1">
      <alignment vertical="center"/>
    </xf>
    <xf numFmtId="0" fontId="70" fillId="36" borderId="0" xfId="237" applyFont="1" applyFill="1" applyAlignment="1">
      <alignment vertical="center"/>
    </xf>
    <xf numFmtId="0" fontId="60" fillId="36" borderId="0" xfId="237" applyFont="1" applyFill="1" applyAlignment="1">
      <alignment vertical="center"/>
    </xf>
    <xf numFmtId="0" fontId="5" fillId="9" borderId="0" xfId="237" applyFont="1"/>
    <xf numFmtId="0" fontId="46" fillId="9" borderId="0" xfId="237" applyFont="1" applyAlignment="1">
      <alignment horizontal="left" vertical="center"/>
    </xf>
    <xf numFmtId="0" fontId="71" fillId="36" borderId="17" xfId="237" applyFont="1" applyFill="1" applyBorder="1" applyAlignment="1">
      <alignment vertical="center"/>
    </xf>
    <xf numFmtId="0" fontId="71" fillId="36" borderId="0" xfId="237" applyFont="1" applyFill="1" applyAlignment="1">
      <alignment vertical="center"/>
    </xf>
    <xf numFmtId="0" fontId="71" fillId="38" borderId="0" xfId="237" applyFont="1" applyFill="1" applyAlignment="1">
      <alignment vertical="center"/>
    </xf>
    <xf numFmtId="0" fontId="71" fillId="38" borderId="18" xfId="237" applyFont="1" applyFill="1" applyBorder="1" applyAlignment="1">
      <alignment vertical="center"/>
    </xf>
    <xf numFmtId="2" fontId="6" fillId="9" borderId="0" xfId="237" applyNumberFormat="1" applyFont="1" applyAlignment="1">
      <alignment horizontal="left" vertical="center"/>
    </xf>
    <xf numFmtId="0" fontId="6" fillId="9" borderId="0" xfId="237" applyFont="1" applyAlignment="1">
      <alignment horizontal="left" vertical="center"/>
    </xf>
    <xf numFmtId="0" fontId="46" fillId="9" borderId="0" xfId="237" applyFont="1" applyAlignment="1">
      <alignment horizontal="right" vertical="center"/>
    </xf>
    <xf numFmtId="0" fontId="46" fillId="9" borderId="0" xfId="237" applyFont="1"/>
    <xf numFmtId="0" fontId="47" fillId="36" borderId="0" xfId="240" applyFont="1" applyFill="1"/>
    <xf numFmtId="0" fontId="47" fillId="36" borderId="0" xfId="240" applyFont="1" applyFill="1" applyAlignment="1">
      <alignment horizontal="right" indent="1"/>
    </xf>
    <xf numFmtId="0" fontId="46" fillId="36" borderId="0" xfId="240" applyFont="1" applyFill="1"/>
    <xf numFmtId="0" fontId="71" fillId="36" borderId="17" xfId="240" applyFont="1" applyFill="1" applyBorder="1" applyAlignment="1">
      <alignment horizontal="left" indent="1"/>
    </xf>
    <xf numFmtId="0" fontId="72" fillId="9" borderId="0" xfId="237" applyFont="1"/>
    <xf numFmtId="0" fontId="4" fillId="9" borderId="0" xfId="239" applyFont="1"/>
    <xf numFmtId="164" fontId="8" fillId="9" borderId="0" xfId="239" applyNumberFormat="1" applyFont="1"/>
    <xf numFmtId="39" fontId="8" fillId="9" borderId="0" xfId="239" applyNumberFormat="1" applyFont="1"/>
    <xf numFmtId="0" fontId="8" fillId="9" borderId="0" xfId="239" applyFont="1"/>
    <xf numFmtId="0" fontId="38" fillId="35" borderId="10" xfId="239" applyFont="1" applyFill="1" applyBorder="1"/>
    <xf numFmtId="0" fontId="8" fillId="42" borderId="0" xfId="239" applyFont="1" applyFill="1"/>
    <xf numFmtId="0" fontId="6" fillId="0" borderId="0" xfId="241" applyFont="1" applyFill="1" applyAlignment="1">
      <alignment vertical="center"/>
    </xf>
    <xf numFmtId="166" fontId="5" fillId="9" borderId="0" xfId="240" applyNumberFormat="1" applyFont="1" applyAlignment="1">
      <alignment horizontal="left"/>
    </xf>
    <xf numFmtId="49" fontId="8" fillId="9" borderId="0" xfId="240" applyNumberFormat="1"/>
    <xf numFmtId="2" fontId="8" fillId="9" borderId="0" xfId="240" applyNumberFormat="1"/>
    <xf numFmtId="49" fontId="33" fillId="36" borderId="10" xfId="240" applyNumberFormat="1" applyFont="1" applyFill="1" applyBorder="1" applyAlignment="1">
      <alignment horizontal="center" vertical="center" wrapText="1"/>
    </xf>
    <xf numFmtId="166" fontId="10" fillId="36" borderId="10" xfId="240" applyNumberFormat="1" applyFont="1" applyFill="1" applyBorder="1" applyAlignment="1">
      <alignment horizontal="left"/>
    </xf>
    <xf numFmtId="0" fontId="10" fillId="36" borderId="10" xfId="240" applyFont="1" applyFill="1" applyBorder="1"/>
    <xf numFmtId="0" fontId="8" fillId="37" borderId="10" xfId="81" applyNumberFormat="1" applyFont="1" applyFill="1" applyBorder="1" applyAlignment="1" applyProtection="1">
      <alignment horizontal="right"/>
    </xf>
    <xf numFmtId="0" fontId="33" fillId="36" borderId="10" xfId="240" applyFont="1" applyFill="1" applyBorder="1"/>
    <xf numFmtId="49" fontId="33" fillId="38" borderId="10" xfId="240" applyNumberFormat="1" applyFont="1" applyFill="1" applyBorder="1"/>
    <xf numFmtId="49" fontId="8" fillId="9" borderId="0" xfId="239" applyNumberFormat="1" applyFont="1"/>
    <xf numFmtId="0" fontId="60" fillId="36" borderId="10" xfId="240" applyFont="1" applyFill="1" applyBorder="1"/>
    <xf numFmtId="164" fontId="8" fillId="39" borderId="10" xfId="81" applyNumberFormat="1" applyFont="1" applyFill="1" applyBorder="1" applyAlignment="1" applyProtection="1">
      <alignment horizontal="right"/>
    </xf>
    <xf numFmtId="0" fontId="0" fillId="9" borderId="0" xfId="240" applyFont="1"/>
    <xf numFmtId="0" fontId="38" fillId="35" borderId="10" xfId="240" applyFont="1" applyFill="1" applyBorder="1"/>
    <xf numFmtId="0" fontId="3" fillId="9" borderId="0" xfId="242" applyAlignment="1">
      <alignment horizontal="center" vertical="center"/>
    </xf>
    <xf numFmtId="0" fontId="68" fillId="9" borderId="0" xfId="239" applyFont="1"/>
    <xf numFmtId="0" fontId="8" fillId="42" borderId="0" xfId="241" applyFont="1" applyFill="1" applyAlignment="1">
      <alignment vertical="center"/>
    </xf>
    <xf numFmtId="0" fontId="3" fillId="9" borderId="0" xfId="239" applyAlignment="1">
      <alignment horizontal="left" indent="1"/>
    </xf>
    <xf numFmtId="0" fontId="8" fillId="9" borderId="0" xfId="239" applyFont="1" applyAlignment="1">
      <alignment horizontal="left" indent="1"/>
    </xf>
    <xf numFmtId="43" fontId="3" fillId="9" borderId="0" xfId="239" applyNumberFormat="1"/>
    <xf numFmtId="49" fontId="10" fillId="36" borderId="14" xfId="242" applyNumberFormat="1" applyFont="1" applyFill="1" applyBorder="1" applyAlignment="1">
      <alignment horizontal="center"/>
    </xf>
    <xf numFmtId="2" fontId="10" fillId="36" borderId="10" xfId="79" applyNumberFormat="1" applyFont="1" applyFill="1" applyBorder="1" applyAlignment="1" applyProtection="1">
      <alignment horizontal="center" wrapText="1"/>
    </xf>
    <xf numFmtId="0" fontId="0" fillId="9" borderId="0" xfId="242" applyFont="1"/>
    <xf numFmtId="166" fontId="8" fillId="13" borderId="10" xfId="244" applyNumberFormat="1" applyFont="1" applyFill="1" applyBorder="1" applyAlignment="1">
      <alignment horizontal="right"/>
    </xf>
    <xf numFmtId="0" fontId="73" fillId="37" borderId="10" xfId="0" applyFont="1" applyFill="1" applyBorder="1" applyAlignment="1" applyProtection="1">
      <alignment horizontal="right"/>
      <protection locked="0"/>
    </xf>
    <xf numFmtId="0" fontId="5" fillId="9" borderId="0" xfId="242" applyFont="1" applyAlignment="1">
      <alignment horizontal="right"/>
    </xf>
    <xf numFmtId="0" fontId="3" fillId="9" borderId="0" xfId="242" applyAlignment="1">
      <alignment horizontal="right"/>
    </xf>
    <xf numFmtId="0" fontId="8" fillId="9" borderId="0" xfId="242" applyFont="1"/>
    <xf numFmtId="0" fontId="33" fillId="38" borderId="15" xfId="242" applyFont="1" applyFill="1" applyBorder="1" applyAlignment="1">
      <alignment horizontal="left"/>
    </xf>
    <xf numFmtId="10" fontId="8" fillId="37" borderId="10" xfId="79" applyNumberFormat="1" applyFont="1" applyFill="1" applyBorder="1" applyAlignment="1" applyProtection="1">
      <alignment horizontal="right"/>
      <protection locked="0"/>
    </xf>
    <xf numFmtId="49" fontId="60" fillId="36" borderId="10" xfId="240" applyNumberFormat="1" applyFont="1" applyFill="1" applyBorder="1" applyAlignment="1">
      <alignment vertical="center" wrapText="1"/>
    </xf>
    <xf numFmtId="49" fontId="33" fillId="36" borderId="31" xfId="240" applyNumberFormat="1" applyFont="1" applyFill="1" applyBorder="1" applyAlignment="1">
      <alignment horizontal="left" vertical="center" wrapText="1"/>
    </xf>
    <xf numFmtId="0" fontId="8" fillId="0" borderId="0" xfId="226" applyAlignment="1">
      <alignment vertical="center" wrapText="1"/>
    </xf>
    <xf numFmtId="168" fontId="8" fillId="37" borderId="10" xfId="242" applyNumberFormat="1" applyFont="1" applyFill="1" applyBorder="1" applyAlignment="1" applyProtection="1">
      <alignment horizontal="left" wrapText="1"/>
      <protection locked="0"/>
    </xf>
    <xf numFmtId="0" fontId="8" fillId="37" borderId="10" xfId="242" applyFont="1" applyFill="1" applyBorder="1" applyAlignment="1" applyProtection="1">
      <alignment horizontal="left" wrapText="1"/>
      <protection locked="0"/>
    </xf>
    <xf numFmtId="49" fontId="8" fillId="37" borderId="10" xfId="79" applyNumberFormat="1" applyFont="1" applyFill="1" applyBorder="1" applyAlignment="1" applyProtection="1">
      <alignment horizontal="right"/>
      <protection locked="0"/>
    </xf>
    <xf numFmtId="49" fontId="8" fillId="36" borderId="10" xfId="240" applyNumberFormat="1" applyFill="1" applyBorder="1" applyAlignment="1">
      <alignment horizontal="left"/>
    </xf>
    <xf numFmtId="49" fontId="8" fillId="37" borderId="10" xfId="242" applyNumberFormat="1" applyFont="1" applyFill="1" applyBorder="1" applyProtection="1">
      <protection locked="0"/>
    </xf>
    <xf numFmtId="49" fontId="33" fillId="13" borderId="15" xfId="242" applyNumberFormat="1" applyFont="1" applyFill="1" applyBorder="1" applyAlignment="1">
      <alignment horizontal="right"/>
    </xf>
    <xf numFmtId="49" fontId="61" fillId="36" borderId="10" xfId="240" applyNumberFormat="1" applyFont="1" applyFill="1" applyBorder="1" applyAlignment="1">
      <alignment horizontal="left"/>
    </xf>
    <xf numFmtId="49" fontId="33" fillId="36" borderId="10" xfId="240" quotePrefix="1" applyNumberFormat="1" applyFont="1" applyFill="1" applyBorder="1" applyAlignment="1">
      <alignment horizontal="center" vertical="center" wrapText="1"/>
    </xf>
    <xf numFmtId="49" fontId="61" fillId="36" borderId="10" xfId="244" applyNumberFormat="1" applyFont="1" applyFill="1" applyBorder="1" applyAlignment="1">
      <alignment horizontal="left"/>
    </xf>
    <xf numFmtId="49" fontId="8" fillId="37" borderId="10" xfId="244" applyNumberFormat="1" applyFont="1" applyFill="1" applyBorder="1" applyAlignment="1" applyProtection="1">
      <alignment horizontal="right"/>
      <protection locked="0"/>
    </xf>
    <xf numFmtId="49" fontId="8" fillId="13" borderId="10" xfId="244" applyNumberFormat="1" applyFont="1" applyFill="1" applyBorder="1" applyAlignment="1">
      <alignment horizontal="right"/>
    </xf>
    <xf numFmtId="49" fontId="58" fillId="36" borderId="10" xfId="244" applyNumberFormat="1" applyFont="1" applyFill="1" applyBorder="1" applyAlignment="1">
      <alignment horizontal="left"/>
    </xf>
    <xf numFmtId="49" fontId="8" fillId="37" borderId="10" xfId="244" applyNumberFormat="1" applyFont="1" applyFill="1" applyBorder="1" applyAlignment="1" applyProtection="1">
      <alignment vertical="top"/>
      <protection locked="0"/>
    </xf>
    <xf numFmtId="49" fontId="8" fillId="37" borderId="10" xfId="239" applyNumberFormat="1" applyFont="1" applyFill="1" applyBorder="1" applyAlignment="1" applyProtection="1">
      <alignment horizontal="center"/>
      <protection locked="0"/>
    </xf>
    <xf numFmtId="41" fontId="10" fillId="36" borderId="15" xfId="240" applyNumberFormat="1" applyFont="1" applyFill="1" applyBorder="1" applyAlignment="1" applyProtection="1">
      <alignment horizontal="left" indent="1"/>
      <protection locked="0"/>
    </xf>
    <xf numFmtId="164" fontId="8" fillId="37" borderId="10" xfId="79" applyNumberFormat="1" applyFont="1" applyFill="1" applyBorder="1" applyAlignment="1" applyProtection="1">
      <protection locked="0"/>
    </xf>
    <xf numFmtId="174" fontId="5" fillId="13" borderId="10" xfId="81" applyNumberFormat="1" applyFont="1" applyFill="1" applyBorder="1" applyAlignment="1" applyProtection="1">
      <alignment horizontal="right"/>
    </xf>
    <xf numFmtId="0" fontId="60" fillId="36" borderId="42" xfId="0" applyFont="1" applyFill="1" applyBorder="1"/>
    <xf numFmtId="0" fontId="60" fillId="36" borderId="0" xfId="0" applyFont="1" applyFill="1" applyAlignment="1">
      <alignment horizontal="center"/>
    </xf>
    <xf numFmtId="0" fontId="60" fillId="36" borderId="0" xfId="0" applyFont="1" applyFill="1"/>
    <xf numFmtId="0" fontId="60" fillId="36" borderId="43" xfId="0" applyFont="1" applyFill="1" applyBorder="1"/>
    <xf numFmtId="14" fontId="0" fillId="0" borderId="0" xfId="0" applyNumberFormat="1"/>
    <xf numFmtId="3" fontId="0" fillId="0" borderId="0" xfId="0" applyNumberFormat="1"/>
    <xf numFmtId="0" fontId="0" fillId="42" borderId="0" xfId="0" applyFill="1"/>
    <xf numFmtId="14" fontId="8" fillId="37" borderId="10" xfId="242" quotePrefix="1" applyNumberFormat="1" applyFont="1" applyFill="1" applyBorder="1" applyProtection="1">
      <protection locked="0"/>
    </xf>
    <xf numFmtId="169" fontId="8" fillId="37" borderId="10" xfId="244" quotePrefix="1" applyNumberFormat="1" applyFont="1" applyFill="1" applyBorder="1" applyAlignment="1" applyProtection="1">
      <alignment horizontal="right"/>
      <protection locked="0"/>
    </xf>
    <xf numFmtId="14" fontId="8" fillId="37" borderId="10" xfId="242" quotePrefix="1" applyNumberFormat="1" applyFont="1" applyFill="1" applyBorder="1" applyAlignment="1" applyProtection="1">
      <alignment horizontal="center"/>
      <protection locked="0"/>
    </xf>
    <xf numFmtId="164" fontId="0" fillId="0" borderId="0" xfId="0" applyNumberFormat="1"/>
    <xf numFmtId="0" fontId="8" fillId="42" borderId="0" xfId="0" applyFont="1" applyFill="1"/>
    <xf numFmtId="0" fontId="3" fillId="0" borderId="0" xfId="0" applyFont="1"/>
    <xf numFmtId="168" fontId="3" fillId="37" borderId="10" xfId="242" applyNumberFormat="1" applyFill="1" applyBorder="1" applyAlignment="1" applyProtection="1">
      <alignment horizontal="center" vertical="center" wrapText="1"/>
      <protection locked="0"/>
    </xf>
    <xf numFmtId="0" fontId="3" fillId="37" borderId="10" xfId="81" applyNumberFormat="1" applyFont="1" applyFill="1" applyBorder="1" applyAlignment="1" applyProtection="1">
      <alignment horizontal="center"/>
    </xf>
    <xf numFmtId="0" fontId="3" fillId="37" borderId="10" xfId="81" applyNumberFormat="1" applyFont="1" applyFill="1" applyBorder="1" applyAlignment="1" applyProtection="1">
      <alignment horizontal="right"/>
    </xf>
    <xf numFmtId="49" fontId="3" fillId="37" borderId="10" xfId="239" quotePrefix="1" applyNumberFormat="1" applyFill="1" applyBorder="1" applyAlignment="1" applyProtection="1">
      <alignment horizontal="center" vertical="center" wrapText="1"/>
      <protection locked="0"/>
    </xf>
    <xf numFmtId="49" fontId="3" fillId="37" borderId="10" xfId="79" applyNumberFormat="1" applyFont="1" applyFill="1" applyBorder="1" applyAlignment="1" applyProtection="1">
      <alignment horizontal="center"/>
      <protection locked="0"/>
    </xf>
    <xf numFmtId="49" fontId="8" fillId="37" borderId="10" xfId="81" applyNumberFormat="1" applyFont="1" applyFill="1" applyBorder="1" applyAlignment="1" applyProtection="1">
      <alignment horizontal="center"/>
      <protection locked="0"/>
    </xf>
    <xf numFmtId="49" fontId="8" fillId="36" borderId="10" xfId="240" applyNumberFormat="1" applyFill="1" applyBorder="1" applyAlignment="1">
      <alignment horizontal="center"/>
    </xf>
    <xf numFmtId="49" fontId="10" fillId="36" borderId="10" xfId="240" applyNumberFormat="1" applyFont="1" applyFill="1" applyBorder="1" applyAlignment="1">
      <alignment horizontal="center"/>
    </xf>
    <xf numFmtId="49" fontId="8" fillId="37" borderId="10" xfId="242" applyNumberFormat="1" applyFont="1" applyFill="1" applyBorder="1" applyAlignment="1" applyProtection="1">
      <alignment horizontal="center"/>
      <protection locked="0"/>
    </xf>
    <xf numFmtId="49" fontId="8" fillId="37" borderId="10" xfId="79" applyNumberFormat="1" applyFont="1" applyFill="1" applyBorder="1" applyAlignment="1" applyProtection="1">
      <alignment horizontal="center"/>
      <protection locked="0"/>
    </xf>
    <xf numFmtId="166" fontId="3" fillId="37" borderId="16" xfId="239" applyNumberFormat="1" applyFill="1" applyBorder="1" applyProtection="1">
      <protection locked="0"/>
    </xf>
    <xf numFmtId="169" fontId="8" fillId="37" borderId="16" xfId="239" applyNumberFormat="1" applyFont="1" applyFill="1" applyBorder="1" applyAlignment="1" applyProtection="1">
      <alignment horizontal="center"/>
      <protection locked="0"/>
    </xf>
    <xf numFmtId="166" fontId="8" fillId="37" borderId="10" xfId="244" applyNumberFormat="1" applyFont="1" applyFill="1" applyBorder="1" applyAlignment="1" applyProtection="1">
      <alignment horizontal="center"/>
      <protection locked="0"/>
    </xf>
    <xf numFmtId="49" fontId="3" fillId="37" borderId="10" xfId="244" applyNumberFormat="1" applyFill="1" applyBorder="1" applyAlignment="1" applyProtection="1">
      <alignment horizontal="center"/>
      <protection locked="0"/>
    </xf>
    <xf numFmtId="0" fontId="3" fillId="37" borderId="10" xfId="242" applyFill="1" applyBorder="1" applyProtection="1">
      <protection locked="0"/>
    </xf>
    <xf numFmtId="49" fontId="3" fillId="37" borderId="10" xfId="242" applyNumberFormat="1" applyFill="1" applyBorder="1" applyAlignment="1" applyProtection="1">
      <alignment horizontal="center"/>
      <protection locked="0"/>
    </xf>
    <xf numFmtId="49" fontId="3" fillId="37" borderId="10" xfId="244" applyNumberFormat="1" applyFill="1" applyBorder="1" applyAlignment="1" applyProtection="1">
      <alignment horizontal="center" vertical="top"/>
      <protection locked="0"/>
    </xf>
    <xf numFmtId="0" fontId="3" fillId="37" borderId="10" xfId="242" applyFill="1" applyBorder="1" applyAlignment="1" applyProtection="1">
      <alignment horizontal="left" wrapText="1"/>
      <protection locked="0"/>
    </xf>
    <xf numFmtId="0" fontId="8" fillId="37" borderId="10" xfId="244" applyFont="1" applyFill="1" applyBorder="1" applyAlignment="1" applyProtection="1">
      <alignment horizontal="center"/>
      <protection locked="0"/>
    </xf>
    <xf numFmtId="1" fontId="8" fillId="37" borderId="16" xfId="239" applyNumberFormat="1" applyFont="1" applyFill="1" applyBorder="1" applyAlignment="1" applyProtection="1">
      <alignment horizontal="right" wrapText="1"/>
      <protection locked="0"/>
    </xf>
    <xf numFmtId="14" fontId="3" fillId="37" borderId="10" xfId="242" applyNumberFormat="1" applyFill="1" applyBorder="1" applyProtection="1">
      <protection locked="0"/>
    </xf>
    <xf numFmtId="0" fontId="8" fillId="37" borderId="16" xfId="239" applyFont="1" applyFill="1" applyBorder="1" applyAlignment="1" applyProtection="1">
      <alignment horizontal="right" wrapText="1"/>
      <protection locked="0"/>
    </xf>
    <xf numFmtId="0" fontId="47" fillId="36" borderId="0" xfId="240" applyFont="1" applyFill="1" applyAlignment="1">
      <alignment horizontal="right" indent="1"/>
    </xf>
    <xf numFmtId="0" fontId="47" fillId="36" borderId="31" xfId="240" applyFont="1" applyFill="1" applyBorder="1" applyAlignment="1">
      <alignment horizontal="right" indent="1"/>
    </xf>
    <xf numFmtId="0" fontId="75" fillId="36" borderId="19" xfId="240" applyFont="1" applyFill="1" applyBorder="1" applyAlignment="1">
      <alignment horizontal="center"/>
    </xf>
    <xf numFmtId="0" fontId="75" fillId="36" borderId="20" xfId="240" applyFont="1" applyFill="1" applyBorder="1" applyAlignment="1">
      <alignment horizontal="center"/>
    </xf>
    <xf numFmtId="0" fontId="75" fillId="36" borderId="21" xfId="240" applyFont="1" applyFill="1" applyBorder="1" applyAlignment="1">
      <alignment horizontal="center"/>
    </xf>
    <xf numFmtId="14" fontId="6" fillId="37" borderId="32" xfId="237" applyNumberFormat="1" applyFont="1" applyFill="1" applyBorder="1" applyAlignment="1" applyProtection="1">
      <alignment horizontal="right" vertical="center"/>
      <protection locked="0"/>
    </xf>
    <xf numFmtId="14" fontId="46" fillId="37" borderId="32" xfId="236" applyNumberFormat="1" applyFont="1" applyFill="1" applyBorder="1" applyAlignment="1" applyProtection="1">
      <alignment horizontal="right" vertical="center"/>
      <protection locked="0"/>
    </xf>
    <xf numFmtId="14" fontId="46" fillId="37" borderId="16" xfId="236" applyNumberFormat="1" applyFont="1" applyFill="1" applyBorder="1" applyAlignment="1" applyProtection="1">
      <alignment horizontal="right" vertical="center"/>
      <protection locked="0"/>
    </xf>
    <xf numFmtId="49" fontId="6" fillId="37" borderId="32" xfId="237" applyNumberFormat="1" applyFont="1" applyFill="1" applyBorder="1" applyAlignment="1" applyProtection="1">
      <alignment horizontal="right" vertical="center"/>
      <protection locked="0"/>
    </xf>
    <xf numFmtId="49" fontId="46" fillId="37" borderId="32" xfId="236" applyNumberFormat="1" applyFont="1" applyFill="1" applyBorder="1" applyAlignment="1" applyProtection="1">
      <alignment horizontal="right" vertical="center"/>
      <protection locked="0"/>
    </xf>
    <xf numFmtId="49" fontId="46" fillId="37" borderId="16" xfId="236" applyNumberFormat="1" applyFont="1" applyFill="1" applyBorder="1" applyAlignment="1" applyProtection="1">
      <alignment horizontal="right" vertical="center"/>
      <protection locked="0"/>
    </xf>
    <xf numFmtId="0" fontId="71" fillId="36" borderId="30" xfId="237" applyFont="1" applyFill="1" applyBorder="1" applyAlignment="1">
      <alignment horizontal="left" vertical="center" wrapText="1"/>
    </xf>
    <xf numFmtId="0" fontId="71" fillId="36" borderId="0" xfId="237" applyFont="1" applyFill="1" applyAlignment="1">
      <alignment horizontal="left" vertical="center" wrapText="1"/>
    </xf>
    <xf numFmtId="0" fontId="71" fillId="36" borderId="15" xfId="237" applyFont="1" applyFill="1" applyBorder="1" applyAlignment="1">
      <alignment horizontal="left" vertical="center"/>
    </xf>
    <xf numFmtId="0" fontId="71" fillId="36" borderId="32" xfId="237" applyFont="1" applyFill="1" applyBorder="1" applyAlignment="1">
      <alignment horizontal="left" vertical="center"/>
    </xf>
    <xf numFmtId="0" fontId="71" fillId="36" borderId="0" xfId="237" applyFont="1" applyFill="1" applyAlignment="1">
      <alignment horizontal="left" vertical="center"/>
    </xf>
    <xf numFmtId="0" fontId="46" fillId="37" borderId="15" xfId="240" applyFont="1" applyFill="1" applyBorder="1" applyAlignment="1" applyProtection="1">
      <alignment horizontal="right" vertical="center"/>
      <protection locked="0"/>
    </xf>
    <xf numFmtId="0" fontId="46" fillId="37" borderId="32" xfId="240" applyFont="1" applyFill="1" applyBorder="1" applyAlignment="1" applyProtection="1">
      <alignment horizontal="right" vertical="center"/>
      <protection locked="0"/>
    </xf>
    <xf numFmtId="0" fontId="46" fillId="37" borderId="16" xfId="240" applyFont="1" applyFill="1" applyBorder="1" applyAlignment="1" applyProtection="1">
      <alignment horizontal="right" vertical="center"/>
      <protection locked="0"/>
    </xf>
    <xf numFmtId="0" fontId="75" fillId="36" borderId="22" xfId="240" applyFont="1" applyFill="1" applyBorder="1" applyAlignment="1">
      <alignment horizontal="center"/>
    </xf>
    <xf numFmtId="0" fontId="75" fillId="36" borderId="23" xfId="240" applyFont="1" applyFill="1" applyBorder="1" applyAlignment="1">
      <alignment horizontal="center"/>
    </xf>
    <xf numFmtId="0" fontId="75" fillId="36" borderId="24" xfId="240" applyFont="1" applyFill="1" applyBorder="1" applyAlignment="1">
      <alignment horizontal="center"/>
    </xf>
    <xf numFmtId="0" fontId="71" fillId="36" borderId="17" xfId="240" applyFont="1" applyFill="1" applyBorder="1" applyAlignment="1">
      <alignment horizontal="left" vertical="top"/>
    </xf>
    <xf numFmtId="0" fontId="71" fillId="36" borderId="22" xfId="240" applyFont="1" applyFill="1" applyBorder="1" applyAlignment="1">
      <alignment horizontal="left" vertical="top"/>
    </xf>
    <xf numFmtId="0" fontId="75" fillId="36" borderId="23" xfId="240" applyFont="1" applyFill="1" applyBorder="1" applyAlignment="1">
      <alignment horizontal="center" vertical="center"/>
    </xf>
    <xf numFmtId="0" fontId="75" fillId="36" borderId="24" xfId="240" applyFont="1" applyFill="1" applyBorder="1" applyAlignment="1">
      <alignment horizontal="center" vertical="center"/>
    </xf>
    <xf numFmtId="0" fontId="47" fillId="36" borderId="18" xfId="240" applyFont="1" applyFill="1" applyBorder="1" applyAlignment="1">
      <alignment horizontal="center"/>
    </xf>
    <xf numFmtId="0" fontId="47" fillId="36" borderId="0" xfId="240" applyFont="1" applyFill="1" applyAlignment="1">
      <alignment horizontal="center"/>
    </xf>
    <xf numFmtId="0" fontId="46" fillId="37" borderId="10" xfId="240" applyFont="1" applyFill="1" applyBorder="1" applyAlignment="1" applyProtection="1">
      <alignment horizontal="right" vertical="center"/>
      <protection locked="0"/>
    </xf>
    <xf numFmtId="0" fontId="46" fillId="36" borderId="30" xfId="240" applyFont="1" applyFill="1" applyBorder="1" applyAlignment="1">
      <alignment horizontal="center"/>
    </xf>
    <xf numFmtId="0" fontId="46" fillId="36" borderId="18" xfId="240" applyFont="1" applyFill="1" applyBorder="1" applyAlignment="1">
      <alignment horizontal="center"/>
    </xf>
    <xf numFmtId="0" fontId="46" fillId="9" borderId="32" xfId="240" applyFont="1" applyBorder="1" applyAlignment="1" applyProtection="1">
      <alignment horizontal="right" vertical="center"/>
      <protection locked="0"/>
    </xf>
    <xf numFmtId="0" fontId="46" fillId="9" borderId="16" xfId="240" applyFont="1" applyBorder="1" applyAlignment="1" applyProtection="1">
      <alignment horizontal="right" vertical="center"/>
      <protection locked="0"/>
    </xf>
    <xf numFmtId="0" fontId="46" fillId="37" borderId="15" xfId="240" quotePrefix="1" applyFont="1" applyFill="1" applyBorder="1" applyAlignment="1" applyProtection="1">
      <alignment horizontal="right" vertical="center"/>
      <protection locked="0"/>
    </xf>
    <xf numFmtId="0" fontId="71" fillId="36" borderId="16" xfId="237" applyFont="1" applyFill="1" applyBorder="1" applyAlignment="1">
      <alignment horizontal="left" vertical="center"/>
    </xf>
    <xf numFmtId="0" fontId="6" fillId="9" borderId="19" xfId="237" applyFont="1" applyBorder="1" applyAlignment="1">
      <alignment horizontal="left" vertical="center"/>
    </xf>
    <xf numFmtId="0" fontId="46" fillId="9" borderId="20" xfId="237" applyFont="1" applyBorder="1" applyAlignment="1">
      <alignment horizontal="left" vertical="center"/>
    </xf>
    <xf numFmtId="0" fontId="46" fillId="9" borderId="21" xfId="237" applyFont="1" applyBorder="1" applyAlignment="1">
      <alignment horizontal="left" vertical="center"/>
    </xf>
    <xf numFmtId="164" fontId="6" fillId="13" borderId="22" xfId="53" applyFont="1" applyBorder="1" applyAlignment="1">
      <alignment horizontal="left" vertical="center"/>
    </xf>
    <xf numFmtId="0" fontId="46" fillId="9" borderId="23" xfId="237" applyFont="1" applyBorder="1" applyAlignment="1">
      <alignment horizontal="left" vertical="center"/>
    </xf>
    <xf numFmtId="0" fontId="46" fillId="9" borderId="24" xfId="237" applyFont="1" applyBorder="1" applyAlignment="1">
      <alignment horizontal="left" vertical="center"/>
    </xf>
    <xf numFmtId="164" fontId="6" fillId="37" borderId="17" xfId="169" applyFont="1" applyFill="1" applyBorder="1" applyAlignment="1" applyProtection="1">
      <alignment horizontal="left" vertical="center"/>
    </xf>
    <xf numFmtId="0" fontId="46" fillId="37" borderId="0" xfId="237" applyFont="1" applyFill="1" applyAlignment="1">
      <alignment horizontal="left" vertical="center"/>
    </xf>
    <xf numFmtId="0" fontId="46" fillId="37" borderId="18" xfId="237" applyFont="1" applyFill="1" applyBorder="1" applyAlignment="1">
      <alignment horizontal="left" vertical="center"/>
    </xf>
    <xf numFmtId="0" fontId="46" fillId="0" borderId="0" xfId="237" applyFont="1" applyFill="1" applyAlignment="1">
      <alignment horizontal="left" vertical="center"/>
    </xf>
    <xf numFmtId="0" fontId="46" fillId="9" borderId="0" xfId="237" applyFont="1" applyAlignment="1">
      <alignment horizontal="left" vertical="center"/>
    </xf>
    <xf numFmtId="0" fontId="6" fillId="0" borderId="0" xfId="237" applyFont="1" applyFill="1" applyAlignment="1">
      <alignment horizontal="right" vertical="center"/>
    </xf>
    <xf numFmtId="0" fontId="46" fillId="0" borderId="0" xfId="236" applyFont="1" applyFill="1" applyAlignment="1">
      <alignment horizontal="right" vertical="center"/>
    </xf>
    <xf numFmtId="0" fontId="6" fillId="37" borderId="32" xfId="237" applyFont="1" applyFill="1" applyBorder="1" applyAlignment="1" applyProtection="1">
      <alignment horizontal="right" vertical="center" wrapText="1"/>
      <protection locked="0"/>
    </xf>
    <xf numFmtId="0" fontId="46" fillId="37" borderId="32" xfId="236" applyFont="1" applyFill="1" applyBorder="1" applyAlignment="1" applyProtection="1">
      <alignment horizontal="right" vertical="center" wrapText="1"/>
      <protection locked="0"/>
    </xf>
    <xf numFmtId="0" fontId="46" fillId="37" borderId="16" xfId="236" applyFont="1" applyFill="1" applyBorder="1" applyAlignment="1" applyProtection="1">
      <alignment horizontal="right" vertical="center" wrapText="1"/>
      <protection locked="0"/>
    </xf>
    <xf numFmtId="0" fontId="6" fillId="37" borderId="10" xfId="237" applyFont="1" applyFill="1" applyBorder="1" applyAlignment="1" applyProtection="1">
      <alignment horizontal="right" vertical="center" wrapText="1"/>
      <protection locked="0"/>
    </xf>
    <xf numFmtId="0" fontId="46" fillId="37" borderId="10" xfId="237" applyFont="1" applyFill="1" applyBorder="1" applyAlignment="1" applyProtection="1">
      <alignment horizontal="right" vertical="center" wrapText="1"/>
      <protection locked="0"/>
    </xf>
    <xf numFmtId="0" fontId="6" fillId="37" borderId="10" xfId="237" applyFont="1" applyFill="1" applyBorder="1" applyAlignment="1" applyProtection="1">
      <alignment horizontal="right" vertical="center"/>
      <protection locked="0"/>
    </xf>
    <xf numFmtId="0" fontId="46" fillId="37" borderId="10" xfId="237" applyFont="1" applyFill="1" applyBorder="1" applyAlignment="1" applyProtection="1">
      <alignment horizontal="right" vertical="center"/>
      <protection locked="0"/>
    </xf>
    <xf numFmtId="0" fontId="6" fillId="37" borderId="32" xfId="237" applyFont="1" applyFill="1" applyBorder="1" applyAlignment="1" applyProtection="1">
      <alignment horizontal="right" vertical="center"/>
      <protection locked="0"/>
    </xf>
    <xf numFmtId="0" fontId="46" fillId="37" borderId="32" xfId="236" applyFont="1" applyFill="1" applyBorder="1" applyAlignment="1" applyProtection="1">
      <alignment horizontal="right" vertical="center"/>
      <protection locked="0"/>
    </xf>
    <xf numFmtId="0" fontId="46" fillId="37" borderId="16" xfId="236" applyFont="1" applyFill="1" applyBorder="1" applyAlignment="1" applyProtection="1">
      <alignment horizontal="right" vertical="center"/>
      <protection locked="0"/>
    </xf>
    <xf numFmtId="0" fontId="76" fillId="40" borderId="0" xfId="0" applyFont="1" applyFill="1" applyAlignment="1">
      <alignment horizontal="center"/>
    </xf>
    <xf numFmtId="49" fontId="33" fillId="36" borderId="15" xfId="240" applyNumberFormat="1" applyFont="1" applyFill="1" applyBorder="1" applyAlignment="1">
      <alignment horizontal="center" vertical="center"/>
    </xf>
    <xf numFmtId="49" fontId="33" fillId="36" borderId="16" xfId="240" applyNumberFormat="1" applyFont="1" applyFill="1" applyBorder="1" applyAlignment="1">
      <alignment horizontal="center" vertical="center"/>
    </xf>
    <xf numFmtId="49" fontId="33" fillId="36" borderId="34" xfId="240" applyNumberFormat="1" applyFont="1" applyFill="1" applyBorder="1" applyAlignment="1">
      <alignment horizontal="center" vertical="center"/>
    </xf>
    <xf numFmtId="49" fontId="33" fillId="36" borderId="11" xfId="240" applyNumberFormat="1" applyFont="1" applyFill="1" applyBorder="1" applyAlignment="1">
      <alignment horizontal="center" vertical="center"/>
    </xf>
    <xf numFmtId="2" fontId="33" fillId="36" borderId="11" xfId="239" applyNumberFormat="1" applyFont="1" applyFill="1" applyBorder="1" applyAlignment="1">
      <alignment horizontal="center" vertical="center" wrapText="1"/>
    </xf>
    <xf numFmtId="2" fontId="33" fillId="36" borderId="13" xfId="239" applyNumberFormat="1" applyFont="1" applyFill="1" applyBorder="1" applyAlignment="1">
      <alignment horizontal="center" vertical="center" wrapText="1"/>
    </xf>
    <xf numFmtId="2" fontId="33" fillId="36" borderId="15" xfId="239" applyNumberFormat="1" applyFont="1" applyFill="1" applyBorder="1" applyAlignment="1">
      <alignment horizontal="center" vertical="center" wrapText="1"/>
    </xf>
    <xf numFmtId="2" fontId="33" fillId="36" borderId="32" xfId="239" applyNumberFormat="1" applyFont="1" applyFill="1" applyBorder="1" applyAlignment="1">
      <alignment horizontal="center" vertical="center" wrapText="1"/>
    </xf>
    <xf numFmtId="2" fontId="33" fillId="36" borderId="15" xfId="240" applyNumberFormat="1" applyFont="1" applyFill="1" applyBorder="1" applyAlignment="1">
      <alignment horizontal="center" vertical="center" wrapText="1"/>
    </xf>
    <xf numFmtId="2" fontId="33" fillId="36" borderId="32" xfId="240" applyNumberFormat="1" applyFont="1" applyFill="1" applyBorder="1" applyAlignment="1">
      <alignment horizontal="center" vertical="center" wrapText="1"/>
    </xf>
    <xf numFmtId="2" fontId="33" fillId="36" borderId="16" xfId="240" applyNumberFormat="1" applyFont="1" applyFill="1" applyBorder="1" applyAlignment="1">
      <alignment horizontal="center" vertical="center" wrapText="1"/>
    </xf>
    <xf numFmtId="167" fontId="33" fillId="36" borderId="15" xfId="239" quotePrefix="1" applyNumberFormat="1" applyFont="1" applyFill="1" applyBorder="1" applyAlignment="1">
      <alignment horizontal="left" vertical="center" wrapText="1"/>
    </xf>
    <xf numFmtId="167" fontId="33" fillId="36" borderId="16" xfId="239" quotePrefix="1" applyNumberFormat="1" applyFont="1" applyFill="1" applyBorder="1" applyAlignment="1">
      <alignment horizontal="left" vertical="center" wrapText="1"/>
    </xf>
    <xf numFmtId="0" fontId="6" fillId="40" borderId="0" xfId="0" applyFont="1" applyFill="1" applyAlignment="1">
      <alignment horizontal="left" vertical="top" wrapText="1"/>
    </xf>
    <xf numFmtId="49" fontId="10" fillId="36" borderId="15" xfId="239" applyNumberFormat="1" applyFont="1" applyFill="1" applyBorder="1" applyAlignment="1">
      <alignment horizontal="left" wrapText="1"/>
    </xf>
    <xf numFmtId="49" fontId="10" fillId="36" borderId="16" xfId="239" applyNumberFormat="1" applyFont="1" applyFill="1" applyBorder="1" applyAlignment="1">
      <alignment horizontal="left" wrapText="1"/>
    </xf>
    <xf numFmtId="0" fontId="6" fillId="0" borderId="0" xfId="241" applyFont="1" applyFill="1" applyAlignment="1">
      <alignment horizontal="left" vertical="center"/>
    </xf>
    <xf numFmtId="0" fontId="55" fillId="32" borderId="0" xfId="157" applyAlignment="1">
      <alignment horizontal="left" vertical="top" wrapText="1"/>
    </xf>
    <xf numFmtId="2" fontId="33" fillId="36" borderId="10" xfId="240" applyNumberFormat="1" applyFont="1" applyFill="1" applyBorder="1" applyAlignment="1">
      <alignment horizontal="center" vertical="center" wrapText="1"/>
    </xf>
    <xf numFmtId="0" fontId="6" fillId="40" borderId="0" xfId="0" applyFont="1" applyFill="1" applyAlignment="1">
      <alignment horizontal="left" vertical="center" wrapText="1"/>
    </xf>
    <xf numFmtId="0" fontId="33" fillId="38" borderId="32" xfId="242" applyFont="1" applyFill="1" applyBorder="1" applyAlignment="1">
      <alignment horizontal="left"/>
    </xf>
    <xf numFmtId="0" fontId="33" fillId="38" borderId="16" xfId="242" applyFont="1" applyFill="1" applyBorder="1" applyAlignment="1">
      <alignment horizontal="left"/>
    </xf>
    <xf numFmtId="49" fontId="33" fillId="36" borderId="30" xfId="244" applyNumberFormat="1" applyFont="1" applyFill="1" applyBorder="1" applyAlignment="1">
      <alignment horizontal="center" vertical="center" wrapText="1"/>
    </xf>
    <xf numFmtId="49" fontId="33" fillId="36" borderId="0" xfId="244" applyNumberFormat="1" applyFont="1" applyFill="1" applyAlignment="1">
      <alignment horizontal="center" vertical="center" wrapText="1"/>
    </xf>
    <xf numFmtId="49" fontId="33" fillId="36" borderId="15" xfId="244" applyNumberFormat="1" applyFont="1" applyFill="1" applyBorder="1" applyAlignment="1">
      <alignment horizontal="center" vertical="center" wrapText="1"/>
    </xf>
    <xf numFmtId="49" fontId="33" fillId="36" borderId="16" xfId="244" applyNumberFormat="1" applyFont="1" applyFill="1" applyBorder="1" applyAlignment="1">
      <alignment horizontal="center" vertical="center" wrapText="1"/>
    </xf>
    <xf numFmtId="49" fontId="58" fillId="38" borderId="34" xfId="239" applyNumberFormat="1" applyFont="1" applyFill="1" applyBorder="1" applyAlignment="1">
      <alignment horizontal="left"/>
    </xf>
    <xf numFmtId="49" fontId="58" fillId="38" borderId="33" xfId="239" applyNumberFormat="1" applyFont="1" applyFill="1" applyBorder="1" applyAlignment="1">
      <alignment horizontal="left"/>
    </xf>
    <xf numFmtId="168" fontId="58" fillId="38" borderId="15" xfId="242" applyNumberFormat="1" applyFont="1" applyFill="1" applyBorder="1" applyAlignment="1">
      <alignment horizontal="left"/>
    </xf>
    <xf numFmtId="168" fontId="58" fillId="38" borderId="32" xfId="242" applyNumberFormat="1" applyFont="1" applyFill="1" applyBorder="1" applyAlignment="1">
      <alignment horizontal="left"/>
    </xf>
    <xf numFmtId="168" fontId="58" fillId="38" borderId="16" xfId="242" applyNumberFormat="1" applyFont="1" applyFill="1" applyBorder="1" applyAlignment="1">
      <alignment horizontal="left"/>
    </xf>
    <xf numFmtId="49" fontId="74" fillId="36" borderId="35" xfId="240" applyNumberFormat="1" applyFont="1" applyFill="1" applyBorder="1" applyAlignment="1">
      <alignment horizontal="center" vertical="center" wrapText="1"/>
    </xf>
    <xf numFmtId="49" fontId="74" fillId="36" borderId="36" xfId="240" applyNumberFormat="1" applyFont="1" applyFill="1" applyBorder="1" applyAlignment="1">
      <alignment horizontal="center" vertical="center" wrapText="1"/>
    </xf>
    <xf numFmtId="49" fontId="33" fillId="36" borderId="19" xfId="240" applyNumberFormat="1" applyFont="1" applyFill="1" applyBorder="1" applyAlignment="1">
      <alignment horizontal="center" vertical="center" wrapText="1"/>
    </xf>
    <xf numFmtId="49" fontId="33" fillId="36" borderId="20" xfId="240" applyNumberFormat="1" applyFont="1" applyFill="1" applyBorder="1" applyAlignment="1">
      <alignment horizontal="center" vertical="center" wrapText="1"/>
    </xf>
    <xf numFmtId="49" fontId="33" fillId="36" borderId="21" xfId="240" applyNumberFormat="1" applyFont="1" applyFill="1" applyBorder="1" applyAlignment="1">
      <alignment horizontal="center" vertical="center" wrapText="1"/>
    </xf>
    <xf numFmtId="49" fontId="33" fillId="36" borderId="35" xfId="240" applyNumberFormat="1" applyFont="1" applyFill="1" applyBorder="1" applyAlignment="1">
      <alignment horizontal="center" vertical="center" wrapText="1"/>
    </xf>
    <xf numFmtId="49" fontId="33" fillId="36" borderId="41" xfId="240" applyNumberFormat="1" applyFont="1" applyFill="1" applyBorder="1" applyAlignment="1">
      <alignment horizontal="center" vertical="center" wrapText="1"/>
    </xf>
    <xf numFmtId="49" fontId="33" fillId="36" borderId="36" xfId="240" applyNumberFormat="1" applyFont="1" applyFill="1" applyBorder="1" applyAlignment="1">
      <alignment horizontal="center" vertical="center" wrapText="1"/>
    </xf>
    <xf numFmtId="49" fontId="10" fillId="36" borderId="37" xfId="240" applyNumberFormat="1" applyFont="1" applyFill="1" applyBorder="1" applyAlignment="1">
      <alignment horizontal="center" vertical="center" wrapText="1"/>
    </xf>
    <xf numFmtId="49" fontId="10" fillId="36" borderId="38" xfId="240" applyNumberFormat="1" applyFont="1" applyFill="1" applyBorder="1" applyAlignment="1">
      <alignment horizontal="center" vertical="center" wrapText="1"/>
    </xf>
    <xf numFmtId="49" fontId="10" fillId="36" borderId="14" xfId="240" applyNumberFormat="1" applyFont="1" applyFill="1" applyBorder="1" applyAlignment="1">
      <alignment horizontal="center" vertical="center" wrapText="1"/>
    </xf>
    <xf numFmtId="49" fontId="10" fillId="36" borderId="12" xfId="240" applyNumberFormat="1" applyFont="1" applyFill="1" applyBorder="1" applyAlignment="1">
      <alignment horizontal="center" vertical="center" wrapText="1"/>
    </xf>
    <xf numFmtId="49" fontId="10" fillId="36" borderId="39" xfId="240" applyNumberFormat="1" applyFont="1" applyFill="1" applyBorder="1" applyAlignment="1">
      <alignment horizontal="center" vertical="center" wrapText="1"/>
    </xf>
    <xf numFmtId="49" fontId="10" fillId="36" borderId="40" xfId="240" applyNumberFormat="1" applyFont="1" applyFill="1" applyBorder="1" applyAlignment="1">
      <alignment horizontal="center" vertical="center" wrapText="1"/>
    </xf>
    <xf numFmtId="49" fontId="33" fillId="36" borderId="14" xfId="240" applyNumberFormat="1" applyFont="1" applyFill="1" applyBorder="1" applyAlignment="1">
      <alignment horizontal="center" vertical="center" wrapText="1"/>
    </xf>
    <xf numFmtId="49" fontId="33" fillId="36" borderId="12" xfId="240" applyNumberFormat="1" applyFont="1" applyFill="1" applyBorder="1" applyAlignment="1">
      <alignment horizontal="center" vertical="center" wrapText="1"/>
    </xf>
    <xf numFmtId="2" fontId="33" fillId="36" borderId="14" xfId="240" applyNumberFormat="1" applyFont="1" applyFill="1" applyBorder="1" applyAlignment="1">
      <alignment horizontal="center" vertical="center" wrapText="1"/>
    </xf>
    <xf numFmtId="2" fontId="33" fillId="36" borderId="12" xfId="240" applyNumberFormat="1" applyFont="1" applyFill="1" applyBorder="1" applyAlignment="1">
      <alignment horizontal="center" vertical="center" wrapText="1"/>
    </xf>
    <xf numFmtId="49" fontId="60" fillId="36" borderId="14" xfId="240" applyNumberFormat="1" applyFont="1" applyFill="1" applyBorder="1" applyAlignment="1">
      <alignment horizontal="center" vertical="center"/>
    </xf>
    <xf numFmtId="49" fontId="60" fillId="36" borderId="12" xfId="240" applyNumberFormat="1" applyFont="1" applyFill="1" applyBorder="1" applyAlignment="1">
      <alignment horizontal="center" vertical="center"/>
    </xf>
    <xf numFmtId="49" fontId="33" fillId="36" borderId="34" xfId="240" applyNumberFormat="1" applyFont="1" applyFill="1" applyBorder="1" applyAlignment="1">
      <alignment horizontal="center" vertical="center" wrapText="1"/>
    </xf>
    <xf numFmtId="49" fontId="33" fillId="36" borderId="11" xfId="240" applyNumberFormat="1" applyFont="1" applyFill="1" applyBorder="1" applyAlignment="1">
      <alignment horizontal="center" vertical="center" wrapText="1"/>
    </xf>
    <xf numFmtId="173" fontId="35" fillId="13" borderId="10" xfId="81" applyNumberFormat="1" applyFont="1" applyFill="1" applyBorder="1" applyAlignment="1" applyProtection="1">
      <alignment horizontal="center" vertical="center" wrapText="1"/>
    </xf>
  </cellXfs>
  <cellStyles count="277">
    <cellStyle name="_APL (B001)_Jan11_Rec 2" xfId="1" xr:uid="{29DDC1A0-B490-4E59-801A-2A5EC8075527}"/>
    <cellStyle name="=C:\WINNT\SYSTEM32\COMMAND.COM 2" xfId="2" xr:uid="{F46A23FE-6DD2-4782-9F5C-EDDD32212C49}"/>
    <cellStyle name="20% - Accent1" xfId="3" builtinId="30" customBuiltin="1"/>
    <cellStyle name="20% - Accent1 2" xfId="4" xr:uid="{E60D4810-7DC0-44BB-B82D-38412BDD0223}"/>
    <cellStyle name="20% - Accent2" xfId="5" builtinId="34" customBuiltin="1"/>
    <cellStyle name="20% - Accent2 2" xfId="6" xr:uid="{F9AF6DBD-5C99-4BAC-88FE-AEEC393A9927}"/>
    <cellStyle name="20% - Accent3" xfId="7" builtinId="38" customBuiltin="1"/>
    <cellStyle name="20% - Accent3 2" xfId="8" xr:uid="{D9867D68-5910-4CBD-852B-34E32FB7F472}"/>
    <cellStyle name="20% - Accent4" xfId="9" builtinId="42" customBuiltin="1"/>
    <cellStyle name="20% - Accent4 2" xfId="10" xr:uid="{3118C36D-4FAC-4EC3-BDCA-110A1F2D3AA0}"/>
    <cellStyle name="20% - Accent5" xfId="11" builtinId="46" customBuiltin="1"/>
    <cellStyle name="20% - Accent5 2" xfId="12" xr:uid="{B950B914-A3AF-418A-8227-6251CEC3630F}"/>
    <cellStyle name="20% - Accent6" xfId="13" builtinId="50" customBuiltin="1"/>
    <cellStyle name="20% - Accent6 2" xfId="14" xr:uid="{B619CDA3-8FE2-4E9A-BC07-8B7D695B1636}"/>
    <cellStyle name="40% - Accent1" xfId="15" builtinId="31" customBuiltin="1"/>
    <cellStyle name="40% - Accent1 2" xfId="16" xr:uid="{30991185-780C-4421-935F-A991779488E6}"/>
    <cellStyle name="40% - Accent2" xfId="17" builtinId="35" customBuiltin="1"/>
    <cellStyle name="40% - Accent2 2" xfId="18" xr:uid="{3C94C451-B19D-4DFF-977A-44F10D2F9B63}"/>
    <cellStyle name="40% - Accent3" xfId="19" builtinId="39" customBuiltin="1"/>
    <cellStyle name="40% - Accent3 2" xfId="20" xr:uid="{751D1434-63A7-44CA-9854-FFEE9342DC79}"/>
    <cellStyle name="40% - Accent4" xfId="21" builtinId="43" customBuiltin="1"/>
    <cellStyle name="40% - Accent4 2" xfId="22" xr:uid="{F2AAA652-62D8-49C6-831E-5C73DB12E2E8}"/>
    <cellStyle name="40% - Accent5" xfId="23" builtinId="47" customBuiltin="1"/>
    <cellStyle name="40% - Accent5 2" xfId="24" xr:uid="{2D80F1EA-6A67-4D62-92CE-D0890926DDBF}"/>
    <cellStyle name="40% - Accent6" xfId="25" builtinId="51" customBuiltin="1"/>
    <cellStyle name="40% - Accent6 2" xfId="26" xr:uid="{764832C2-96A2-4241-8CFB-D336F9BB582A}"/>
    <cellStyle name="60% - Accent1" xfId="27" builtinId="32" customBuiltin="1"/>
    <cellStyle name="60% - Accent1 2" xfId="28" xr:uid="{8BEAEB7C-02D0-4CFE-A239-C42DF098AEC2}"/>
    <cellStyle name="60% - Accent2" xfId="29" builtinId="36" customBuiltin="1"/>
    <cellStyle name="60% - Accent2 2" xfId="30" xr:uid="{6D4BA37A-3187-4685-8456-D6C714706FD9}"/>
    <cellStyle name="60% - Accent3" xfId="31" builtinId="40" customBuiltin="1"/>
    <cellStyle name="60% - Accent3 2" xfId="32" xr:uid="{30AEE5E9-9CCD-47CF-A102-F38F8A85A1F1}"/>
    <cellStyle name="60% - Accent4" xfId="33" builtinId="44" customBuiltin="1"/>
    <cellStyle name="60% - Accent4 2" xfId="34" xr:uid="{E2EA2D7B-997C-4F8B-A3DB-D30E5CCDCC59}"/>
    <cellStyle name="60% - Accent5" xfId="35" builtinId="48" customBuiltin="1"/>
    <cellStyle name="60% - Accent5 2" xfId="36" xr:uid="{12F8FBF0-16E9-4B6B-8B8D-694469F48DE0}"/>
    <cellStyle name="60% - Accent6" xfId="37" builtinId="52" customBuiltin="1"/>
    <cellStyle name="60% - Accent6 2" xfId="38" xr:uid="{6A709134-EEFB-4B21-988B-5B36D4BD62A9}"/>
    <cellStyle name="Accent1" xfId="39" builtinId="29" customBuiltin="1"/>
    <cellStyle name="Accent1 2" xfId="40" xr:uid="{D0965E83-0C87-445D-981C-253D1C9121E7}"/>
    <cellStyle name="Accent2" xfId="41" builtinId="33" customBuiltin="1"/>
    <cellStyle name="Accent2 2" xfId="42" xr:uid="{64EAA98E-E17D-40B1-8B08-A859726431A1}"/>
    <cellStyle name="Accent3" xfId="43" builtinId="37" customBuiltin="1"/>
    <cellStyle name="Accent3 2" xfId="44" xr:uid="{0F1229CB-8A9A-48B3-891A-F408E7CE125C}"/>
    <cellStyle name="Accent4" xfId="45" builtinId="41" customBuiltin="1"/>
    <cellStyle name="Accent4 2" xfId="46" xr:uid="{239DDAFC-BAF3-4367-90BC-07E5B61F3EBE}"/>
    <cellStyle name="Accent5" xfId="47" builtinId="45" customBuiltin="1"/>
    <cellStyle name="Accent5 2" xfId="48" xr:uid="{39812EBC-3A69-4318-8860-E305FC82E04D}"/>
    <cellStyle name="Accent6" xfId="49" builtinId="49" customBuiltin="1"/>
    <cellStyle name="Accent6 2" xfId="50" xr:uid="{0626A2BB-7909-4B53-BAB7-92C0A195C1DA}"/>
    <cellStyle name="Bad" xfId="51" builtinId="27" customBuiltin="1"/>
    <cellStyle name="Bad 2" xfId="52" xr:uid="{A8F57283-339C-4C2C-9718-E1176758A108}"/>
    <cellStyle name="Blockout" xfId="53" xr:uid="{197296DB-5253-4A1F-A19F-EE9E3E87F3BB}"/>
    <cellStyle name="Blockout 2" xfId="54" xr:uid="{1389A9AE-8AA0-4FDE-A7D1-C5B074A25C5C}"/>
    <cellStyle name="Blockout 2 2" xfId="55" xr:uid="{A1A21C0B-81E7-41AF-A76D-942373BF3792}"/>
    <cellStyle name="Blockout 2 2 2" xfId="56" xr:uid="{B6F2A10D-2C07-44EA-ACC4-381DD50F658E}"/>
    <cellStyle name="Blockout 2 2 2 2" xfId="57" xr:uid="{0C5A4C64-7A7C-4BD1-895E-02ED5B5B17AD}"/>
    <cellStyle name="Blockout 2 2 3" xfId="58" xr:uid="{8ECC8711-DC6B-4A0D-B0B6-2470F9633ACA}"/>
    <cellStyle name="Blockout 2 2 3 2" xfId="59" xr:uid="{B48834BE-1883-44DB-A301-6AC5EEE8FC19}"/>
    <cellStyle name="Blockout 2 2 4" xfId="60" xr:uid="{8A684D9B-62FF-4E0B-B9D2-AC616BA2DF55}"/>
    <cellStyle name="Blockout 2 2 5" xfId="61" xr:uid="{979E2444-7B26-43D9-AE10-1B4113EA9937}"/>
    <cellStyle name="Blockout 2 3" xfId="62" xr:uid="{90B7A1F1-8BC1-4051-8268-0151A59F4141}"/>
    <cellStyle name="Blockout 2 3 2" xfId="63" xr:uid="{FABC1835-DE07-4F36-8171-2FEDD38B48B2}"/>
    <cellStyle name="Blockout 2 4" xfId="64" xr:uid="{99CDDEA9-AB60-4464-8861-121003E7DECF}"/>
    <cellStyle name="Blockout 2 4 2" xfId="65" xr:uid="{A1304D89-DAAB-40A4-87E7-0BE89F2506E2}"/>
    <cellStyle name="Blockout 2 5" xfId="66" xr:uid="{9ED95EAF-4A38-4224-96FD-93DA799C1B7C}"/>
    <cellStyle name="Blockout 2 6" xfId="67" xr:uid="{02ABAA51-F027-4027-AF3C-77B8DDB9CA64}"/>
    <cellStyle name="Blockout 3" xfId="68" xr:uid="{13F43031-B564-41E6-84AD-36588E2B7A90}"/>
    <cellStyle name="Blockout 3 2" xfId="69" xr:uid="{4ECA89B8-B0B1-4F58-B163-C358497581EF}"/>
    <cellStyle name="Blockout 3 2 2" xfId="70" xr:uid="{0CC258E5-520B-4CA9-AEE4-A6371BEDE230}"/>
    <cellStyle name="Blockout 3 3" xfId="71" xr:uid="{289D1B25-2F1D-4B80-A8AF-26877C976041}"/>
    <cellStyle name="Blockout 3 3 2" xfId="72" xr:uid="{813F623D-72EF-4061-AD85-E7726B769EB5}"/>
    <cellStyle name="Blockout 3 4" xfId="73" xr:uid="{850011B2-7571-4714-807F-BCDAAF0A5D4A}"/>
    <cellStyle name="Blockout 3 5" xfId="74" xr:uid="{BA0B628B-D262-4D28-B589-396415607FF3}"/>
    <cellStyle name="Calculation" xfId="75" builtinId="22" customBuiltin="1"/>
    <cellStyle name="Calculation 2" xfId="76" xr:uid="{1E283818-2554-4A0C-899B-982FB12761E8}"/>
    <cellStyle name="Check Cell" xfId="77" builtinId="23" customBuiltin="1"/>
    <cellStyle name="Check Cell 2" xfId="78" xr:uid="{BE60B010-4A30-4528-9FC1-A6D89A361F6F}"/>
    <cellStyle name="Comma" xfId="79" builtinId="3"/>
    <cellStyle name="Comma 10" xfId="80" xr:uid="{BEB33560-70B9-4B0F-9DB5-AD428014AE3D}"/>
    <cellStyle name="Comma 10 2" xfId="81" xr:uid="{C332DADA-3E95-460F-814D-0B0BCC8312FF}"/>
    <cellStyle name="Comma 11" xfId="82" xr:uid="{557394DD-1CA6-41F7-8AB7-076333986BAD}"/>
    <cellStyle name="Comma 12" xfId="83" xr:uid="{42ECDECD-F9A8-48EF-ADED-A35C24D964C9}"/>
    <cellStyle name="Comma 13" xfId="84" xr:uid="{ED7E5779-7033-4707-AB2C-4185AEC6DE54}"/>
    <cellStyle name="Comma 14" xfId="272" xr:uid="{DFA577F9-3E7A-4823-8A15-C62C64220E8C}"/>
    <cellStyle name="Comma 16" xfId="275" xr:uid="{EB17D6B3-1DF3-4C16-8A2E-7A59B951B35F}"/>
    <cellStyle name="Comma 2" xfId="85" xr:uid="{320E4836-DF28-477C-8659-E3A8A0A0103A}"/>
    <cellStyle name="Comma 2 2" xfId="86" xr:uid="{702C0924-DD91-465F-932E-58D8884A90BE}"/>
    <cellStyle name="Comma 2 2 2" xfId="87" xr:uid="{545BE9D9-21DC-4DA6-933E-CA0A7F14ABE2}"/>
    <cellStyle name="Comma 2 2 2 2" xfId="88" xr:uid="{450FE608-EAEE-414A-9F47-2F4390CD85EC}"/>
    <cellStyle name="Comma 2 2 2 2 2" xfId="89" xr:uid="{9B152ED9-1CB3-48BD-AD71-B491478E83FB}"/>
    <cellStyle name="Comma 2 2 2 3" xfId="90" xr:uid="{765E1353-3B97-4141-87B2-F18E07D08D44}"/>
    <cellStyle name="Comma 2 2 3" xfId="91" xr:uid="{C8EE37E8-A199-4059-BBA2-FDB433AFFA99}"/>
    <cellStyle name="Comma 2 2 3 2" xfId="92" xr:uid="{1BAE7C87-509E-4C05-BEBB-E614FA875973}"/>
    <cellStyle name="Comma 2 2 4" xfId="93" xr:uid="{753221D7-A528-45AF-B33A-BB7832601BB5}"/>
    <cellStyle name="Comma 2 2 4 2" xfId="94" xr:uid="{62439724-AD13-48E2-B5C0-C859C585B023}"/>
    <cellStyle name="Comma 2 2 5" xfId="95" xr:uid="{D8B2FDFE-7A28-463C-A9EE-5D19D5A612AA}"/>
    <cellStyle name="Comma 2 2 6" xfId="96" xr:uid="{EC72458F-1DA9-48FC-BCC3-0A069E07F3FC}"/>
    <cellStyle name="Comma 2 3" xfId="97" xr:uid="{26C1E33A-77F9-4961-9838-6718E93A9463}"/>
    <cellStyle name="Comma 2 3 2" xfId="98" xr:uid="{0842F130-F636-4FCB-BC46-AC1A7F125F2F}"/>
    <cellStyle name="Comma 2 3 2 2" xfId="99" xr:uid="{C7057527-A5BA-4966-8BE7-317C2844A565}"/>
    <cellStyle name="Comma 2 3 3" xfId="100" xr:uid="{01023EF1-1662-4581-8462-B738A921CFF1}"/>
    <cellStyle name="Comma 2 4" xfId="101" xr:uid="{49DE27C7-8AE4-4D70-A4CB-696AFD704338}"/>
    <cellStyle name="Comma 2 4 2" xfId="102" xr:uid="{73BEE2A7-D212-4675-A494-A58C4A162666}"/>
    <cellStyle name="Comma 2 5" xfId="103" xr:uid="{FDDB3A68-7B57-42F9-9428-FD95034F02F4}"/>
    <cellStyle name="Comma 2 5 2" xfId="104" xr:uid="{80523150-2EC3-4E1A-963F-FE8474E60401}"/>
    <cellStyle name="Comma 2 5 3" xfId="105" xr:uid="{06D52C03-580B-4759-832A-FAA152E3FDEC}"/>
    <cellStyle name="Comma 2 6" xfId="106" xr:uid="{4A3ADFAA-F2F7-4FE1-8E2F-415F51537100}"/>
    <cellStyle name="Comma 2 7" xfId="107" xr:uid="{E5939C00-7CD6-4D6A-AC49-C1E661E6615F}"/>
    <cellStyle name="Comma 2 8" xfId="269" xr:uid="{44AD83AF-2B71-40BD-AE57-D626A1E4E411}"/>
    <cellStyle name="Comma 3" xfId="108" xr:uid="{0F0F9D59-8BF0-4C82-9069-84D768E0C7F7}"/>
    <cellStyle name="Comma 3 2" xfId="109" xr:uid="{9AE1D393-9F09-4327-AD10-4794940F95FA}"/>
    <cellStyle name="Comma 3 2 2" xfId="110" xr:uid="{F3B83E0E-1102-455C-81BA-B2DABA05B736}"/>
    <cellStyle name="Comma 3 2 2 2" xfId="111" xr:uid="{36FDFD16-116B-4D5E-98D3-717766D9309D}"/>
    <cellStyle name="Comma 3 2 3" xfId="112" xr:uid="{BB167938-DB76-45E9-B37C-655A38D8BFF3}"/>
    <cellStyle name="Comma 3 3" xfId="113" xr:uid="{21B04230-D7D5-4D63-90BC-3A5F25379470}"/>
    <cellStyle name="Comma 3 3 2" xfId="114" xr:uid="{60625DE5-52CA-4AE8-AB16-34992A10F6E2}"/>
    <cellStyle name="Comma 3 4" xfId="115" xr:uid="{C19ACC7B-FA4C-414A-951C-D7CBA907B98F}"/>
    <cellStyle name="Comma 3 4 2" xfId="116" xr:uid="{A8BB267E-EEA6-4F9C-917C-5DC511656CF3}"/>
    <cellStyle name="Comma 3 5" xfId="117" xr:uid="{AE145831-FBFA-44FD-9EBF-BEED4884A8FD}"/>
    <cellStyle name="Comma 3 6" xfId="118" xr:uid="{840BA3A0-ABF5-4610-902D-08D5C10FC581}"/>
    <cellStyle name="Comma 3 9" xfId="119" xr:uid="{F1772963-4C91-43F2-86F8-6E6411D720E7}"/>
    <cellStyle name="Comma 4" xfId="120" xr:uid="{FB682A90-0ABC-491F-B2E2-4860E09F36A8}"/>
    <cellStyle name="Comma 4 2" xfId="121" xr:uid="{DC42D361-BF6B-4E0F-AAA0-63134AEF2D24}"/>
    <cellStyle name="Comma 4 2 2" xfId="122" xr:uid="{60F05AA6-A518-4E27-8118-DCDA0C668D6A}"/>
    <cellStyle name="Comma 4 3" xfId="123" xr:uid="{B5138E0E-507A-43C6-971E-7C0B0E6F0E44}"/>
    <cellStyle name="Comma 4 3 2" xfId="124" xr:uid="{9906FEEE-B119-477B-BE76-D7B3FAD4C45E}"/>
    <cellStyle name="Comma 4 4" xfId="125" xr:uid="{C15A04A6-E16A-4FDA-896D-E0E5002239D1}"/>
    <cellStyle name="Comma 5" xfId="126" xr:uid="{5DE559D6-09DC-4530-A513-6B470CEA062D}"/>
    <cellStyle name="Comma 5 2" xfId="127" xr:uid="{59A4505A-BF4F-43B5-B691-29D0112693F6}"/>
    <cellStyle name="Comma 5 2 2" xfId="128" xr:uid="{A5822211-7898-4BF0-871A-00E2033078F3}"/>
    <cellStyle name="Comma 5 3" xfId="129" xr:uid="{63BF26D4-F551-44B6-AA47-263142A01ECD}"/>
    <cellStyle name="Comma 6" xfId="130" xr:uid="{D9FB4845-2E63-4B92-BA62-F200723EDC8A}"/>
    <cellStyle name="Comma 6 2" xfId="131" xr:uid="{54FE9E2E-9D90-43CB-B737-1481B1B4CD08}"/>
    <cellStyle name="Comma 6 2 2" xfId="132" xr:uid="{B0156B3A-A768-452A-B8F8-D3A249885EDD}"/>
    <cellStyle name="Comma 6 2 2 2" xfId="133" xr:uid="{AE7333F5-DE94-467A-8AB3-C07EAA7D6997}"/>
    <cellStyle name="Comma 6 2 2 2 2" xfId="134" xr:uid="{DE906C32-6082-45C5-963B-6C068372C8B9}"/>
    <cellStyle name="Comma 6 2 3" xfId="135" xr:uid="{1D0AAF7E-97F4-4D3D-AE3C-1279ACC06F40}"/>
    <cellStyle name="Comma 6 3" xfId="136" xr:uid="{5EE1D235-9E0F-4BD2-A7A1-827860C06860}"/>
    <cellStyle name="Comma 6 3 2" xfId="137" xr:uid="{7C668830-1CFD-4E11-8AA8-957544DB5E38}"/>
    <cellStyle name="Comma 6 4" xfId="138" xr:uid="{D06F3D38-8949-45F6-A828-265AC91A8800}"/>
    <cellStyle name="Comma 6 5" xfId="139" xr:uid="{67353625-0840-4201-888D-9BDB9C30153A}"/>
    <cellStyle name="Comma 7" xfId="140" xr:uid="{9DC50D77-8A35-4BBC-B8A9-4DB6F7EC698B}"/>
    <cellStyle name="Comma 7 2" xfId="141" xr:uid="{7BBA80B0-AB60-42AC-925F-08669E24A0C9}"/>
    <cellStyle name="Comma 7 2 2" xfId="142" xr:uid="{36291700-E102-4E02-ADD8-D2AE299377DC}"/>
    <cellStyle name="Comma 7 3" xfId="143" xr:uid="{96FA8600-CF00-406E-87DC-E175732701DE}"/>
    <cellStyle name="Comma 8" xfId="144" xr:uid="{840FC927-EC39-4C0F-97A8-792708A34615}"/>
    <cellStyle name="Comma 8 2" xfId="145" xr:uid="{84A9A440-DC45-447B-A31D-CB28232FCFF1}"/>
    <cellStyle name="Comma 8 2 2" xfId="146" xr:uid="{7D2638CB-246C-46DA-8A66-AA1891E1C186}"/>
    <cellStyle name="Comma 8 3" xfId="147" xr:uid="{8901330E-C1A0-4A28-B327-EC993730B40C}"/>
    <cellStyle name="Comma 9" xfId="148" xr:uid="{B7D9D0FC-1B57-4705-91BD-52DA0D605E5C}"/>
    <cellStyle name="Comma 9 2" xfId="149" xr:uid="{D72AF0D7-C1B3-45C3-8EF4-E3C2E1208B65}"/>
    <cellStyle name="Currency 2" xfId="150" xr:uid="{F03A306C-6360-46D3-A249-9EF7368F6E36}"/>
    <cellStyle name="Currency 2 2" xfId="151" xr:uid="{C59FB8EC-B09B-4F2E-BECA-89D62AB21CAA}"/>
    <cellStyle name="Currency 2 2 2" xfId="152" xr:uid="{22221936-AC3D-4BE4-819C-B9B2656AD15B}"/>
    <cellStyle name="Currency 2 3" xfId="153" xr:uid="{FF758D17-06E4-4B0C-BB2B-8771A01F9A31}"/>
    <cellStyle name="Currency 2 3 2" xfId="154" xr:uid="{2FE8816B-CC50-413B-998C-108BAAD62BAA}"/>
    <cellStyle name="Currency 2 4" xfId="155" xr:uid="{7E6A322C-3853-4302-B7BA-4DE80B88BEE3}"/>
    <cellStyle name="Currency 3" xfId="156" xr:uid="{CF885484-6D1A-41AA-A742-6D40B61B928D}"/>
    <cellStyle name="dms_H" xfId="157" xr:uid="{C8F0C572-F093-4091-9928-E1ED7756DED0}"/>
    <cellStyle name="dms_TopHeader" xfId="158" xr:uid="{2D1158B1-7905-4ED0-9380-6020FA3D67F2}"/>
    <cellStyle name="Explanatory Text" xfId="159" builtinId="53" customBuiltin="1"/>
    <cellStyle name="Good" xfId="160" builtinId="26" customBuiltin="1"/>
    <cellStyle name="Good 2" xfId="161" xr:uid="{BBB6DB6B-D7CE-4519-B9C8-338383A0D633}"/>
    <cellStyle name="Heading 1" xfId="162" builtinId="16" customBuiltin="1"/>
    <cellStyle name="Heading 2" xfId="163" builtinId="17" customBuiltin="1"/>
    <cellStyle name="Heading 3" xfId="164" builtinId="18" customBuiltin="1"/>
    <cellStyle name="Heading 4" xfId="165" builtinId="19" customBuiltin="1"/>
    <cellStyle name="Hyperlink" xfId="166" builtinId="8"/>
    <cellStyle name="Input" xfId="167" builtinId="20" customBuiltin="1"/>
    <cellStyle name="Input 2" xfId="168" xr:uid="{770A82A9-0E9F-40B6-91CA-D025E2DD48BA}"/>
    <cellStyle name="Input1" xfId="169" xr:uid="{7377D91C-9D91-47E5-A848-4C1A226F3529}"/>
    <cellStyle name="Input1 2" xfId="170" xr:uid="{417D932D-5707-4B2E-A45E-3460D79D25B4}"/>
    <cellStyle name="Input1 2 2" xfId="171" xr:uid="{C0C2D9EA-C445-43FF-8F8C-333AC5CF98A9}"/>
    <cellStyle name="Input1 2 2 2" xfId="172" xr:uid="{B841FAE4-7C26-4349-ABBF-AD75BE622347}"/>
    <cellStyle name="Input1 2 2 2 2" xfId="173" xr:uid="{AC8FB58D-3C01-4E69-BAB3-B871AB9C6FD6}"/>
    <cellStyle name="Input1 2 2 3" xfId="174" xr:uid="{EB9569D3-276B-41C5-BE74-7EF344A8F12B}"/>
    <cellStyle name="Input1 2 2 3 2" xfId="175" xr:uid="{E15D9D7D-1EF5-4901-8BFF-B7357578355D}"/>
    <cellStyle name="Input1 2 2 4" xfId="176" xr:uid="{8003B571-2219-4A49-8E10-68F8E79D21A8}"/>
    <cellStyle name="Input1 2 2 5" xfId="177" xr:uid="{697CBF24-4A69-4F89-9C64-086BA62F3EF7}"/>
    <cellStyle name="Input1 2 3" xfId="178" xr:uid="{4C6E315D-4A0B-4DD6-ACE2-151F6CF8C1E6}"/>
    <cellStyle name="Input1 2 3 2" xfId="179" xr:uid="{9FECEC1F-07E6-4D2E-B056-581305CF5A41}"/>
    <cellStyle name="Input1 2 4" xfId="180" xr:uid="{B9C52E40-1FFF-4936-9899-9CDDB26E4DA6}"/>
    <cellStyle name="Input1 2 4 2" xfId="181" xr:uid="{A26DA424-A32B-4110-BAF6-659D26D73CD9}"/>
    <cellStyle name="Input1 2 5" xfId="182" xr:uid="{576C42BC-E181-4BDA-828D-ED62F2A0FE60}"/>
    <cellStyle name="Input1 2 6" xfId="183" xr:uid="{A37CE41E-A1C2-4628-838A-72CD159F49D9}"/>
    <cellStyle name="Input1 3" xfId="184" xr:uid="{0163364B-D1D3-4394-9BAB-C09B2094C2C9}"/>
    <cellStyle name="Input1 3 2" xfId="185" xr:uid="{100EFC4D-36AA-463E-BAC5-19F34E8DC525}"/>
    <cellStyle name="Input1 3 2 2" xfId="186" xr:uid="{EFC27DD0-25C3-4CF2-AD3A-B76EF11BA8E9}"/>
    <cellStyle name="Input1 3 3" xfId="187" xr:uid="{2B600349-1854-407B-BA2D-BF57AB4322B4}"/>
    <cellStyle name="Input1 3 3 2" xfId="188" xr:uid="{541E67DE-F03E-4BA3-AF91-9002FF1DCD8B}"/>
    <cellStyle name="Input1 3 4" xfId="189" xr:uid="{FD8B1165-EA61-4F2A-A53F-F34C0599B2C3}"/>
    <cellStyle name="Input1 3 5" xfId="190" xr:uid="{C48DB3C2-B66F-48A6-99E0-EF857949D9A8}"/>
    <cellStyle name="Input1 4" xfId="191" xr:uid="{08DFCD0A-1487-44E8-8EF7-3EBFC027A3C4}"/>
    <cellStyle name="Input1 4 2" xfId="192" xr:uid="{8400F51E-DA7A-4BD2-A982-5645F50CDAF0}"/>
    <cellStyle name="Input2" xfId="193" xr:uid="{CA6F541D-C501-42F0-B3EE-B3628F3EBA72}"/>
    <cellStyle name="Input2 2" xfId="194" xr:uid="{B3A8E6E7-77E4-424C-8D47-1C1A4077F138}"/>
    <cellStyle name="Input2 2 2" xfId="195" xr:uid="{2A91BDFA-6FD2-4CDB-AB20-C3A530410F6D}"/>
    <cellStyle name="Input3" xfId="196" xr:uid="{DA71C0C8-685C-4D51-B432-C3A019B08B1D}"/>
    <cellStyle name="Input3 2" xfId="197" xr:uid="{8B8A6204-79BD-4531-A369-9739D2533E1F}"/>
    <cellStyle name="Input3 2 2" xfId="198" xr:uid="{7F2148C3-2776-4A68-B8F1-CD0FE15D08EF}"/>
    <cellStyle name="Input3 2 2 2" xfId="199" xr:uid="{08F4B239-0010-4EF5-A731-CBDECE3F0201}"/>
    <cellStyle name="Input3 2 2 2 2" xfId="200" xr:uid="{27E12190-9F33-495C-BFD4-0D15107FCA23}"/>
    <cellStyle name="Input3 2 2 3" xfId="201" xr:uid="{B1DE49F0-A996-4A99-9295-FCDEB473B474}"/>
    <cellStyle name="Input3 2 2 3 2" xfId="202" xr:uid="{E06D6092-8009-4EBB-A473-41BEB05F01A2}"/>
    <cellStyle name="Input3 2 2 4" xfId="203" xr:uid="{74431FD9-49D1-4CF1-9622-8CCD0C6AA4FE}"/>
    <cellStyle name="Input3 2 2 5" xfId="204" xr:uid="{AB76E4F3-89AF-49A9-82D5-52419665958B}"/>
    <cellStyle name="Input3 2 3" xfId="205" xr:uid="{B505B282-4A6D-4FDC-868D-93BBA96A9DAE}"/>
    <cellStyle name="Input3 2 3 2" xfId="206" xr:uid="{CC25C719-A55A-4FF0-93F8-C0CCD6CA559A}"/>
    <cellStyle name="Input3 2 4" xfId="207" xr:uid="{8FCEC4BD-D497-4ECE-A4E2-E9902B74561A}"/>
    <cellStyle name="Input3 2 4 2" xfId="208" xr:uid="{E6FC76D0-7740-4C63-86AF-D881CD4470DD}"/>
    <cellStyle name="Input3 2 5" xfId="209" xr:uid="{600C4F40-EF0B-45DC-9DC6-CC31A940F354}"/>
    <cellStyle name="Input3 2 6" xfId="210" xr:uid="{158B7825-B769-4CDD-9322-6B0823C3D6E8}"/>
    <cellStyle name="Input3 3" xfId="211" xr:uid="{2DC2E3BA-B65A-453C-B2C6-AF92F593693B}"/>
    <cellStyle name="Input3 3 2" xfId="212" xr:uid="{F85BBA49-5C6C-40C2-A0C9-DD8AD12AF7E2}"/>
    <cellStyle name="Input3 3 2 2" xfId="213" xr:uid="{54CCA858-9ABB-428A-A2A1-155EA989ED70}"/>
    <cellStyle name="Input3 3 3" xfId="214" xr:uid="{88FD855B-A48D-4179-B164-797EA25473A0}"/>
    <cellStyle name="Input3 3 3 2" xfId="215" xr:uid="{FD5F9CCD-5BF6-4904-819F-241970C5F68A}"/>
    <cellStyle name="Input3 3 4" xfId="216" xr:uid="{680374E1-5616-4CAB-BE13-5B7D695761F0}"/>
    <cellStyle name="Input3 3 5" xfId="217" xr:uid="{775373D6-7A20-45F5-80AD-631570EADBE8}"/>
    <cellStyle name="Linked Cell" xfId="218" builtinId="24" customBuiltin="1"/>
    <cellStyle name="Neutral" xfId="219" builtinId="28" customBuiltin="1"/>
    <cellStyle name="Neutral 2" xfId="220" xr:uid="{90D9896F-3E5C-4284-9087-7522248B3A8E}"/>
    <cellStyle name="Normal" xfId="0" builtinId="0"/>
    <cellStyle name="Normal 15" xfId="221" xr:uid="{B490D917-5A2B-4DC5-8AD7-2A9B2FE037A4}"/>
    <cellStyle name="Normal 2" xfId="222" xr:uid="{E7313C20-F0CE-4446-9FCD-1E46EA8DB665}"/>
    <cellStyle name="Normal 2 2" xfId="223" xr:uid="{CE5FACAE-84B9-4311-9983-1F3A3E755771}"/>
    <cellStyle name="Normal 2 2 2" xfId="224" xr:uid="{A678091A-CD08-4522-8AD7-3B567F38C9C6}"/>
    <cellStyle name="Normal 2 3" xfId="274" xr:uid="{1119CE2C-8F5E-4AA1-8F63-B4F4A4F3ACC5}"/>
    <cellStyle name="Normal 2 4 3" xfId="225" xr:uid="{2DEBE689-ED36-4947-B318-9A0A00C2B01B}"/>
    <cellStyle name="Normal 3" xfId="226" xr:uid="{BD6EB291-A3C8-4592-AFD8-02BC5C3A63A1}"/>
    <cellStyle name="Normal 3 2" xfId="227" xr:uid="{BBDBEAF2-A82E-43E0-81F4-DF19AF78B131}"/>
    <cellStyle name="Normal 3 2 2" xfId="228" xr:uid="{B4E30051-975D-4200-BB03-E571025F4E79}"/>
    <cellStyle name="Normal 3 3" xfId="229" xr:uid="{920C785A-684F-47C3-8814-D9F4658913E5}"/>
    <cellStyle name="Normal 3 3 2" xfId="230" xr:uid="{90FE2E20-A994-4FFF-A9C1-63BAF0315428}"/>
    <cellStyle name="Normal 3 4" xfId="267" xr:uid="{B86B0C8A-7397-464B-99E1-9CBF989F11B1}"/>
    <cellStyle name="Normal 4" xfId="231" xr:uid="{4DDC153E-91EC-4D7A-BD5D-0BBD53F4D374}"/>
    <cellStyle name="Normal 4 2" xfId="270" xr:uid="{A5C0E23C-59CC-44C6-BBF2-80BFB0E1B2E6}"/>
    <cellStyle name="Normal 4 4" xfId="232" xr:uid="{52C0C0DF-EA22-4095-93EB-85825E9A26FF}"/>
    <cellStyle name="Normal 5" xfId="233" xr:uid="{3F4724CC-0CB4-4394-A04C-6F77B8104BCF}"/>
    <cellStyle name="Normal 6" xfId="234" xr:uid="{C6084C20-7DED-4372-9D55-01AD95525663}"/>
    <cellStyle name="Normal 7" xfId="271" xr:uid="{324A6D81-B42C-45D1-9CEF-F827D99F6C49}"/>
    <cellStyle name="Normal 8" xfId="273" xr:uid="{37A302C2-4322-4475-83B2-B1CC5B28EFF2}"/>
    <cellStyle name="Normal_2010 06 02 - Urgent RIN for Vic DNSPs revised proposals" xfId="235" xr:uid="{C4EE9693-531F-4F84-88DE-8786E0E749AB}"/>
    <cellStyle name="Normal_2010 06 22 - AA - Scheme Templates for data collection" xfId="236" xr:uid="{3EF25084-230D-40D1-8377-DF7C9B37CF1C}"/>
    <cellStyle name="Normal_2010 06 22 - IE - Scheme Template for data collection" xfId="237" xr:uid="{369267E9-3A83-4E3F-A273-2C267EE32C78}"/>
    <cellStyle name="Normal_Book1" xfId="238" xr:uid="{E38B3498-B1C0-447D-B29A-D3878ABA236F}"/>
    <cellStyle name="Normal_D11 2371025  Financial information - 2012 Draft RIN - Ausgrid" xfId="239" xr:uid="{510A6861-F4BE-4404-8355-D4C347CF8D5A}"/>
    <cellStyle name="Normal_D11 2371025  Financial information - 2012 Draft RIN - Ausgrid 2" xfId="240" xr:uid="{BEB2D085-F585-43F3-B47E-196E07BE295B}"/>
    <cellStyle name="Normal_D12 1569  Opex, DMIS, EBSS - 2012 draft RIN - Ausgrid" xfId="241" xr:uid="{8EC7B3E1-1121-49CB-BA8B-EA516B5B394F}"/>
    <cellStyle name="Normal_D12 16703  Overheads, Avoided Cost, ACS, Demand and Revenue - 2012 draft RIN - Ausgrid" xfId="242" xr:uid="{7B2A308C-18FA-481D-B0E5-9B3C13B48BA8}"/>
    <cellStyle name="Normal_D12 16703  Overheads, Avoided Cost, ACS, Demand and Revenue - 2012 draft RIN - Ausgrid 2" xfId="243" xr:uid="{77B31C05-7334-4448-8F26-7259AA9FDCFE}"/>
    <cellStyle name="Normal_Sheet1" xfId="244" xr:uid="{A3278248-9EF6-4FA8-8460-CAC1E02F820E}"/>
    <cellStyle name="Normal_Sheet1 2" xfId="245" xr:uid="{5A7A7B21-F15B-4569-A743-4074845BCF61}"/>
    <cellStyle name="Note" xfId="246" builtinId="10" customBuiltin="1"/>
    <cellStyle name="Note 2" xfId="247" xr:uid="{2FC775A2-6211-44D4-9E6C-A058B0AEE4DC}"/>
    <cellStyle name="Note 2 2" xfId="248" xr:uid="{00EBAF79-99C5-41E8-A148-62175F0C4D68}"/>
    <cellStyle name="Output" xfId="249" builtinId="21" customBuiltin="1"/>
    <cellStyle name="Output 2" xfId="250" xr:uid="{FFB49440-953A-40B8-98AB-D847CEBB297D}"/>
    <cellStyle name="Per cent" xfId="251" builtinId="5"/>
    <cellStyle name="Per cent 2" xfId="252" xr:uid="{E878ED05-A0A7-4AB2-8F1B-DD7AEBB76DC6}"/>
    <cellStyle name="Per cent 3" xfId="276" xr:uid="{204AC29A-2064-40A0-A1A6-10771B2BF430}"/>
    <cellStyle name="Percent 2" xfId="253" xr:uid="{9B5B02FA-93E7-4204-A57D-2CDF46F5A158}"/>
    <cellStyle name="Percent 2 2" xfId="254" xr:uid="{051343BE-9C69-4483-8E1B-88F6531E012E}"/>
    <cellStyle name="Percent 2 2 2" xfId="268" xr:uid="{A2892840-E2B9-4E29-97EB-17DBFF9CFFF5}"/>
    <cellStyle name="Percent 3" xfId="255" xr:uid="{10F575CF-43B0-40B5-BC4D-EDF6E58DBA8E}"/>
    <cellStyle name="Style 1" xfId="256" xr:uid="{7F1C4C9D-11E5-4761-8EEF-F5F306D26A94}"/>
    <cellStyle name="Style 1 2" xfId="257" xr:uid="{BB6876C3-857A-4968-8F03-079172716A60}"/>
    <cellStyle name="Style 1 2 2" xfId="258" xr:uid="{CBC7FBE6-9A9C-4A0C-8D27-95DA1242B525}"/>
    <cellStyle name="Style 1 2 2 2" xfId="259" xr:uid="{4AE130A0-2F22-4DCB-9A13-97CA0B01302E}"/>
    <cellStyle name="Style 1 3" xfId="260" xr:uid="{B8FD7466-E25F-4F88-98DD-477D195A4995}"/>
    <cellStyle name="Style 1 3 2" xfId="261" xr:uid="{18144FFF-DCA3-4678-AD15-F66D53DBC09B}"/>
    <cellStyle name="Style 1 4" xfId="262" xr:uid="{4DC5425E-1BD8-44C0-B523-3E5A54235E64}"/>
    <cellStyle name="Style 1 4 2" xfId="263" xr:uid="{A2511D1F-E4D9-4A44-B78B-32BF74DD537C}"/>
    <cellStyle name="Title" xfId="264" builtinId="15" customBuiltin="1"/>
    <cellStyle name="Total" xfId="265" builtinId="25" customBuiltin="1"/>
    <cellStyle name="Warning Text" xfId="266"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5"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12EF-42B6-874F-AB4AC7F34B4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12EF-42B6-874F-AB4AC7F34B4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12EF-42B6-874F-AB4AC7F34B4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12EF-42B6-874F-AB4AC7F34B4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12EF-42B6-874F-AB4AC7F34B4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12EF-42B6-874F-AB4AC7F34B4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12EF-42B6-874F-AB4AC7F34B4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2EF-42B6-874F-AB4AC7F34B4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12EF-42B6-874F-AB4AC7F34B45}"/>
              </c:ext>
            </c:extLst>
          </c:dPt>
          <c:dPt>
            <c:idx val="9"/>
            <c:bubble3D val="0"/>
            <c:extLst>
              <c:ext xmlns:c16="http://schemas.microsoft.com/office/drawing/2014/chart" uri="{C3380CC4-5D6E-409C-BE32-E72D297353CC}">
                <c16:uniqueId val="{00000009-12EF-42B6-874F-AB4AC7F34B45}"/>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12EF-42B6-874F-AB4AC7F34B45}"/>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12EF-42B6-874F-AB4AC7F34B45}"/>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12EF-42B6-874F-AB4AC7F34B45}"/>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12EF-42B6-874F-AB4AC7F34B45}"/>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12EF-42B6-874F-AB4AC7F34B45}"/>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12EF-42B6-874F-AB4AC7F34B45}"/>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12EF-42B6-874F-AB4AC7F34B45}"/>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381062978.54786742</c:v>
                </c:pt>
                <c:pt idx="1">
                  <c:v>0</c:v>
                </c:pt>
                <c:pt idx="2">
                  <c:v>1385316.0122261832</c:v>
                </c:pt>
                <c:pt idx="3">
                  <c:v>78879120.516822681</c:v>
                </c:pt>
                <c:pt idx="4">
                  <c:v>573727.70580036519</c:v>
                </c:pt>
                <c:pt idx="5">
                  <c:v>9369996.1802048124</c:v>
                </c:pt>
                <c:pt idx="6">
                  <c:v>3203498.4328596229</c:v>
                </c:pt>
                <c:pt idx="7">
                  <c:v>327794.35825455218</c:v>
                </c:pt>
                <c:pt idx="8">
                  <c:v>609353.94435468421</c:v>
                </c:pt>
                <c:pt idx="9">
                  <c:v>15809886.352295568</c:v>
                </c:pt>
              </c:numCache>
            </c:numRef>
          </c:val>
          <c:extLst>
            <c:ext xmlns:c16="http://schemas.microsoft.com/office/drawing/2014/chart" uri="{C3380CC4-5D6E-409C-BE32-E72D297353CC}">
              <c16:uniqueId val="{0000000A-12EF-42B6-874F-AB4AC7F34B4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31393743307859712"/>
          <c:y val="5.882504686914136E-3"/>
          <c:w val="0.6691436766280503"/>
          <c:h val="0.75531782527184099"/>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43AF-46DD-962E-001C3CEED41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3AF-46DD-962E-001C3CEED41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43AF-46DD-962E-001C3CEED41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43AF-46DD-962E-001C3CEED41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43AF-46DD-962E-001C3CEED41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43AF-46DD-962E-001C3CEED411}"/>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43AF-46DD-962E-001C3CEED41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43AF-46DD-962E-001C3CEED411}"/>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43AF-46DD-962E-001C3CEED411}"/>
              </c:ext>
            </c:extLst>
          </c:dPt>
          <c:dPt>
            <c:idx val="9"/>
            <c:bubble3D val="0"/>
            <c:extLst>
              <c:ext xmlns:c16="http://schemas.microsoft.com/office/drawing/2014/chart" uri="{C3380CC4-5D6E-409C-BE32-E72D297353CC}">
                <c16:uniqueId val="{00000009-43AF-46DD-962E-001C3CEED411}"/>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3AF-46DD-962E-001C3CEED411}"/>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3AF-46DD-962E-001C3CEED411}"/>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3AF-46DD-962E-001C3CEED411}"/>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3AF-46DD-962E-001C3CEED411}"/>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3AF-46DD-962E-001C3CEED411}"/>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43AF-46DD-962E-001C3CEED411}"/>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43AF-46DD-962E-001C3CEED411}"/>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194839039.40095478</c:v>
                </c:pt>
                <c:pt idx="1">
                  <c:v>0</c:v>
                </c:pt>
                <c:pt idx="2">
                  <c:v>708317.67000164115</c:v>
                </c:pt>
                <c:pt idx="3">
                  <c:v>40331212.779725119</c:v>
                </c:pt>
                <c:pt idx="4">
                  <c:v>293349.29229241528</c:v>
                </c:pt>
                <c:pt idx="5">
                  <c:v>4790916.876519382</c:v>
                </c:pt>
                <c:pt idx="6">
                  <c:v>1637961.6822378556</c:v>
                </c:pt>
                <c:pt idx="7">
                  <c:v>167602.57878304139</c:v>
                </c:pt>
                <c:pt idx="8">
                  <c:v>311565.13189941295</c:v>
                </c:pt>
                <c:pt idx="9">
                  <c:v>8083658.7213433245</c:v>
                </c:pt>
              </c:numCache>
            </c:numRef>
          </c:val>
          <c:extLst>
            <c:ext xmlns:c16="http://schemas.microsoft.com/office/drawing/2014/chart" uri="{C3380CC4-5D6E-409C-BE32-E72D297353CC}">
              <c16:uniqueId val="{0000000A-43AF-46DD-962E-001C3CEED411}"/>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38746341173372745"/>
          <c:y val="5.8894754860447937E-3"/>
          <c:w val="0.58410593821403389"/>
          <c:h val="0.76091953608773732"/>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749.97</c:v>
                </c:pt>
                <c:pt idx="1">
                  <c:v>749.97</c:v>
                </c:pt>
                <c:pt idx="2">
                  <c:v>749.97</c:v>
                </c:pt>
                <c:pt idx="3">
                  <c:v>749.97</c:v>
                </c:pt>
                <c:pt idx="4">
                  <c:v>749.97</c:v>
                </c:pt>
                <c:pt idx="5">
                  <c:v>749.97</c:v>
                </c:pt>
                <c:pt idx="6">
                  <c:v>749.97</c:v>
                </c:pt>
                <c:pt idx="7">
                  <c:v>749.97</c:v>
                </c:pt>
                <c:pt idx="8">
                  <c:v>749.97</c:v>
                </c:pt>
                <c:pt idx="9">
                  <c:v>749.97</c:v>
                </c:pt>
                <c:pt idx="10">
                  <c:v>749.97</c:v>
                </c:pt>
                <c:pt idx="11">
                  <c:v>749.97</c:v>
                </c:pt>
                <c:pt idx="12">
                  <c:v>749.97</c:v>
                </c:pt>
                <c:pt idx="13">
                  <c:v>749.97</c:v>
                </c:pt>
                <c:pt idx="14">
                  <c:v>749.97</c:v>
                </c:pt>
                <c:pt idx="15">
                  <c:v>749.97</c:v>
                </c:pt>
                <c:pt idx="16">
                  <c:v>749.97</c:v>
                </c:pt>
                <c:pt idx="17">
                  <c:v>749.97</c:v>
                </c:pt>
                <c:pt idx="18">
                  <c:v>749.97</c:v>
                </c:pt>
                <c:pt idx="19">
                  <c:v>749.97</c:v>
                </c:pt>
                <c:pt idx="20">
                  <c:v>749.97</c:v>
                </c:pt>
                <c:pt idx="21">
                  <c:v>749.97</c:v>
                </c:pt>
                <c:pt idx="22">
                  <c:v>749.97</c:v>
                </c:pt>
                <c:pt idx="23">
                  <c:v>749.97</c:v>
                </c:pt>
                <c:pt idx="24">
                  <c:v>749.97</c:v>
                </c:pt>
                <c:pt idx="25">
                  <c:v>749.97</c:v>
                </c:pt>
                <c:pt idx="26">
                  <c:v>749.97</c:v>
                </c:pt>
                <c:pt idx="27">
                  <c:v>749.97</c:v>
                </c:pt>
                <c:pt idx="28">
                  <c:v>749.97</c:v>
                </c:pt>
                <c:pt idx="29">
                  <c:v>749.97</c:v>
                </c:pt>
                <c:pt idx="30">
                  <c:v>749.97</c:v>
                </c:pt>
                <c:pt idx="31">
                  <c:v>749.97</c:v>
                </c:pt>
                <c:pt idx="32">
                  <c:v>749.97</c:v>
                </c:pt>
                <c:pt idx="33">
                  <c:v>749.97</c:v>
                </c:pt>
                <c:pt idx="34">
                  <c:v>749.97</c:v>
                </c:pt>
                <c:pt idx="35">
                  <c:v>749.97</c:v>
                </c:pt>
                <c:pt idx="36">
                  <c:v>749.97</c:v>
                </c:pt>
                <c:pt idx="37">
                  <c:v>749.97</c:v>
                </c:pt>
                <c:pt idx="38">
                  <c:v>749.97</c:v>
                </c:pt>
                <c:pt idx="39">
                  <c:v>749.97</c:v>
                </c:pt>
                <c:pt idx="40">
                  <c:v>749.97</c:v>
                </c:pt>
                <c:pt idx="41">
                  <c:v>749.97</c:v>
                </c:pt>
                <c:pt idx="42">
                  <c:v>749.97</c:v>
                </c:pt>
                <c:pt idx="43">
                  <c:v>749.97</c:v>
                </c:pt>
                <c:pt idx="44">
                  <c:v>749.97</c:v>
                </c:pt>
                <c:pt idx="45">
                  <c:v>749.97</c:v>
                </c:pt>
                <c:pt idx="46">
                  <c:v>749.97</c:v>
                </c:pt>
                <c:pt idx="47">
                  <c:v>749.97</c:v>
                </c:pt>
                <c:pt idx="48">
                  <c:v>749.97</c:v>
                </c:pt>
                <c:pt idx="49">
                  <c:v>749.97</c:v>
                </c:pt>
                <c:pt idx="50">
                  <c:v>749.97</c:v>
                </c:pt>
                <c:pt idx="51">
                  <c:v>749.97</c:v>
                </c:pt>
                <c:pt idx="52">
                  <c:v>749.97</c:v>
                </c:pt>
                <c:pt idx="53">
                  <c:v>749.97</c:v>
                </c:pt>
                <c:pt idx="54">
                  <c:v>749.97</c:v>
                </c:pt>
                <c:pt idx="55">
                  <c:v>749.97</c:v>
                </c:pt>
                <c:pt idx="56">
                  <c:v>749.97</c:v>
                </c:pt>
                <c:pt idx="57">
                  <c:v>749.97</c:v>
                </c:pt>
                <c:pt idx="58">
                  <c:v>749.97</c:v>
                </c:pt>
                <c:pt idx="59">
                  <c:v>749.97</c:v>
                </c:pt>
                <c:pt idx="60">
                  <c:v>749.97</c:v>
                </c:pt>
                <c:pt idx="61">
                  <c:v>749.97</c:v>
                </c:pt>
                <c:pt idx="62">
                  <c:v>769.97</c:v>
                </c:pt>
                <c:pt idx="63">
                  <c:v>769.97</c:v>
                </c:pt>
                <c:pt idx="64">
                  <c:v>769.97</c:v>
                </c:pt>
                <c:pt idx="65">
                  <c:v>769.97</c:v>
                </c:pt>
                <c:pt idx="66">
                  <c:v>769.97</c:v>
                </c:pt>
                <c:pt idx="67">
                  <c:v>769.97</c:v>
                </c:pt>
                <c:pt idx="68">
                  <c:v>769.97</c:v>
                </c:pt>
                <c:pt idx="69">
                  <c:v>769.97</c:v>
                </c:pt>
                <c:pt idx="70">
                  <c:v>769.97</c:v>
                </c:pt>
                <c:pt idx="71">
                  <c:v>769.97</c:v>
                </c:pt>
                <c:pt idx="72">
                  <c:v>769.97</c:v>
                </c:pt>
                <c:pt idx="73">
                  <c:v>769.97</c:v>
                </c:pt>
                <c:pt idx="74">
                  <c:v>769.97</c:v>
                </c:pt>
                <c:pt idx="75">
                  <c:v>769.97</c:v>
                </c:pt>
                <c:pt idx="76">
                  <c:v>769.97</c:v>
                </c:pt>
                <c:pt idx="77">
                  <c:v>769.97</c:v>
                </c:pt>
                <c:pt idx="78">
                  <c:v>769.97</c:v>
                </c:pt>
                <c:pt idx="79">
                  <c:v>769.97</c:v>
                </c:pt>
                <c:pt idx="80">
                  <c:v>769.97</c:v>
                </c:pt>
                <c:pt idx="81">
                  <c:v>769.97</c:v>
                </c:pt>
                <c:pt idx="82">
                  <c:v>769.97</c:v>
                </c:pt>
                <c:pt idx="83">
                  <c:v>769.97</c:v>
                </c:pt>
                <c:pt idx="84">
                  <c:v>769.97</c:v>
                </c:pt>
                <c:pt idx="85">
                  <c:v>769.97</c:v>
                </c:pt>
                <c:pt idx="86">
                  <c:v>769.97</c:v>
                </c:pt>
                <c:pt idx="87">
                  <c:v>769.97</c:v>
                </c:pt>
                <c:pt idx="88">
                  <c:v>769.97</c:v>
                </c:pt>
                <c:pt idx="89">
                  <c:v>769.97</c:v>
                </c:pt>
                <c:pt idx="90">
                  <c:v>769.97</c:v>
                </c:pt>
                <c:pt idx="91">
                  <c:v>769.97</c:v>
                </c:pt>
                <c:pt idx="92">
                  <c:v>590.97</c:v>
                </c:pt>
                <c:pt idx="93">
                  <c:v>590.97</c:v>
                </c:pt>
                <c:pt idx="94">
                  <c:v>590.97</c:v>
                </c:pt>
                <c:pt idx="95">
                  <c:v>590.97</c:v>
                </c:pt>
                <c:pt idx="96">
                  <c:v>590.97</c:v>
                </c:pt>
                <c:pt idx="97">
                  <c:v>590.97</c:v>
                </c:pt>
                <c:pt idx="98">
                  <c:v>590.97</c:v>
                </c:pt>
                <c:pt idx="99">
                  <c:v>590.97</c:v>
                </c:pt>
                <c:pt idx="100">
                  <c:v>590.97</c:v>
                </c:pt>
                <c:pt idx="101">
                  <c:v>590.97</c:v>
                </c:pt>
                <c:pt idx="102">
                  <c:v>590.97</c:v>
                </c:pt>
                <c:pt idx="103">
                  <c:v>590.97</c:v>
                </c:pt>
                <c:pt idx="104">
                  <c:v>590.97</c:v>
                </c:pt>
                <c:pt idx="105">
                  <c:v>590.97</c:v>
                </c:pt>
                <c:pt idx="106">
                  <c:v>590.97</c:v>
                </c:pt>
                <c:pt idx="107">
                  <c:v>590.97</c:v>
                </c:pt>
                <c:pt idx="108">
                  <c:v>590.97</c:v>
                </c:pt>
                <c:pt idx="109">
                  <c:v>590.97</c:v>
                </c:pt>
                <c:pt idx="110">
                  <c:v>590.97</c:v>
                </c:pt>
                <c:pt idx="111">
                  <c:v>590.97</c:v>
                </c:pt>
                <c:pt idx="112">
                  <c:v>590.97</c:v>
                </c:pt>
                <c:pt idx="113">
                  <c:v>590.97</c:v>
                </c:pt>
                <c:pt idx="114">
                  <c:v>590.97</c:v>
                </c:pt>
                <c:pt idx="115">
                  <c:v>590.97</c:v>
                </c:pt>
                <c:pt idx="116">
                  <c:v>590.97</c:v>
                </c:pt>
                <c:pt idx="117">
                  <c:v>590.97</c:v>
                </c:pt>
                <c:pt idx="118">
                  <c:v>590.97</c:v>
                </c:pt>
                <c:pt idx="119">
                  <c:v>590.97</c:v>
                </c:pt>
                <c:pt idx="120">
                  <c:v>590.97</c:v>
                </c:pt>
                <c:pt idx="121">
                  <c:v>590.97</c:v>
                </c:pt>
                <c:pt idx="122">
                  <c:v>590.97</c:v>
                </c:pt>
                <c:pt idx="123">
                  <c:v>590.97</c:v>
                </c:pt>
                <c:pt idx="124">
                  <c:v>590.97</c:v>
                </c:pt>
                <c:pt idx="125">
                  <c:v>590.97</c:v>
                </c:pt>
                <c:pt idx="126">
                  <c:v>590.97</c:v>
                </c:pt>
                <c:pt idx="127">
                  <c:v>590.97</c:v>
                </c:pt>
                <c:pt idx="128">
                  <c:v>590.97</c:v>
                </c:pt>
                <c:pt idx="129">
                  <c:v>590.97</c:v>
                </c:pt>
                <c:pt idx="130">
                  <c:v>590.97</c:v>
                </c:pt>
                <c:pt idx="131">
                  <c:v>590.97</c:v>
                </c:pt>
                <c:pt idx="132">
                  <c:v>590.97</c:v>
                </c:pt>
                <c:pt idx="133">
                  <c:v>590.97</c:v>
                </c:pt>
                <c:pt idx="134">
                  <c:v>590.97</c:v>
                </c:pt>
                <c:pt idx="135">
                  <c:v>590.97</c:v>
                </c:pt>
                <c:pt idx="136">
                  <c:v>590.97</c:v>
                </c:pt>
                <c:pt idx="137">
                  <c:v>590.97</c:v>
                </c:pt>
                <c:pt idx="138">
                  <c:v>590.97</c:v>
                </c:pt>
                <c:pt idx="139">
                  <c:v>590.97</c:v>
                </c:pt>
                <c:pt idx="140">
                  <c:v>590.97</c:v>
                </c:pt>
                <c:pt idx="141">
                  <c:v>590.97</c:v>
                </c:pt>
                <c:pt idx="142">
                  <c:v>590.97</c:v>
                </c:pt>
                <c:pt idx="143">
                  <c:v>590.97</c:v>
                </c:pt>
                <c:pt idx="144">
                  <c:v>590.97</c:v>
                </c:pt>
                <c:pt idx="145">
                  <c:v>590.97</c:v>
                </c:pt>
                <c:pt idx="146">
                  <c:v>590.97</c:v>
                </c:pt>
                <c:pt idx="147">
                  <c:v>590.97</c:v>
                </c:pt>
                <c:pt idx="148">
                  <c:v>590.97</c:v>
                </c:pt>
                <c:pt idx="149">
                  <c:v>590.97</c:v>
                </c:pt>
                <c:pt idx="150">
                  <c:v>590.97</c:v>
                </c:pt>
                <c:pt idx="151">
                  <c:v>590.97</c:v>
                </c:pt>
                <c:pt idx="152">
                  <c:v>590.97</c:v>
                </c:pt>
                <c:pt idx="153">
                  <c:v>590.97</c:v>
                </c:pt>
                <c:pt idx="154">
                  <c:v>590.97</c:v>
                </c:pt>
                <c:pt idx="155">
                  <c:v>590.97</c:v>
                </c:pt>
                <c:pt idx="156">
                  <c:v>590.97</c:v>
                </c:pt>
                <c:pt idx="157">
                  <c:v>590.97</c:v>
                </c:pt>
                <c:pt idx="158">
                  <c:v>590.97</c:v>
                </c:pt>
                <c:pt idx="159">
                  <c:v>590.97</c:v>
                </c:pt>
                <c:pt idx="160">
                  <c:v>590.97</c:v>
                </c:pt>
                <c:pt idx="161">
                  <c:v>590.97</c:v>
                </c:pt>
                <c:pt idx="162">
                  <c:v>590.97</c:v>
                </c:pt>
                <c:pt idx="163">
                  <c:v>590.97</c:v>
                </c:pt>
                <c:pt idx="164">
                  <c:v>590.97</c:v>
                </c:pt>
                <c:pt idx="165">
                  <c:v>590.97</c:v>
                </c:pt>
                <c:pt idx="166">
                  <c:v>590.97</c:v>
                </c:pt>
                <c:pt idx="167">
                  <c:v>590.97</c:v>
                </c:pt>
                <c:pt idx="168">
                  <c:v>590.97</c:v>
                </c:pt>
                <c:pt idx="169">
                  <c:v>590.97</c:v>
                </c:pt>
                <c:pt idx="170">
                  <c:v>590.97</c:v>
                </c:pt>
                <c:pt idx="171">
                  <c:v>590.97</c:v>
                </c:pt>
                <c:pt idx="172">
                  <c:v>590.97</c:v>
                </c:pt>
                <c:pt idx="173">
                  <c:v>590.97</c:v>
                </c:pt>
                <c:pt idx="174">
                  <c:v>590.97</c:v>
                </c:pt>
                <c:pt idx="175">
                  <c:v>590.97</c:v>
                </c:pt>
                <c:pt idx="176">
                  <c:v>590.97</c:v>
                </c:pt>
                <c:pt idx="177">
                  <c:v>590.97</c:v>
                </c:pt>
                <c:pt idx="178">
                  <c:v>590.97</c:v>
                </c:pt>
                <c:pt idx="179">
                  <c:v>590.97</c:v>
                </c:pt>
                <c:pt idx="180">
                  <c:v>590.97</c:v>
                </c:pt>
                <c:pt idx="181">
                  <c:v>590.97</c:v>
                </c:pt>
                <c:pt idx="182">
                  <c:v>590.97</c:v>
                </c:pt>
                <c:pt idx="183">
                  <c:v>590.97</c:v>
                </c:pt>
                <c:pt idx="184">
                  <c:v>569.06999999999994</c:v>
                </c:pt>
                <c:pt idx="185">
                  <c:v>569.06999999999994</c:v>
                </c:pt>
                <c:pt idx="186">
                  <c:v>569.06999999999994</c:v>
                </c:pt>
                <c:pt idx="187">
                  <c:v>569.06999999999994</c:v>
                </c:pt>
                <c:pt idx="188">
                  <c:v>569.06999999999994</c:v>
                </c:pt>
                <c:pt idx="189">
                  <c:v>569.06999999999994</c:v>
                </c:pt>
                <c:pt idx="190">
                  <c:v>569.06999999999994</c:v>
                </c:pt>
                <c:pt idx="191">
                  <c:v>569.06999999999994</c:v>
                </c:pt>
                <c:pt idx="192">
                  <c:v>569.06999999999994</c:v>
                </c:pt>
                <c:pt idx="193">
                  <c:v>569.06999999999994</c:v>
                </c:pt>
                <c:pt idx="194">
                  <c:v>569.06999999999994</c:v>
                </c:pt>
                <c:pt idx="195">
                  <c:v>569.06999999999994</c:v>
                </c:pt>
                <c:pt idx="196">
                  <c:v>569.06999999999994</c:v>
                </c:pt>
                <c:pt idx="197">
                  <c:v>569.06999999999994</c:v>
                </c:pt>
                <c:pt idx="198">
                  <c:v>569.06999999999994</c:v>
                </c:pt>
                <c:pt idx="199">
                  <c:v>569.06999999999994</c:v>
                </c:pt>
                <c:pt idx="200">
                  <c:v>569.06999999999994</c:v>
                </c:pt>
                <c:pt idx="201">
                  <c:v>569.06999999999994</c:v>
                </c:pt>
                <c:pt idx="202">
                  <c:v>569.06999999999994</c:v>
                </c:pt>
                <c:pt idx="203">
                  <c:v>569.06999999999994</c:v>
                </c:pt>
                <c:pt idx="204">
                  <c:v>569.06999999999994</c:v>
                </c:pt>
                <c:pt idx="205">
                  <c:v>569.06999999999994</c:v>
                </c:pt>
                <c:pt idx="206">
                  <c:v>569.06999999999994</c:v>
                </c:pt>
                <c:pt idx="207">
                  <c:v>569.06999999999994</c:v>
                </c:pt>
                <c:pt idx="208">
                  <c:v>569.06999999999994</c:v>
                </c:pt>
                <c:pt idx="209">
                  <c:v>569.06999999999994</c:v>
                </c:pt>
                <c:pt idx="210">
                  <c:v>569.06999999999994</c:v>
                </c:pt>
                <c:pt idx="211">
                  <c:v>569.06999999999994</c:v>
                </c:pt>
                <c:pt idx="212">
                  <c:v>569.06999999999994</c:v>
                </c:pt>
                <c:pt idx="213">
                  <c:v>569.06999999999994</c:v>
                </c:pt>
                <c:pt idx="214">
                  <c:v>569.06999999999994</c:v>
                </c:pt>
                <c:pt idx="215">
                  <c:v>569.69000000000005</c:v>
                </c:pt>
                <c:pt idx="216">
                  <c:v>569.69000000000005</c:v>
                </c:pt>
                <c:pt idx="217">
                  <c:v>569.69000000000005</c:v>
                </c:pt>
                <c:pt idx="218">
                  <c:v>569.69000000000005</c:v>
                </c:pt>
                <c:pt idx="219">
                  <c:v>569.69000000000005</c:v>
                </c:pt>
                <c:pt idx="220">
                  <c:v>569.69000000000005</c:v>
                </c:pt>
                <c:pt idx="221">
                  <c:v>569.69000000000005</c:v>
                </c:pt>
                <c:pt idx="222">
                  <c:v>569.69000000000005</c:v>
                </c:pt>
                <c:pt idx="223">
                  <c:v>569.69000000000005</c:v>
                </c:pt>
                <c:pt idx="224">
                  <c:v>569.69000000000005</c:v>
                </c:pt>
                <c:pt idx="225">
                  <c:v>569.69000000000005</c:v>
                </c:pt>
                <c:pt idx="226">
                  <c:v>569.69000000000005</c:v>
                </c:pt>
                <c:pt idx="227">
                  <c:v>569.69000000000005</c:v>
                </c:pt>
                <c:pt idx="228">
                  <c:v>569.69000000000005</c:v>
                </c:pt>
                <c:pt idx="229">
                  <c:v>569.69000000000005</c:v>
                </c:pt>
                <c:pt idx="230">
                  <c:v>569.69000000000005</c:v>
                </c:pt>
                <c:pt idx="231">
                  <c:v>569.69000000000005</c:v>
                </c:pt>
                <c:pt idx="232">
                  <c:v>569.69000000000005</c:v>
                </c:pt>
                <c:pt idx="233">
                  <c:v>569.69000000000005</c:v>
                </c:pt>
                <c:pt idx="234">
                  <c:v>569.69000000000005</c:v>
                </c:pt>
                <c:pt idx="235">
                  <c:v>569.69000000000005</c:v>
                </c:pt>
                <c:pt idx="236">
                  <c:v>569.69000000000005</c:v>
                </c:pt>
                <c:pt idx="237">
                  <c:v>569.69000000000005</c:v>
                </c:pt>
                <c:pt idx="238">
                  <c:v>569.69000000000005</c:v>
                </c:pt>
                <c:pt idx="239">
                  <c:v>569.69000000000005</c:v>
                </c:pt>
                <c:pt idx="240">
                  <c:v>569.69000000000005</c:v>
                </c:pt>
                <c:pt idx="241">
                  <c:v>569.69000000000005</c:v>
                </c:pt>
                <c:pt idx="242">
                  <c:v>569.69000000000005</c:v>
                </c:pt>
                <c:pt idx="243">
                  <c:v>569.69000000000005</c:v>
                </c:pt>
                <c:pt idx="244">
                  <c:v>569.69000000000005</c:v>
                </c:pt>
                <c:pt idx="245">
                  <c:v>569.69000000000005</c:v>
                </c:pt>
                <c:pt idx="246">
                  <c:v>569.69000000000005</c:v>
                </c:pt>
                <c:pt idx="247">
                  <c:v>569.69000000000005</c:v>
                </c:pt>
                <c:pt idx="248">
                  <c:v>569.69000000000005</c:v>
                </c:pt>
                <c:pt idx="249">
                  <c:v>569.69000000000005</c:v>
                </c:pt>
                <c:pt idx="250">
                  <c:v>569.69000000000005</c:v>
                </c:pt>
                <c:pt idx="251">
                  <c:v>569.69000000000005</c:v>
                </c:pt>
                <c:pt idx="252">
                  <c:v>569.69000000000005</c:v>
                </c:pt>
                <c:pt idx="253">
                  <c:v>569.69000000000005</c:v>
                </c:pt>
                <c:pt idx="254">
                  <c:v>569.69000000000005</c:v>
                </c:pt>
                <c:pt idx="255">
                  <c:v>569.69000000000005</c:v>
                </c:pt>
                <c:pt idx="256">
                  <c:v>569.69000000000005</c:v>
                </c:pt>
                <c:pt idx="257">
                  <c:v>569.69000000000005</c:v>
                </c:pt>
                <c:pt idx="258">
                  <c:v>569.69000000000005</c:v>
                </c:pt>
                <c:pt idx="259">
                  <c:v>569.69000000000005</c:v>
                </c:pt>
                <c:pt idx="260">
                  <c:v>569.69000000000005</c:v>
                </c:pt>
                <c:pt idx="261">
                  <c:v>569.69000000000005</c:v>
                </c:pt>
                <c:pt idx="262">
                  <c:v>569.69000000000005</c:v>
                </c:pt>
                <c:pt idx="263">
                  <c:v>569.69000000000005</c:v>
                </c:pt>
                <c:pt idx="264">
                  <c:v>569.69000000000005</c:v>
                </c:pt>
                <c:pt idx="265">
                  <c:v>569.69000000000005</c:v>
                </c:pt>
                <c:pt idx="266">
                  <c:v>569.69000000000005</c:v>
                </c:pt>
                <c:pt idx="267">
                  <c:v>569.69000000000005</c:v>
                </c:pt>
                <c:pt idx="268">
                  <c:v>569.69000000000005</c:v>
                </c:pt>
                <c:pt idx="269">
                  <c:v>569.69000000000005</c:v>
                </c:pt>
                <c:pt idx="270">
                  <c:v>569.69000000000005</c:v>
                </c:pt>
                <c:pt idx="271">
                  <c:v>569.69000000000005</c:v>
                </c:pt>
                <c:pt idx="272">
                  <c:v>569.69000000000005</c:v>
                </c:pt>
                <c:pt idx="273">
                  <c:v>569.69000000000005</c:v>
                </c:pt>
                <c:pt idx="274">
                  <c:v>599.14</c:v>
                </c:pt>
                <c:pt idx="275">
                  <c:v>599.14</c:v>
                </c:pt>
                <c:pt idx="276">
                  <c:v>599.14</c:v>
                </c:pt>
                <c:pt idx="277">
                  <c:v>599.14</c:v>
                </c:pt>
                <c:pt idx="278">
                  <c:v>599.14</c:v>
                </c:pt>
                <c:pt idx="279">
                  <c:v>599.14</c:v>
                </c:pt>
                <c:pt idx="280">
                  <c:v>599.14</c:v>
                </c:pt>
                <c:pt idx="281">
                  <c:v>599.14</c:v>
                </c:pt>
                <c:pt idx="282">
                  <c:v>599.14</c:v>
                </c:pt>
                <c:pt idx="283">
                  <c:v>599.14</c:v>
                </c:pt>
                <c:pt idx="284">
                  <c:v>599.14</c:v>
                </c:pt>
                <c:pt idx="285">
                  <c:v>599.14</c:v>
                </c:pt>
                <c:pt idx="286">
                  <c:v>599.14</c:v>
                </c:pt>
                <c:pt idx="287">
                  <c:v>599.14</c:v>
                </c:pt>
                <c:pt idx="288">
                  <c:v>599.14</c:v>
                </c:pt>
                <c:pt idx="289">
                  <c:v>599.14</c:v>
                </c:pt>
                <c:pt idx="290">
                  <c:v>599.14</c:v>
                </c:pt>
                <c:pt idx="291">
                  <c:v>599.14</c:v>
                </c:pt>
                <c:pt idx="292">
                  <c:v>599.14</c:v>
                </c:pt>
                <c:pt idx="293">
                  <c:v>599.14</c:v>
                </c:pt>
                <c:pt idx="294">
                  <c:v>599.14</c:v>
                </c:pt>
                <c:pt idx="295">
                  <c:v>599.14</c:v>
                </c:pt>
                <c:pt idx="296">
                  <c:v>599.14</c:v>
                </c:pt>
                <c:pt idx="297">
                  <c:v>599.14</c:v>
                </c:pt>
                <c:pt idx="298">
                  <c:v>599.14</c:v>
                </c:pt>
                <c:pt idx="299">
                  <c:v>599.14</c:v>
                </c:pt>
                <c:pt idx="300">
                  <c:v>599.14</c:v>
                </c:pt>
                <c:pt idx="301">
                  <c:v>599.14</c:v>
                </c:pt>
                <c:pt idx="302">
                  <c:v>599.14</c:v>
                </c:pt>
                <c:pt idx="303">
                  <c:v>599.14</c:v>
                </c:pt>
                <c:pt idx="304">
                  <c:v>718.7</c:v>
                </c:pt>
                <c:pt idx="305">
                  <c:v>718.7</c:v>
                </c:pt>
                <c:pt idx="306">
                  <c:v>718.7</c:v>
                </c:pt>
                <c:pt idx="307">
                  <c:v>718.7</c:v>
                </c:pt>
                <c:pt idx="308">
                  <c:v>718.7</c:v>
                </c:pt>
                <c:pt idx="309">
                  <c:v>718.7</c:v>
                </c:pt>
                <c:pt idx="310">
                  <c:v>718.7</c:v>
                </c:pt>
                <c:pt idx="311">
                  <c:v>718.7</c:v>
                </c:pt>
                <c:pt idx="312">
                  <c:v>718.7</c:v>
                </c:pt>
                <c:pt idx="313">
                  <c:v>718.7</c:v>
                </c:pt>
                <c:pt idx="314">
                  <c:v>718.7</c:v>
                </c:pt>
                <c:pt idx="315">
                  <c:v>718.7</c:v>
                </c:pt>
                <c:pt idx="316">
                  <c:v>718.7</c:v>
                </c:pt>
                <c:pt idx="317">
                  <c:v>718.7</c:v>
                </c:pt>
                <c:pt idx="318">
                  <c:v>718.7</c:v>
                </c:pt>
                <c:pt idx="319">
                  <c:v>718.7</c:v>
                </c:pt>
                <c:pt idx="320">
                  <c:v>718.7</c:v>
                </c:pt>
                <c:pt idx="321">
                  <c:v>718.7</c:v>
                </c:pt>
                <c:pt idx="322">
                  <c:v>718.7</c:v>
                </c:pt>
                <c:pt idx="323">
                  <c:v>718.7</c:v>
                </c:pt>
                <c:pt idx="324">
                  <c:v>718.7</c:v>
                </c:pt>
                <c:pt idx="325">
                  <c:v>718.7</c:v>
                </c:pt>
                <c:pt idx="326">
                  <c:v>718.7</c:v>
                </c:pt>
                <c:pt idx="327">
                  <c:v>718.7</c:v>
                </c:pt>
                <c:pt idx="328">
                  <c:v>718.7</c:v>
                </c:pt>
                <c:pt idx="329">
                  <c:v>718.7</c:v>
                </c:pt>
                <c:pt idx="330">
                  <c:v>718.7</c:v>
                </c:pt>
                <c:pt idx="331">
                  <c:v>718.7</c:v>
                </c:pt>
                <c:pt idx="332">
                  <c:v>718.7</c:v>
                </c:pt>
                <c:pt idx="333">
                  <c:v>718.7</c:v>
                </c:pt>
                <c:pt idx="334">
                  <c:v>718.7</c:v>
                </c:pt>
                <c:pt idx="335">
                  <c:v>718.07999999999993</c:v>
                </c:pt>
                <c:pt idx="336">
                  <c:v>718.07999999999993</c:v>
                </c:pt>
                <c:pt idx="337">
                  <c:v>718.07999999999993</c:v>
                </c:pt>
                <c:pt idx="338">
                  <c:v>718.07999999999993</c:v>
                </c:pt>
                <c:pt idx="339">
                  <c:v>718.07999999999993</c:v>
                </c:pt>
                <c:pt idx="340">
                  <c:v>718.07999999999993</c:v>
                </c:pt>
                <c:pt idx="341">
                  <c:v>718.07999999999993</c:v>
                </c:pt>
                <c:pt idx="342">
                  <c:v>718.07999999999993</c:v>
                </c:pt>
                <c:pt idx="343">
                  <c:v>718.07999999999993</c:v>
                </c:pt>
                <c:pt idx="344">
                  <c:v>718.07999999999993</c:v>
                </c:pt>
                <c:pt idx="345">
                  <c:v>718.07999999999993</c:v>
                </c:pt>
                <c:pt idx="346">
                  <c:v>718.07999999999993</c:v>
                </c:pt>
                <c:pt idx="347">
                  <c:v>718.07999999999993</c:v>
                </c:pt>
                <c:pt idx="348">
                  <c:v>718.07999999999993</c:v>
                </c:pt>
                <c:pt idx="349">
                  <c:v>718.07999999999993</c:v>
                </c:pt>
                <c:pt idx="350">
                  <c:v>718.07999999999993</c:v>
                </c:pt>
                <c:pt idx="351">
                  <c:v>718.07999999999993</c:v>
                </c:pt>
                <c:pt idx="352">
                  <c:v>718.07999999999993</c:v>
                </c:pt>
                <c:pt idx="353">
                  <c:v>718.07999999999993</c:v>
                </c:pt>
                <c:pt idx="354">
                  <c:v>718.07999999999993</c:v>
                </c:pt>
                <c:pt idx="355">
                  <c:v>718.07999999999993</c:v>
                </c:pt>
                <c:pt idx="356">
                  <c:v>718.07999999999993</c:v>
                </c:pt>
                <c:pt idx="357">
                  <c:v>718.07999999999993</c:v>
                </c:pt>
                <c:pt idx="358">
                  <c:v>718.07999999999993</c:v>
                </c:pt>
                <c:pt idx="359">
                  <c:v>718.07999999999993</c:v>
                </c:pt>
                <c:pt idx="360">
                  <c:v>718.07999999999993</c:v>
                </c:pt>
                <c:pt idx="361">
                  <c:v>718.07999999999993</c:v>
                </c:pt>
                <c:pt idx="362">
                  <c:v>718.07999999999993</c:v>
                </c:pt>
                <c:pt idx="363">
                  <c:v>718.07999999999993</c:v>
                </c:pt>
                <c:pt idx="364">
                  <c:v>718.07999999999993</c:v>
                </c:pt>
              </c:numCache>
            </c:numRef>
          </c:val>
          <c:extLst>
            <c:ext xmlns:c16="http://schemas.microsoft.com/office/drawing/2014/chart" uri="{C3380CC4-5D6E-409C-BE32-E72D297353CC}">
              <c16:uniqueId val="{00000000-2242-49F8-AA28-5144B64B8EDF}"/>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2242-49F8-AA28-5144B64B8EDF}"/>
            </c:ext>
          </c:extLst>
        </c:ser>
        <c:dLbls>
          <c:showLegendKey val="0"/>
          <c:showVal val="0"/>
          <c:showCatName val="0"/>
          <c:showSerName val="0"/>
          <c:showPercent val="0"/>
          <c:showBubbleSize val="0"/>
        </c:dLbls>
        <c:gapWidth val="150"/>
        <c:overlap val="100"/>
        <c:axId val="238084960"/>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399.17</c:v>
                </c:pt>
                <c:pt idx="1">
                  <c:v>389.24400000000003</c:v>
                </c:pt>
                <c:pt idx="2">
                  <c:v>384.57400000000001</c:v>
                </c:pt>
                <c:pt idx="3">
                  <c:v>401.40800000000002</c:v>
                </c:pt>
                <c:pt idx="4">
                  <c:v>399.99599999999998</c:v>
                </c:pt>
                <c:pt idx="5">
                  <c:v>415.596</c:v>
                </c:pt>
                <c:pt idx="6">
                  <c:v>396.49400000000003</c:v>
                </c:pt>
                <c:pt idx="7">
                  <c:v>429.54199999999997</c:v>
                </c:pt>
                <c:pt idx="8">
                  <c:v>317.88499999999999</c:v>
                </c:pt>
                <c:pt idx="9">
                  <c:v>282.505</c:v>
                </c:pt>
                <c:pt idx="10">
                  <c:v>371.50200000000001</c:v>
                </c:pt>
                <c:pt idx="11">
                  <c:v>250.00200000000001</c:v>
                </c:pt>
                <c:pt idx="12">
                  <c:v>318.50400000000002</c:v>
                </c:pt>
                <c:pt idx="13">
                  <c:v>461.80200000000002</c:v>
                </c:pt>
                <c:pt idx="14">
                  <c:v>431.14</c:v>
                </c:pt>
                <c:pt idx="15">
                  <c:v>438.41800000000001</c:v>
                </c:pt>
                <c:pt idx="16">
                  <c:v>459.14400000000001</c:v>
                </c:pt>
                <c:pt idx="17">
                  <c:v>474.44299999999998</c:v>
                </c:pt>
                <c:pt idx="18">
                  <c:v>430.08199999999999</c:v>
                </c:pt>
                <c:pt idx="19">
                  <c:v>407.00200000000001</c:v>
                </c:pt>
                <c:pt idx="20">
                  <c:v>433.31</c:v>
                </c:pt>
                <c:pt idx="21">
                  <c:v>381.79700000000003</c:v>
                </c:pt>
                <c:pt idx="22">
                  <c:v>433.64499999999998</c:v>
                </c:pt>
                <c:pt idx="23">
                  <c:v>401.13200000000001</c:v>
                </c:pt>
                <c:pt idx="24">
                  <c:v>367.99200000000002</c:v>
                </c:pt>
                <c:pt idx="25">
                  <c:v>404</c:v>
                </c:pt>
                <c:pt idx="26">
                  <c:v>330.512</c:v>
                </c:pt>
                <c:pt idx="27">
                  <c:v>361.3</c:v>
                </c:pt>
                <c:pt idx="28">
                  <c:v>325.85300000000001</c:v>
                </c:pt>
                <c:pt idx="29">
                  <c:v>272.45499999999998</c:v>
                </c:pt>
                <c:pt idx="30">
                  <c:v>315.00099999999998</c:v>
                </c:pt>
                <c:pt idx="31">
                  <c:v>340.101</c:v>
                </c:pt>
                <c:pt idx="32">
                  <c:v>311.50299999999999</c:v>
                </c:pt>
                <c:pt idx="33">
                  <c:v>219.76599999999999</c:v>
                </c:pt>
                <c:pt idx="34">
                  <c:v>186.93600000000001</c:v>
                </c:pt>
                <c:pt idx="35">
                  <c:v>263.99700000000001</c:v>
                </c:pt>
                <c:pt idx="36">
                  <c:v>290.56700000000001</c:v>
                </c:pt>
                <c:pt idx="37">
                  <c:v>303.99599999999998</c:v>
                </c:pt>
                <c:pt idx="38">
                  <c:v>270.00400000000002</c:v>
                </c:pt>
                <c:pt idx="39">
                  <c:v>342.15600000000001</c:v>
                </c:pt>
                <c:pt idx="40">
                  <c:v>258.98700000000002</c:v>
                </c:pt>
                <c:pt idx="41">
                  <c:v>285</c:v>
                </c:pt>
                <c:pt idx="42">
                  <c:v>291.30399999999997</c:v>
                </c:pt>
                <c:pt idx="43">
                  <c:v>237.53</c:v>
                </c:pt>
                <c:pt idx="44">
                  <c:v>259.99700000000001</c:v>
                </c:pt>
                <c:pt idx="45">
                  <c:v>260.79000000000002</c:v>
                </c:pt>
                <c:pt idx="46">
                  <c:v>178.16800000000001</c:v>
                </c:pt>
                <c:pt idx="47">
                  <c:v>128.57300000000001</c:v>
                </c:pt>
                <c:pt idx="48">
                  <c:v>138.83199999999999</c:v>
                </c:pt>
                <c:pt idx="49">
                  <c:v>402.00799999999998</c:v>
                </c:pt>
                <c:pt idx="50">
                  <c:v>248</c:v>
                </c:pt>
                <c:pt idx="51">
                  <c:v>231.99600000000001</c:v>
                </c:pt>
                <c:pt idx="52">
                  <c:v>253.77099999999999</c:v>
                </c:pt>
                <c:pt idx="53">
                  <c:v>206.92099999999999</c:v>
                </c:pt>
                <c:pt idx="54">
                  <c:v>19.064</c:v>
                </c:pt>
                <c:pt idx="55">
                  <c:v>37.102000000000004</c:v>
                </c:pt>
                <c:pt idx="56">
                  <c:v>199.46199999999999</c:v>
                </c:pt>
                <c:pt idx="57">
                  <c:v>240.23</c:v>
                </c:pt>
                <c:pt idx="58">
                  <c:v>82.199999999999989</c:v>
                </c:pt>
                <c:pt idx="59">
                  <c:v>197.15899999999999</c:v>
                </c:pt>
                <c:pt idx="60">
                  <c:v>168.21799999999999</c:v>
                </c:pt>
                <c:pt idx="61">
                  <c:v>20.525000000000002</c:v>
                </c:pt>
                <c:pt idx="62">
                  <c:v>61.731000000000002</c:v>
                </c:pt>
                <c:pt idx="63">
                  <c:v>301.995</c:v>
                </c:pt>
                <c:pt idx="64">
                  <c:v>243.999</c:v>
                </c:pt>
                <c:pt idx="65">
                  <c:v>242.499</c:v>
                </c:pt>
                <c:pt idx="66">
                  <c:v>202.24600000000001</c:v>
                </c:pt>
                <c:pt idx="67">
                  <c:v>147.001</c:v>
                </c:pt>
                <c:pt idx="68">
                  <c:v>127.104</c:v>
                </c:pt>
                <c:pt idx="69">
                  <c:v>173.15299999999999</c:v>
                </c:pt>
                <c:pt idx="70">
                  <c:v>155.10599999999999</c:v>
                </c:pt>
                <c:pt idx="71">
                  <c:v>156.41800000000001</c:v>
                </c:pt>
                <c:pt idx="72">
                  <c:v>110.58500000000001</c:v>
                </c:pt>
                <c:pt idx="73">
                  <c:v>206.71499999999997</c:v>
                </c:pt>
                <c:pt idx="74">
                  <c:v>225.17099999999999</c:v>
                </c:pt>
                <c:pt idx="75">
                  <c:v>8.3040000000000003</c:v>
                </c:pt>
                <c:pt idx="76">
                  <c:v>174.46099999999998</c:v>
                </c:pt>
                <c:pt idx="77">
                  <c:v>232.495</c:v>
                </c:pt>
                <c:pt idx="78">
                  <c:v>222.62200000000001</c:v>
                </c:pt>
                <c:pt idx="79">
                  <c:v>178.33</c:v>
                </c:pt>
                <c:pt idx="80">
                  <c:v>179.50899999999999</c:v>
                </c:pt>
                <c:pt idx="81">
                  <c:v>165.47</c:v>
                </c:pt>
                <c:pt idx="82">
                  <c:v>130.75299999999999</c:v>
                </c:pt>
                <c:pt idx="83">
                  <c:v>145.99699999999999</c:v>
                </c:pt>
                <c:pt idx="84">
                  <c:v>89.532000000000011</c:v>
                </c:pt>
                <c:pt idx="85">
                  <c:v>123.57499999999999</c:v>
                </c:pt>
                <c:pt idx="86">
                  <c:v>30.030999999999999</c:v>
                </c:pt>
                <c:pt idx="87">
                  <c:v>222.92599999999999</c:v>
                </c:pt>
                <c:pt idx="88">
                  <c:v>134.119</c:v>
                </c:pt>
                <c:pt idx="89">
                  <c:v>41.564999999999998</c:v>
                </c:pt>
                <c:pt idx="90">
                  <c:v>123.285</c:v>
                </c:pt>
                <c:pt idx="91">
                  <c:v>50.15</c:v>
                </c:pt>
                <c:pt idx="92">
                  <c:v>117.50999999999999</c:v>
                </c:pt>
                <c:pt idx="93">
                  <c:v>126.536</c:v>
                </c:pt>
                <c:pt idx="94">
                  <c:v>139.393</c:v>
                </c:pt>
                <c:pt idx="95">
                  <c:v>173.81800000000001</c:v>
                </c:pt>
                <c:pt idx="96">
                  <c:v>140.06700000000001</c:v>
                </c:pt>
                <c:pt idx="97">
                  <c:v>118.33699999999999</c:v>
                </c:pt>
                <c:pt idx="98">
                  <c:v>70.509</c:v>
                </c:pt>
                <c:pt idx="99">
                  <c:v>117.157</c:v>
                </c:pt>
                <c:pt idx="100">
                  <c:v>99.91</c:v>
                </c:pt>
                <c:pt idx="101">
                  <c:v>129.18</c:v>
                </c:pt>
                <c:pt idx="102">
                  <c:v>114.14100000000001</c:v>
                </c:pt>
                <c:pt idx="103">
                  <c:v>144.75300000000001</c:v>
                </c:pt>
                <c:pt idx="104">
                  <c:v>153.49400000000003</c:v>
                </c:pt>
                <c:pt idx="105">
                  <c:v>10.112</c:v>
                </c:pt>
                <c:pt idx="106">
                  <c:v>113.09699999999999</c:v>
                </c:pt>
                <c:pt idx="107">
                  <c:v>157.29399999999998</c:v>
                </c:pt>
                <c:pt idx="108">
                  <c:v>116.697</c:v>
                </c:pt>
                <c:pt idx="109">
                  <c:v>98.995000000000005</c:v>
                </c:pt>
                <c:pt idx="110">
                  <c:v>32.04</c:v>
                </c:pt>
                <c:pt idx="111">
                  <c:v>84.856999999999999</c:v>
                </c:pt>
                <c:pt idx="112">
                  <c:v>153.55000000000001</c:v>
                </c:pt>
                <c:pt idx="113">
                  <c:v>119.208</c:v>
                </c:pt>
                <c:pt idx="114">
                  <c:v>79.19</c:v>
                </c:pt>
                <c:pt idx="115">
                  <c:v>120.355</c:v>
                </c:pt>
                <c:pt idx="116">
                  <c:v>110.60899999999999</c:v>
                </c:pt>
                <c:pt idx="117">
                  <c:v>132.40799999999999</c:v>
                </c:pt>
                <c:pt idx="118">
                  <c:v>69.811999999999998</c:v>
                </c:pt>
                <c:pt idx="119">
                  <c:v>96.504000000000005</c:v>
                </c:pt>
                <c:pt idx="120">
                  <c:v>107.935</c:v>
                </c:pt>
                <c:pt idx="121">
                  <c:v>65.787000000000006</c:v>
                </c:pt>
                <c:pt idx="122">
                  <c:v>42.123000000000005</c:v>
                </c:pt>
                <c:pt idx="123">
                  <c:v>91.872</c:v>
                </c:pt>
                <c:pt idx="124">
                  <c:v>143.285</c:v>
                </c:pt>
                <c:pt idx="125">
                  <c:v>147.77500000000001</c:v>
                </c:pt>
                <c:pt idx="126">
                  <c:v>189.82800000000003</c:v>
                </c:pt>
                <c:pt idx="127">
                  <c:v>150.58099999999999</c:v>
                </c:pt>
                <c:pt idx="128">
                  <c:v>152.28700000000001</c:v>
                </c:pt>
                <c:pt idx="129">
                  <c:v>185.315</c:v>
                </c:pt>
                <c:pt idx="130">
                  <c:v>139.75399999999999</c:v>
                </c:pt>
                <c:pt idx="131">
                  <c:v>146.26300000000001</c:v>
                </c:pt>
                <c:pt idx="132">
                  <c:v>165.36199999999999</c:v>
                </c:pt>
                <c:pt idx="133">
                  <c:v>173.21999999999997</c:v>
                </c:pt>
                <c:pt idx="134">
                  <c:v>197.92799999999997</c:v>
                </c:pt>
                <c:pt idx="135">
                  <c:v>166.04000000000002</c:v>
                </c:pt>
                <c:pt idx="136">
                  <c:v>182.43899999999996</c:v>
                </c:pt>
                <c:pt idx="137">
                  <c:v>179.25299999999999</c:v>
                </c:pt>
                <c:pt idx="138">
                  <c:v>206.66800000000001</c:v>
                </c:pt>
                <c:pt idx="139">
                  <c:v>226.834</c:v>
                </c:pt>
                <c:pt idx="140">
                  <c:v>225.28299999999999</c:v>
                </c:pt>
                <c:pt idx="141">
                  <c:v>205.178</c:v>
                </c:pt>
                <c:pt idx="142">
                  <c:v>211.66099999999997</c:v>
                </c:pt>
                <c:pt idx="143">
                  <c:v>161.51400000000001</c:v>
                </c:pt>
                <c:pt idx="144">
                  <c:v>167.34799999999998</c:v>
                </c:pt>
                <c:pt idx="145">
                  <c:v>257.18700000000001</c:v>
                </c:pt>
                <c:pt idx="146">
                  <c:v>289</c:v>
                </c:pt>
                <c:pt idx="147">
                  <c:v>267.483</c:v>
                </c:pt>
                <c:pt idx="148">
                  <c:v>203.61</c:v>
                </c:pt>
                <c:pt idx="149">
                  <c:v>190.14100000000002</c:v>
                </c:pt>
                <c:pt idx="150">
                  <c:v>218.90799999999999</c:v>
                </c:pt>
                <c:pt idx="151">
                  <c:v>216.667</c:v>
                </c:pt>
                <c:pt idx="152">
                  <c:v>216.51499999999999</c:v>
                </c:pt>
                <c:pt idx="153">
                  <c:v>193.255</c:v>
                </c:pt>
                <c:pt idx="154">
                  <c:v>210.983</c:v>
                </c:pt>
                <c:pt idx="155">
                  <c:v>202.44900000000001</c:v>
                </c:pt>
                <c:pt idx="156">
                  <c:v>208.89599999999999</c:v>
                </c:pt>
                <c:pt idx="157">
                  <c:v>206.20899999999997</c:v>
                </c:pt>
                <c:pt idx="158">
                  <c:v>217.49</c:v>
                </c:pt>
                <c:pt idx="159">
                  <c:v>192.87199999999999</c:v>
                </c:pt>
                <c:pt idx="160">
                  <c:v>191.99099999999999</c:v>
                </c:pt>
                <c:pt idx="161">
                  <c:v>212.67</c:v>
                </c:pt>
                <c:pt idx="162">
                  <c:v>189.90100000000001</c:v>
                </c:pt>
                <c:pt idx="163">
                  <c:v>227.73999999999998</c:v>
                </c:pt>
                <c:pt idx="164">
                  <c:v>271.32299999999998</c:v>
                </c:pt>
                <c:pt idx="165">
                  <c:v>253.75</c:v>
                </c:pt>
                <c:pt idx="166">
                  <c:v>265.85500000000002</c:v>
                </c:pt>
                <c:pt idx="167">
                  <c:v>247.61500000000001</c:v>
                </c:pt>
                <c:pt idx="168">
                  <c:v>213.43299999999999</c:v>
                </c:pt>
                <c:pt idx="169">
                  <c:v>226.58599999999998</c:v>
                </c:pt>
                <c:pt idx="170">
                  <c:v>155.61199999999999</c:v>
                </c:pt>
                <c:pt idx="171">
                  <c:v>163.02600000000001</c:v>
                </c:pt>
                <c:pt idx="172">
                  <c:v>101.59700000000001</c:v>
                </c:pt>
                <c:pt idx="173">
                  <c:v>161.90899999999999</c:v>
                </c:pt>
                <c:pt idx="174">
                  <c:v>98.462000000000003</c:v>
                </c:pt>
                <c:pt idx="175">
                  <c:v>84.596999999999994</c:v>
                </c:pt>
                <c:pt idx="176">
                  <c:v>99.786999999999992</c:v>
                </c:pt>
                <c:pt idx="177">
                  <c:v>129.316</c:v>
                </c:pt>
                <c:pt idx="178">
                  <c:v>148.92599999999999</c:v>
                </c:pt>
                <c:pt idx="179">
                  <c:v>110.279</c:v>
                </c:pt>
                <c:pt idx="180">
                  <c:v>147.21299999999999</c:v>
                </c:pt>
                <c:pt idx="181">
                  <c:v>146.05500000000001</c:v>
                </c:pt>
                <c:pt idx="182">
                  <c:v>186.55599999999998</c:v>
                </c:pt>
                <c:pt idx="183">
                  <c:v>185.66300000000001</c:v>
                </c:pt>
                <c:pt idx="184">
                  <c:v>99.492000000000004</c:v>
                </c:pt>
                <c:pt idx="185">
                  <c:v>160.52600000000001</c:v>
                </c:pt>
                <c:pt idx="186">
                  <c:v>112.178</c:v>
                </c:pt>
                <c:pt idx="187">
                  <c:v>83.116</c:v>
                </c:pt>
                <c:pt idx="188">
                  <c:v>118.46000000000001</c:v>
                </c:pt>
                <c:pt idx="189">
                  <c:v>171.01900000000001</c:v>
                </c:pt>
                <c:pt idx="190">
                  <c:v>74.541999999999987</c:v>
                </c:pt>
                <c:pt idx="191">
                  <c:v>73.534999999999997</c:v>
                </c:pt>
                <c:pt idx="192">
                  <c:v>131.26300000000001</c:v>
                </c:pt>
                <c:pt idx="193">
                  <c:v>155.72399999999999</c:v>
                </c:pt>
                <c:pt idx="194">
                  <c:v>170.86699999999999</c:v>
                </c:pt>
                <c:pt idx="195">
                  <c:v>163.78299999999999</c:v>
                </c:pt>
                <c:pt idx="196">
                  <c:v>142.185</c:v>
                </c:pt>
                <c:pt idx="197">
                  <c:v>178.96699999999998</c:v>
                </c:pt>
                <c:pt idx="198">
                  <c:v>140.947</c:v>
                </c:pt>
                <c:pt idx="199">
                  <c:v>146.596</c:v>
                </c:pt>
                <c:pt idx="200">
                  <c:v>103.89100000000001</c:v>
                </c:pt>
                <c:pt idx="201">
                  <c:v>128.79900000000001</c:v>
                </c:pt>
                <c:pt idx="202">
                  <c:v>114.62400000000001</c:v>
                </c:pt>
                <c:pt idx="203">
                  <c:v>115.07600000000001</c:v>
                </c:pt>
                <c:pt idx="204">
                  <c:v>149.31199999999998</c:v>
                </c:pt>
                <c:pt idx="205">
                  <c:v>177.83699999999999</c:v>
                </c:pt>
                <c:pt idx="206">
                  <c:v>154.10400000000001</c:v>
                </c:pt>
                <c:pt idx="207">
                  <c:v>140.84699999999998</c:v>
                </c:pt>
                <c:pt idx="208">
                  <c:v>143.63999999999999</c:v>
                </c:pt>
                <c:pt idx="209">
                  <c:v>74.903000000000006</c:v>
                </c:pt>
                <c:pt idx="210">
                  <c:v>150.88</c:v>
                </c:pt>
                <c:pt idx="211">
                  <c:v>143.489</c:v>
                </c:pt>
                <c:pt idx="212">
                  <c:v>76.097999999999999</c:v>
                </c:pt>
                <c:pt idx="213">
                  <c:v>50.875</c:v>
                </c:pt>
                <c:pt idx="214">
                  <c:v>59.954000000000001</c:v>
                </c:pt>
                <c:pt idx="215">
                  <c:v>78.257000000000005</c:v>
                </c:pt>
                <c:pt idx="216">
                  <c:v>107.759</c:v>
                </c:pt>
                <c:pt idx="217">
                  <c:v>97.600999999999999</c:v>
                </c:pt>
                <c:pt idx="218">
                  <c:v>217.04499999999999</c:v>
                </c:pt>
                <c:pt idx="219">
                  <c:v>177.34100000000001</c:v>
                </c:pt>
                <c:pt idx="220">
                  <c:v>166.36900000000003</c:v>
                </c:pt>
                <c:pt idx="221">
                  <c:v>139.476</c:v>
                </c:pt>
                <c:pt idx="222">
                  <c:v>144.381</c:v>
                </c:pt>
                <c:pt idx="223">
                  <c:v>161.274</c:v>
                </c:pt>
                <c:pt idx="224">
                  <c:v>121.111</c:v>
                </c:pt>
                <c:pt idx="225">
                  <c:v>196.35399999999998</c:v>
                </c:pt>
                <c:pt idx="226">
                  <c:v>157.71100000000001</c:v>
                </c:pt>
                <c:pt idx="227">
                  <c:v>116.96899999999999</c:v>
                </c:pt>
                <c:pt idx="228">
                  <c:v>121.56399999999999</c:v>
                </c:pt>
                <c:pt idx="229">
                  <c:v>91.331999999999994</c:v>
                </c:pt>
                <c:pt idx="230">
                  <c:v>81.253</c:v>
                </c:pt>
                <c:pt idx="231">
                  <c:v>140.23000000000002</c:v>
                </c:pt>
                <c:pt idx="232">
                  <c:v>141.01499999999999</c:v>
                </c:pt>
                <c:pt idx="233">
                  <c:v>125.905</c:v>
                </c:pt>
                <c:pt idx="234">
                  <c:v>133.13800000000001</c:v>
                </c:pt>
                <c:pt idx="235">
                  <c:v>67.227999999999994</c:v>
                </c:pt>
                <c:pt idx="236">
                  <c:v>59.575999999999993</c:v>
                </c:pt>
                <c:pt idx="237">
                  <c:v>87.676000000000016</c:v>
                </c:pt>
                <c:pt idx="238">
                  <c:v>82.415999999999997</c:v>
                </c:pt>
                <c:pt idx="239">
                  <c:v>88.640999999999991</c:v>
                </c:pt>
                <c:pt idx="240">
                  <c:v>171.173</c:v>
                </c:pt>
                <c:pt idx="241">
                  <c:v>52.463000000000001</c:v>
                </c:pt>
                <c:pt idx="242">
                  <c:v>121.352</c:v>
                </c:pt>
                <c:pt idx="243">
                  <c:v>75.253</c:v>
                </c:pt>
                <c:pt idx="244">
                  <c:v>96.263000000000005</c:v>
                </c:pt>
                <c:pt idx="245">
                  <c:v>102.128</c:v>
                </c:pt>
                <c:pt idx="246">
                  <c:v>132.541</c:v>
                </c:pt>
                <c:pt idx="247">
                  <c:v>140.74200000000002</c:v>
                </c:pt>
                <c:pt idx="248">
                  <c:v>82.926999999999992</c:v>
                </c:pt>
                <c:pt idx="249">
                  <c:v>54.181999999999995</c:v>
                </c:pt>
                <c:pt idx="250">
                  <c:v>172.607</c:v>
                </c:pt>
                <c:pt idx="251">
                  <c:v>129.87200000000001</c:v>
                </c:pt>
                <c:pt idx="252">
                  <c:v>81.649000000000001</c:v>
                </c:pt>
                <c:pt idx="253">
                  <c:v>73.84</c:v>
                </c:pt>
                <c:pt idx="254">
                  <c:v>118.26200000000001</c:v>
                </c:pt>
                <c:pt idx="255">
                  <c:v>170.78800000000001</c:v>
                </c:pt>
                <c:pt idx="256">
                  <c:v>175.96599999999998</c:v>
                </c:pt>
                <c:pt idx="257">
                  <c:v>201.54100000000003</c:v>
                </c:pt>
                <c:pt idx="258">
                  <c:v>200.191</c:v>
                </c:pt>
                <c:pt idx="259">
                  <c:v>127.35499999999999</c:v>
                </c:pt>
                <c:pt idx="260">
                  <c:v>196.50400000000002</c:v>
                </c:pt>
                <c:pt idx="261">
                  <c:v>214.83500000000001</c:v>
                </c:pt>
                <c:pt idx="262">
                  <c:v>208.39200000000002</c:v>
                </c:pt>
                <c:pt idx="263">
                  <c:v>173.50899999999999</c:v>
                </c:pt>
                <c:pt idx="264">
                  <c:v>206.15900000000002</c:v>
                </c:pt>
                <c:pt idx="265">
                  <c:v>211.58</c:v>
                </c:pt>
                <c:pt idx="266">
                  <c:v>182.99700000000001</c:v>
                </c:pt>
                <c:pt idx="267">
                  <c:v>201.00900000000001</c:v>
                </c:pt>
                <c:pt idx="268">
                  <c:v>174.20400000000001</c:v>
                </c:pt>
                <c:pt idx="269">
                  <c:v>158.458</c:v>
                </c:pt>
                <c:pt idx="270">
                  <c:v>144.50300000000001</c:v>
                </c:pt>
                <c:pt idx="271">
                  <c:v>178.70500000000001</c:v>
                </c:pt>
                <c:pt idx="272">
                  <c:v>193.09100000000001</c:v>
                </c:pt>
                <c:pt idx="273">
                  <c:v>162.90700000000001</c:v>
                </c:pt>
                <c:pt idx="274">
                  <c:v>137.714</c:v>
                </c:pt>
                <c:pt idx="275">
                  <c:v>152.126</c:v>
                </c:pt>
                <c:pt idx="276">
                  <c:v>145.024</c:v>
                </c:pt>
                <c:pt idx="277">
                  <c:v>128.86099999999999</c:v>
                </c:pt>
                <c:pt idx="278">
                  <c:v>147.12</c:v>
                </c:pt>
                <c:pt idx="279">
                  <c:v>133.029</c:v>
                </c:pt>
                <c:pt idx="280">
                  <c:v>188.22399999999999</c:v>
                </c:pt>
                <c:pt idx="281">
                  <c:v>190.37099999999998</c:v>
                </c:pt>
                <c:pt idx="282">
                  <c:v>112.87700000000001</c:v>
                </c:pt>
                <c:pt idx="283">
                  <c:v>175.97499999999999</c:v>
                </c:pt>
                <c:pt idx="284">
                  <c:v>70.259</c:v>
                </c:pt>
                <c:pt idx="285">
                  <c:v>203.05099999999999</c:v>
                </c:pt>
                <c:pt idx="286">
                  <c:v>139.21700000000001</c:v>
                </c:pt>
                <c:pt idx="287">
                  <c:v>116.714</c:v>
                </c:pt>
                <c:pt idx="288">
                  <c:v>170.239</c:v>
                </c:pt>
                <c:pt idx="289">
                  <c:v>149.80100000000002</c:v>
                </c:pt>
                <c:pt idx="290">
                  <c:v>189.001</c:v>
                </c:pt>
                <c:pt idx="291">
                  <c:v>139.42200000000003</c:v>
                </c:pt>
                <c:pt idx="292">
                  <c:v>95.838999999999999</c:v>
                </c:pt>
                <c:pt idx="293">
                  <c:v>99.772999999999996</c:v>
                </c:pt>
                <c:pt idx="294">
                  <c:v>77.965000000000003</c:v>
                </c:pt>
                <c:pt idx="295">
                  <c:v>134.52100000000002</c:v>
                </c:pt>
                <c:pt idx="296">
                  <c:v>142.9</c:v>
                </c:pt>
                <c:pt idx="297">
                  <c:v>181.54899999999998</c:v>
                </c:pt>
                <c:pt idx="298">
                  <c:v>92.829000000000008</c:v>
                </c:pt>
                <c:pt idx="299">
                  <c:v>97.453000000000003</c:v>
                </c:pt>
                <c:pt idx="300">
                  <c:v>96.179000000000002</c:v>
                </c:pt>
                <c:pt idx="301">
                  <c:v>109.399</c:v>
                </c:pt>
                <c:pt idx="302">
                  <c:v>116.188</c:v>
                </c:pt>
                <c:pt idx="303">
                  <c:v>193.23000000000002</c:v>
                </c:pt>
                <c:pt idx="304">
                  <c:v>187.20699999999999</c:v>
                </c:pt>
                <c:pt idx="305">
                  <c:v>185.00700000000001</c:v>
                </c:pt>
                <c:pt idx="306">
                  <c:v>185.02</c:v>
                </c:pt>
                <c:pt idx="307">
                  <c:v>181.86799999999999</c:v>
                </c:pt>
                <c:pt idx="308">
                  <c:v>146.387</c:v>
                </c:pt>
                <c:pt idx="309">
                  <c:v>133.995</c:v>
                </c:pt>
                <c:pt idx="310">
                  <c:v>132.69900000000001</c:v>
                </c:pt>
                <c:pt idx="311">
                  <c:v>206.27199999999999</c:v>
                </c:pt>
                <c:pt idx="312">
                  <c:v>186.315</c:v>
                </c:pt>
                <c:pt idx="313">
                  <c:v>194.922</c:v>
                </c:pt>
                <c:pt idx="314">
                  <c:v>131.869</c:v>
                </c:pt>
                <c:pt idx="315">
                  <c:v>77.647999999999996</c:v>
                </c:pt>
                <c:pt idx="316">
                  <c:v>260.01800000000003</c:v>
                </c:pt>
                <c:pt idx="317">
                  <c:v>242.821</c:v>
                </c:pt>
                <c:pt idx="318">
                  <c:v>202.86799999999999</c:v>
                </c:pt>
                <c:pt idx="319">
                  <c:v>265.7</c:v>
                </c:pt>
                <c:pt idx="320">
                  <c:v>244.93799999999999</c:v>
                </c:pt>
                <c:pt idx="321">
                  <c:v>319.61399999999998</c:v>
                </c:pt>
                <c:pt idx="322">
                  <c:v>275.75799999999998</c:v>
                </c:pt>
                <c:pt idx="323">
                  <c:v>319.88799999999998</c:v>
                </c:pt>
                <c:pt idx="324">
                  <c:v>319.99700000000001</c:v>
                </c:pt>
                <c:pt idx="325">
                  <c:v>210</c:v>
                </c:pt>
                <c:pt idx="326">
                  <c:v>237.98</c:v>
                </c:pt>
                <c:pt idx="327">
                  <c:v>224</c:v>
                </c:pt>
                <c:pt idx="328">
                  <c:v>224.001</c:v>
                </c:pt>
                <c:pt idx="329">
                  <c:v>200.001</c:v>
                </c:pt>
                <c:pt idx="330">
                  <c:v>282.71699999999998</c:v>
                </c:pt>
                <c:pt idx="331">
                  <c:v>279.99700000000001</c:v>
                </c:pt>
                <c:pt idx="332">
                  <c:v>279.99900000000002</c:v>
                </c:pt>
                <c:pt idx="333">
                  <c:v>324.99799999999999</c:v>
                </c:pt>
                <c:pt idx="334">
                  <c:v>350.00099999999998</c:v>
                </c:pt>
                <c:pt idx="335">
                  <c:v>352.59699999999998</c:v>
                </c:pt>
                <c:pt idx="336">
                  <c:v>349.99700000000001</c:v>
                </c:pt>
                <c:pt idx="337">
                  <c:v>351.5</c:v>
                </c:pt>
                <c:pt idx="338">
                  <c:v>379.15800000000002</c:v>
                </c:pt>
                <c:pt idx="339">
                  <c:v>376.34300000000002</c:v>
                </c:pt>
                <c:pt idx="340">
                  <c:v>392.34300000000002</c:v>
                </c:pt>
                <c:pt idx="341">
                  <c:v>404.92200000000003</c:v>
                </c:pt>
                <c:pt idx="342">
                  <c:v>450.36599999999999</c:v>
                </c:pt>
                <c:pt idx="343">
                  <c:v>451.00099999999998</c:v>
                </c:pt>
                <c:pt idx="344">
                  <c:v>392.49700000000001</c:v>
                </c:pt>
                <c:pt idx="345">
                  <c:v>406.786</c:v>
                </c:pt>
                <c:pt idx="346">
                  <c:v>336.72699999999998</c:v>
                </c:pt>
                <c:pt idx="347">
                  <c:v>350.00200000000001</c:v>
                </c:pt>
                <c:pt idx="348">
                  <c:v>314.99200000000002</c:v>
                </c:pt>
                <c:pt idx="349">
                  <c:v>359.06300000000005</c:v>
                </c:pt>
                <c:pt idx="350">
                  <c:v>327.351</c:v>
                </c:pt>
                <c:pt idx="351">
                  <c:v>233.018</c:v>
                </c:pt>
                <c:pt idx="352">
                  <c:v>355.42600000000004</c:v>
                </c:pt>
                <c:pt idx="353">
                  <c:v>344.565</c:v>
                </c:pt>
                <c:pt idx="354">
                  <c:v>275.38200000000001</c:v>
                </c:pt>
                <c:pt idx="355">
                  <c:v>326.82400000000001</c:v>
                </c:pt>
                <c:pt idx="356">
                  <c:v>352.4</c:v>
                </c:pt>
                <c:pt idx="357">
                  <c:v>315.39499999999998</c:v>
                </c:pt>
                <c:pt idx="358">
                  <c:v>249.99799999999999</c:v>
                </c:pt>
                <c:pt idx="359">
                  <c:v>284.99799999999999</c:v>
                </c:pt>
                <c:pt idx="360">
                  <c:v>367.7</c:v>
                </c:pt>
                <c:pt idx="361">
                  <c:v>407.077</c:v>
                </c:pt>
                <c:pt idx="362">
                  <c:v>283.58500000000004</c:v>
                </c:pt>
                <c:pt idx="363">
                  <c:v>383.94500000000005</c:v>
                </c:pt>
                <c:pt idx="364">
                  <c:v>347.19200000000001</c:v>
                </c:pt>
              </c:numCache>
            </c:numRef>
          </c:val>
          <c:smooth val="0"/>
          <c:extLst>
            <c:ext xmlns:c16="http://schemas.microsoft.com/office/drawing/2014/chart" uri="{C3380CC4-5D6E-409C-BE32-E72D297353CC}">
              <c16:uniqueId val="{00000002-2242-49F8-AA28-5144B64B8EDF}"/>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2242-49F8-AA28-5144B64B8EDF}"/>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705</c:v>
                </c:pt>
                <c:pt idx="1">
                  <c:v>705</c:v>
                </c:pt>
                <c:pt idx="2">
                  <c:v>705</c:v>
                </c:pt>
                <c:pt idx="3">
                  <c:v>705</c:v>
                </c:pt>
                <c:pt idx="4">
                  <c:v>705</c:v>
                </c:pt>
                <c:pt idx="5">
                  <c:v>705</c:v>
                </c:pt>
                <c:pt idx="6">
                  <c:v>705</c:v>
                </c:pt>
                <c:pt idx="7">
                  <c:v>705</c:v>
                </c:pt>
                <c:pt idx="8">
                  <c:v>705</c:v>
                </c:pt>
                <c:pt idx="9">
                  <c:v>705</c:v>
                </c:pt>
                <c:pt idx="10">
                  <c:v>705</c:v>
                </c:pt>
                <c:pt idx="11">
                  <c:v>705</c:v>
                </c:pt>
                <c:pt idx="12">
                  <c:v>705</c:v>
                </c:pt>
                <c:pt idx="13">
                  <c:v>705</c:v>
                </c:pt>
                <c:pt idx="14">
                  <c:v>705</c:v>
                </c:pt>
                <c:pt idx="15">
                  <c:v>705</c:v>
                </c:pt>
                <c:pt idx="16">
                  <c:v>705</c:v>
                </c:pt>
                <c:pt idx="17">
                  <c:v>705</c:v>
                </c:pt>
                <c:pt idx="18">
                  <c:v>705</c:v>
                </c:pt>
                <c:pt idx="19">
                  <c:v>705</c:v>
                </c:pt>
                <c:pt idx="20">
                  <c:v>705</c:v>
                </c:pt>
                <c:pt idx="21">
                  <c:v>705</c:v>
                </c:pt>
                <c:pt idx="22">
                  <c:v>705</c:v>
                </c:pt>
                <c:pt idx="23">
                  <c:v>705</c:v>
                </c:pt>
                <c:pt idx="24">
                  <c:v>705</c:v>
                </c:pt>
                <c:pt idx="25">
                  <c:v>705</c:v>
                </c:pt>
                <c:pt idx="26">
                  <c:v>705</c:v>
                </c:pt>
                <c:pt idx="27">
                  <c:v>705</c:v>
                </c:pt>
                <c:pt idx="28">
                  <c:v>705</c:v>
                </c:pt>
                <c:pt idx="29">
                  <c:v>705</c:v>
                </c:pt>
                <c:pt idx="30">
                  <c:v>705</c:v>
                </c:pt>
                <c:pt idx="31">
                  <c:v>705</c:v>
                </c:pt>
                <c:pt idx="32">
                  <c:v>705</c:v>
                </c:pt>
                <c:pt idx="33">
                  <c:v>705</c:v>
                </c:pt>
                <c:pt idx="34">
                  <c:v>705</c:v>
                </c:pt>
                <c:pt idx="35">
                  <c:v>705</c:v>
                </c:pt>
                <c:pt idx="36">
                  <c:v>705</c:v>
                </c:pt>
                <c:pt idx="37">
                  <c:v>705</c:v>
                </c:pt>
                <c:pt idx="38">
                  <c:v>705</c:v>
                </c:pt>
                <c:pt idx="39">
                  <c:v>705</c:v>
                </c:pt>
                <c:pt idx="40">
                  <c:v>705</c:v>
                </c:pt>
                <c:pt idx="41">
                  <c:v>705</c:v>
                </c:pt>
                <c:pt idx="42">
                  <c:v>705</c:v>
                </c:pt>
                <c:pt idx="43">
                  <c:v>705</c:v>
                </c:pt>
                <c:pt idx="44">
                  <c:v>705</c:v>
                </c:pt>
                <c:pt idx="45">
                  <c:v>705</c:v>
                </c:pt>
                <c:pt idx="46">
                  <c:v>705</c:v>
                </c:pt>
                <c:pt idx="47">
                  <c:v>705</c:v>
                </c:pt>
                <c:pt idx="48">
                  <c:v>705</c:v>
                </c:pt>
                <c:pt idx="49">
                  <c:v>705</c:v>
                </c:pt>
                <c:pt idx="50">
                  <c:v>705</c:v>
                </c:pt>
                <c:pt idx="51">
                  <c:v>705</c:v>
                </c:pt>
                <c:pt idx="52">
                  <c:v>705</c:v>
                </c:pt>
                <c:pt idx="53">
                  <c:v>705</c:v>
                </c:pt>
                <c:pt idx="54">
                  <c:v>705</c:v>
                </c:pt>
                <c:pt idx="55">
                  <c:v>705</c:v>
                </c:pt>
                <c:pt idx="56">
                  <c:v>705</c:v>
                </c:pt>
                <c:pt idx="57">
                  <c:v>705</c:v>
                </c:pt>
                <c:pt idx="58">
                  <c:v>705</c:v>
                </c:pt>
                <c:pt idx="59">
                  <c:v>705</c:v>
                </c:pt>
                <c:pt idx="60">
                  <c:v>705</c:v>
                </c:pt>
                <c:pt idx="61">
                  <c:v>705</c:v>
                </c:pt>
                <c:pt idx="62">
                  <c:v>705</c:v>
                </c:pt>
                <c:pt idx="63">
                  <c:v>705</c:v>
                </c:pt>
                <c:pt idx="64">
                  <c:v>705</c:v>
                </c:pt>
                <c:pt idx="65">
                  <c:v>705</c:v>
                </c:pt>
                <c:pt idx="66">
                  <c:v>705</c:v>
                </c:pt>
                <c:pt idx="67">
                  <c:v>705</c:v>
                </c:pt>
                <c:pt idx="68">
                  <c:v>705</c:v>
                </c:pt>
                <c:pt idx="69">
                  <c:v>705</c:v>
                </c:pt>
                <c:pt idx="70">
                  <c:v>705</c:v>
                </c:pt>
                <c:pt idx="71">
                  <c:v>705</c:v>
                </c:pt>
                <c:pt idx="72">
                  <c:v>705</c:v>
                </c:pt>
                <c:pt idx="73">
                  <c:v>705</c:v>
                </c:pt>
                <c:pt idx="74">
                  <c:v>705</c:v>
                </c:pt>
                <c:pt idx="75">
                  <c:v>705</c:v>
                </c:pt>
                <c:pt idx="76">
                  <c:v>705</c:v>
                </c:pt>
                <c:pt idx="77">
                  <c:v>705</c:v>
                </c:pt>
                <c:pt idx="78">
                  <c:v>705</c:v>
                </c:pt>
                <c:pt idx="79">
                  <c:v>705</c:v>
                </c:pt>
                <c:pt idx="80">
                  <c:v>705</c:v>
                </c:pt>
                <c:pt idx="81">
                  <c:v>705</c:v>
                </c:pt>
                <c:pt idx="82">
                  <c:v>705</c:v>
                </c:pt>
                <c:pt idx="83">
                  <c:v>705</c:v>
                </c:pt>
                <c:pt idx="84">
                  <c:v>705</c:v>
                </c:pt>
                <c:pt idx="85">
                  <c:v>705</c:v>
                </c:pt>
                <c:pt idx="86">
                  <c:v>705</c:v>
                </c:pt>
                <c:pt idx="87">
                  <c:v>705</c:v>
                </c:pt>
                <c:pt idx="88">
                  <c:v>705</c:v>
                </c:pt>
                <c:pt idx="89">
                  <c:v>705</c:v>
                </c:pt>
                <c:pt idx="90">
                  <c:v>705</c:v>
                </c:pt>
                <c:pt idx="91">
                  <c:v>705</c:v>
                </c:pt>
                <c:pt idx="92">
                  <c:v>680</c:v>
                </c:pt>
                <c:pt idx="93">
                  <c:v>680</c:v>
                </c:pt>
                <c:pt idx="94">
                  <c:v>680</c:v>
                </c:pt>
                <c:pt idx="95">
                  <c:v>680</c:v>
                </c:pt>
                <c:pt idx="96">
                  <c:v>680</c:v>
                </c:pt>
                <c:pt idx="97">
                  <c:v>680</c:v>
                </c:pt>
                <c:pt idx="98">
                  <c:v>680</c:v>
                </c:pt>
                <c:pt idx="99">
                  <c:v>680</c:v>
                </c:pt>
                <c:pt idx="100">
                  <c:v>680</c:v>
                </c:pt>
                <c:pt idx="101">
                  <c:v>680</c:v>
                </c:pt>
                <c:pt idx="102">
                  <c:v>680</c:v>
                </c:pt>
                <c:pt idx="103">
                  <c:v>680</c:v>
                </c:pt>
                <c:pt idx="104">
                  <c:v>680</c:v>
                </c:pt>
                <c:pt idx="105">
                  <c:v>680</c:v>
                </c:pt>
                <c:pt idx="106">
                  <c:v>680</c:v>
                </c:pt>
                <c:pt idx="107">
                  <c:v>680</c:v>
                </c:pt>
                <c:pt idx="108">
                  <c:v>680</c:v>
                </c:pt>
                <c:pt idx="109">
                  <c:v>680</c:v>
                </c:pt>
                <c:pt idx="110">
                  <c:v>680</c:v>
                </c:pt>
                <c:pt idx="111">
                  <c:v>680</c:v>
                </c:pt>
                <c:pt idx="112">
                  <c:v>680</c:v>
                </c:pt>
                <c:pt idx="113">
                  <c:v>680</c:v>
                </c:pt>
                <c:pt idx="114">
                  <c:v>680</c:v>
                </c:pt>
                <c:pt idx="115">
                  <c:v>680</c:v>
                </c:pt>
                <c:pt idx="116">
                  <c:v>680</c:v>
                </c:pt>
                <c:pt idx="117">
                  <c:v>680</c:v>
                </c:pt>
                <c:pt idx="118">
                  <c:v>680</c:v>
                </c:pt>
                <c:pt idx="119">
                  <c:v>680</c:v>
                </c:pt>
                <c:pt idx="120">
                  <c:v>680</c:v>
                </c:pt>
                <c:pt idx="121">
                  <c:v>680</c:v>
                </c:pt>
                <c:pt idx="122">
                  <c:v>680</c:v>
                </c:pt>
                <c:pt idx="123">
                  <c:v>680</c:v>
                </c:pt>
                <c:pt idx="124">
                  <c:v>680</c:v>
                </c:pt>
                <c:pt idx="125">
                  <c:v>680</c:v>
                </c:pt>
                <c:pt idx="126">
                  <c:v>680</c:v>
                </c:pt>
                <c:pt idx="127">
                  <c:v>680</c:v>
                </c:pt>
                <c:pt idx="128">
                  <c:v>680</c:v>
                </c:pt>
                <c:pt idx="129">
                  <c:v>680</c:v>
                </c:pt>
                <c:pt idx="130">
                  <c:v>680</c:v>
                </c:pt>
                <c:pt idx="131">
                  <c:v>680</c:v>
                </c:pt>
                <c:pt idx="132">
                  <c:v>680</c:v>
                </c:pt>
                <c:pt idx="133">
                  <c:v>680</c:v>
                </c:pt>
                <c:pt idx="134">
                  <c:v>680</c:v>
                </c:pt>
                <c:pt idx="135">
                  <c:v>680</c:v>
                </c:pt>
                <c:pt idx="136">
                  <c:v>680</c:v>
                </c:pt>
                <c:pt idx="137">
                  <c:v>680</c:v>
                </c:pt>
                <c:pt idx="138">
                  <c:v>680</c:v>
                </c:pt>
                <c:pt idx="139">
                  <c:v>680</c:v>
                </c:pt>
                <c:pt idx="140">
                  <c:v>680</c:v>
                </c:pt>
                <c:pt idx="141">
                  <c:v>680</c:v>
                </c:pt>
                <c:pt idx="142">
                  <c:v>680</c:v>
                </c:pt>
                <c:pt idx="143">
                  <c:v>680</c:v>
                </c:pt>
                <c:pt idx="144">
                  <c:v>680</c:v>
                </c:pt>
                <c:pt idx="145">
                  <c:v>680</c:v>
                </c:pt>
                <c:pt idx="146">
                  <c:v>680</c:v>
                </c:pt>
                <c:pt idx="147">
                  <c:v>680</c:v>
                </c:pt>
                <c:pt idx="148">
                  <c:v>680</c:v>
                </c:pt>
                <c:pt idx="149">
                  <c:v>680</c:v>
                </c:pt>
                <c:pt idx="150">
                  <c:v>680</c:v>
                </c:pt>
                <c:pt idx="151">
                  <c:v>680</c:v>
                </c:pt>
                <c:pt idx="152">
                  <c:v>680</c:v>
                </c:pt>
                <c:pt idx="153">
                  <c:v>680</c:v>
                </c:pt>
                <c:pt idx="154">
                  <c:v>680</c:v>
                </c:pt>
                <c:pt idx="155">
                  <c:v>680</c:v>
                </c:pt>
                <c:pt idx="156">
                  <c:v>680</c:v>
                </c:pt>
                <c:pt idx="157">
                  <c:v>680</c:v>
                </c:pt>
                <c:pt idx="158">
                  <c:v>680</c:v>
                </c:pt>
                <c:pt idx="159">
                  <c:v>680</c:v>
                </c:pt>
                <c:pt idx="160">
                  <c:v>680</c:v>
                </c:pt>
                <c:pt idx="161">
                  <c:v>680</c:v>
                </c:pt>
                <c:pt idx="162">
                  <c:v>680</c:v>
                </c:pt>
                <c:pt idx="163">
                  <c:v>680</c:v>
                </c:pt>
                <c:pt idx="164">
                  <c:v>680</c:v>
                </c:pt>
                <c:pt idx="165">
                  <c:v>680</c:v>
                </c:pt>
                <c:pt idx="166">
                  <c:v>680</c:v>
                </c:pt>
                <c:pt idx="167">
                  <c:v>680</c:v>
                </c:pt>
                <c:pt idx="168">
                  <c:v>680</c:v>
                </c:pt>
                <c:pt idx="169">
                  <c:v>680</c:v>
                </c:pt>
                <c:pt idx="170">
                  <c:v>680</c:v>
                </c:pt>
                <c:pt idx="171">
                  <c:v>680</c:v>
                </c:pt>
                <c:pt idx="172">
                  <c:v>680</c:v>
                </c:pt>
                <c:pt idx="173">
                  <c:v>680</c:v>
                </c:pt>
                <c:pt idx="174">
                  <c:v>680</c:v>
                </c:pt>
                <c:pt idx="175">
                  <c:v>680</c:v>
                </c:pt>
                <c:pt idx="176">
                  <c:v>680</c:v>
                </c:pt>
                <c:pt idx="177">
                  <c:v>680</c:v>
                </c:pt>
                <c:pt idx="178">
                  <c:v>680</c:v>
                </c:pt>
                <c:pt idx="179">
                  <c:v>680</c:v>
                </c:pt>
                <c:pt idx="180">
                  <c:v>680</c:v>
                </c:pt>
                <c:pt idx="181">
                  <c:v>680</c:v>
                </c:pt>
                <c:pt idx="182">
                  <c:v>680</c:v>
                </c:pt>
                <c:pt idx="183">
                  <c:v>680</c:v>
                </c:pt>
                <c:pt idx="184">
                  <c:v>680</c:v>
                </c:pt>
                <c:pt idx="185">
                  <c:v>680</c:v>
                </c:pt>
                <c:pt idx="186">
                  <c:v>680</c:v>
                </c:pt>
                <c:pt idx="187">
                  <c:v>680</c:v>
                </c:pt>
                <c:pt idx="188">
                  <c:v>680</c:v>
                </c:pt>
                <c:pt idx="189">
                  <c:v>680</c:v>
                </c:pt>
                <c:pt idx="190">
                  <c:v>680</c:v>
                </c:pt>
                <c:pt idx="191">
                  <c:v>680</c:v>
                </c:pt>
                <c:pt idx="192">
                  <c:v>680</c:v>
                </c:pt>
                <c:pt idx="193">
                  <c:v>680</c:v>
                </c:pt>
                <c:pt idx="194">
                  <c:v>680</c:v>
                </c:pt>
                <c:pt idx="195">
                  <c:v>680</c:v>
                </c:pt>
                <c:pt idx="196">
                  <c:v>680</c:v>
                </c:pt>
                <c:pt idx="197">
                  <c:v>680</c:v>
                </c:pt>
                <c:pt idx="198">
                  <c:v>680</c:v>
                </c:pt>
                <c:pt idx="199">
                  <c:v>680</c:v>
                </c:pt>
                <c:pt idx="200">
                  <c:v>680</c:v>
                </c:pt>
                <c:pt idx="201">
                  <c:v>680</c:v>
                </c:pt>
                <c:pt idx="202">
                  <c:v>680</c:v>
                </c:pt>
                <c:pt idx="203">
                  <c:v>680</c:v>
                </c:pt>
                <c:pt idx="204">
                  <c:v>680</c:v>
                </c:pt>
                <c:pt idx="205">
                  <c:v>680</c:v>
                </c:pt>
                <c:pt idx="206">
                  <c:v>680</c:v>
                </c:pt>
                <c:pt idx="207">
                  <c:v>680</c:v>
                </c:pt>
                <c:pt idx="208">
                  <c:v>680</c:v>
                </c:pt>
                <c:pt idx="209">
                  <c:v>680</c:v>
                </c:pt>
                <c:pt idx="210">
                  <c:v>680</c:v>
                </c:pt>
                <c:pt idx="211">
                  <c:v>680</c:v>
                </c:pt>
                <c:pt idx="212">
                  <c:v>680</c:v>
                </c:pt>
                <c:pt idx="213">
                  <c:v>680</c:v>
                </c:pt>
                <c:pt idx="214">
                  <c:v>680</c:v>
                </c:pt>
                <c:pt idx="215">
                  <c:v>680</c:v>
                </c:pt>
                <c:pt idx="216">
                  <c:v>680</c:v>
                </c:pt>
                <c:pt idx="217">
                  <c:v>680</c:v>
                </c:pt>
                <c:pt idx="218">
                  <c:v>680</c:v>
                </c:pt>
                <c:pt idx="219">
                  <c:v>680</c:v>
                </c:pt>
                <c:pt idx="220">
                  <c:v>680</c:v>
                </c:pt>
                <c:pt idx="221">
                  <c:v>680</c:v>
                </c:pt>
                <c:pt idx="222">
                  <c:v>680</c:v>
                </c:pt>
                <c:pt idx="223">
                  <c:v>680</c:v>
                </c:pt>
                <c:pt idx="224">
                  <c:v>680</c:v>
                </c:pt>
                <c:pt idx="225">
                  <c:v>680</c:v>
                </c:pt>
                <c:pt idx="226">
                  <c:v>680</c:v>
                </c:pt>
                <c:pt idx="227">
                  <c:v>680</c:v>
                </c:pt>
                <c:pt idx="228">
                  <c:v>680</c:v>
                </c:pt>
                <c:pt idx="229">
                  <c:v>680</c:v>
                </c:pt>
                <c:pt idx="230">
                  <c:v>680</c:v>
                </c:pt>
                <c:pt idx="231">
                  <c:v>680</c:v>
                </c:pt>
                <c:pt idx="232">
                  <c:v>680</c:v>
                </c:pt>
                <c:pt idx="233">
                  <c:v>680</c:v>
                </c:pt>
                <c:pt idx="234">
                  <c:v>680</c:v>
                </c:pt>
                <c:pt idx="235">
                  <c:v>680</c:v>
                </c:pt>
                <c:pt idx="236">
                  <c:v>680</c:v>
                </c:pt>
                <c:pt idx="237">
                  <c:v>680</c:v>
                </c:pt>
                <c:pt idx="238">
                  <c:v>680</c:v>
                </c:pt>
                <c:pt idx="239">
                  <c:v>680</c:v>
                </c:pt>
                <c:pt idx="240">
                  <c:v>680</c:v>
                </c:pt>
                <c:pt idx="241">
                  <c:v>680</c:v>
                </c:pt>
                <c:pt idx="242">
                  <c:v>680</c:v>
                </c:pt>
                <c:pt idx="243">
                  <c:v>680</c:v>
                </c:pt>
                <c:pt idx="244">
                  <c:v>680</c:v>
                </c:pt>
                <c:pt idx="245">
                  <c:v>680</c:v>
                </c:pt>
                <c:pt idx="246">
                  <c:v>680</c:v>
                </c:pt>
                <c:pt idx="247">
                  <c:v>680</c:v>
                </c:pt>
                <c:pt idx="248">
                  <c:v>680</c:v>
                </c:pt>
                <c:pt idx="249">
                  <c:v>680</c:v>
                </c:pt>
                <c:pt idx="250">
                  <c:v>680</c:v>
                </c:pt>
                <c:pt idx="251">
                  <c:v>680</c:v>
                </c:pt>
                <c:pt idx="252">
                  <c:v>680</c:v>
                </c:pt>
                <c:pt idx="253">
                  <c:v>680</c:v>
                </c:pt>
                <c:pt idx="254">
                  <c:v>680</c:v>
                </c:pt>
                <c:pt idx="255">
                  <c:v>680</c:v>
                </c:pt>
                <c:pt idx="256">
                  <c:v>680</c:v>
                </c:pt>
                <c:pt idx="257">
                  <c:v>680</c:v>
                </c:pt>
                <c:pt idx="258">
                  <c:v>680</c:v>
                </c:pt>
                <c:pt idx="259">
                  <c:v>680</c:v>
                </c:pt>
                <c:pt idx="260">
                  <c:v>680</c:v>
                </c:pt>
                <c:pt idx="261">
                  <c:v>680</c:v>
                </c:pt>
                <c:pt idx="262">
                  <c:v>680</c:v>
                </c:pt>
                <c:pt idx="263">
                  <c:v>680</c:v>
                </c:pt>
                <c:pt idx="264">
                  <c:v>680</c:v>
                </c:pt>
                <c:pt idx="265">
                  <c:v>680</c:v>
                </c:pt>
                <c:pt idx="266">
                  <c:v>680</c:v>
                </c:pt>
                <c:pt idx="267">
                  <c:v>680</c:v>
                </c:pt>
                <c:pt idx="268">
                  <c:v>680</c:v>
                </c:pt>
                <c:pt idx="269">
                  <c:v>680</c:v>
                </c:pt>
                <c:pt idx="270">
                  <c:v>680</c:v>
                </c:pt>
                <c:pt idx="271">
                  <c:v>680</c:v>
                </c:pt>
                <c:pt idx="272">
                  <c:v>680</c:v>
                </c:pt>
                <c:pt idx="273">
                  <c:v>680</c:v>
                </c:pt>
                <c:pt idx="274">
                  <c:v>680</c:v>
                </c:pt>
                <c:pt idx="275">
                  <c:v>680</c:v>
                </c:pt>
                <c:pt idx="276">
                  <c:v>680</c:v>
                </c:pt>
                <c:pt idx="277">
                  <c:v>680</c:v>
                </c:pt>
                <c:pt idx="278">
                  <c:v>680</c:v>
                </c:pt>
                <c:pt idx="279">
                  <c:v>680</c:v>
                </c:pt>
                <c:pt idx="280">
                  <c:v>680</c:v>
                </c:pt>
                <c:pt idx="281">
                  <c:v>680</c:v>
                </c:pt>
                <c:pt idx="282">
                  <c:v>680</c:v>
                </c:pt>
                <c:pt idx="283">
                  <c:v>680</c:v>
                </c:pt>
                <c:pt idx="284">
                  <c:v>680</c:v>
                </c:pt>
                <c:pt idx="285">
                  <c:v>680</c:v>
                </c:pt>
                <c:pt idx="286">
                  <c:v>680</c:v>
                </c:pt>
                <c:pt idx="287">
                  <c:v>680</c:v>
                </c:pt>
                <c:pt idx="288">
                  <c:v>680</c:v>
                </c:pt>
                <c:pt idx="289">
                  <c:v>680</c:v>
                </c:pt>
                <c:pt idx="290">
                  <c:v>680</c:v>
                </c:pt>
                <c:pt idx="291">
                  <c:v>680</c:v>
                </c:pt>
                <c:pt idx="292">
                  <c:v>680</c:v>
                </c:pt>
                <c:pt idx="293">
                  <c:v>680</c:v>
                </c:pt>
                <c:pt idx="294">
                  <c:v>680</c:v>
                </c:pt>
                <c:pt idx="295">
                  <c:v>680</c:v>
                </c:pt>
                <c:pt idx="296">
                  <c:v>680</c:v>
                </c:pt>
                <c:pt idx="297">
                  <c:v>680</c:v>
                </c:pt>
                <c:pt idx="298">
                  <c:v>680</c:v>
                </c:pt>
                <c:pt idx="299">
                  <c:v>680</c:v>
                </c:pt>
                <c:pt idx="300">
                  <c:v>680</c:v>
                </c:pt>
                <c:pt idx="301">
                  <c:v>680</c:v>
                </c:pt>
                <c:pt idx="302">
                  <c:v>680</c:v>
                </c:pt>
                <c:pt idx="303">
                  <c:v>680</c:v>
                </c:pt>
                <c:pt idx="304">
                  <c:v>705</c:v>
                </c:pt>
                <c:pt idx="305">
                  <c:v>705</c:v>
                </c:pt>
                <c:pt idx="306">
                  <c:v>705</c:v>
                </c:pt>
                <c:pt idx="307">
                  <c:v>705</c:v>
                </c:pt>
                <c:pt idx="308">
                  <c:v>705</c:v>
                </c:pt>
                <c:pt idx="309">
                  <c:v>705</c:v>
                </c:pt>
                <c:pt idx="310">
                  <c:v>705</c:v>
                </c:pt>
                <c:pt idx="311">
                  <c:v>705</c:v>
                </c:pt>
                <c:pt idx="312">
                  <c:v>705</c:v>
                </c:pt>
                <c:pt idx="313">
                  <c:v>705</c:v>
                </c:pt>
                <c:pt idx="314">
                  <c:v>705</c:v>
                </c:pt>
                <c:pt idx="315">
                  <c:v>705</c:v>
                </c:pt>
                <c:pt idx="316">
                  <c:v>705</c:v>
                </c:pt>
                <c:pt idx="317">
                  <c:v>705</c:v>
                </c:pt>
                <c:pt idx="318">
                  <c:v>705</c:v>
                </c:pt>
                <c:pt idx="319">
                  <c:v>705</c:v>
                </c:pt>
                <c:pt idx="320">
                  <c:v>705</c:v>
                </c:pt>
                <c:pt idx="321">
                  <c:v>705</c:v>
                </c:pt>
                <c:pt idx="322">
                  <c:v>705</c:v>
                </c:pt>
                <c:pt idx="323">
                  <c:v>705</c:v>
                </c:pt>
                <c:pt idx="324">
                  <c:v>705</c:v>
                </c:pt>
                <c:pt idx="325">
                  <c:v>705</c:v>
                </c:pt>
                <c:pt idx="326">
                  <c:v>705</c:v>
                </c:pt>
                <c:pt idx="327">
                  <c:v>705</c:v>
                </c:pt>
                <c:pt idx="328">
                  <c:v>705</c:v>
                </c:pt>
                <c:pt idx="329">
                  <c:v>705</c:v>
                </c:pt>
                <c:pt idx="330">
                  <c:v>705</c:v>
                </c:pt>
                <c:pt idx="331">
                  <c:v>705</c:v>
                </c:pt>
                <c:pt idx="332">
                  <c:v>705</c:v>
                </c:pt>
                <c:pt idx="333">
                  <c:v>705</c:v>
                </c:pt>
                <c:pt idx="334">
                  <c:v>705</c:v>
                </c:pt>
                <c:pt idx="335">
                  <c:v>705</c:v>
                </c:pt>
                <c:pt idx="336">
                  <c:v>705</c:v>
                </c:pt>
                <c:pt idx="337">
                  <c:v>705</c:v>
                </c:pt>
                <c:pt idx="338">
                  <c:v>705</c:v>
                </c:pt>
                <c:pt idx="339">
                  <c:v>705</c:v>
                </c:pt>
                <c:pt idx="340">
                  <c:v>705</c:v>
                </c:pt>
                <c:pt idx="341">
                  <c:v>705</c:v>
                </c:pt>
                <c:pt idx="342">
                  <c:v>705</c:v>
                </c:pt>
                <c:pt idx="343">
                  <c:v>705</c:v>
                </c:pt>
                <c:pt idx="344">
                  <c:v>705</c:v>
                </c:pt>
                <c:pt idx="345">
                  <c:v>705</c:v>
                </c:pt>
                <c:pt idx="346">
                  <c:v>705</c:v>
                </c:pt>
                <c:pt idx="347">
                  <c:v>705</c:v>
                </c:pt>
                <c:pt idx="348">
                  <c:v>705</c:v>
                </c:pt>
                <c:pt idx="349">
                  <c:v>705</c:v>
                </c:pt>
                <c:pt idx="350">
                  <c:v>705</c:v>
                </c:pt>
                <c:pt idx="351">
                  <c:v>705</c:v>
                </c:pt>
                <c:pt idx="352">
                  <c:v>705</c:v>
                </c:pt>
                <c:pt idx="353">
                  <c:v>705</c:v>
                </c:pt>
                <c:pt idx="354">
                  <c:v>705</c:v>
                </c:pt>
                <c:pt idx="355">
                  <c:v>705</c:v>
                </c:pt>
                <c:pt idx="356">
                  <c:v>705</c:v>
                </c:pt>
                <c:pt idx="357">
                  <c:v>705</c:v>
                </c:pt>
                <c:pt idx="358">
                  <c:v>705</c:v>
                </c:pt>
                <c:pt idx="359">
                  <c:v>705</c:v>
                </c:pt>
                <c:pt idx="360">
                  <c:v>705</c:v>
                </c:pt>
                <c:pt idx="361">
                  <c:v>705</c:v>
                </c:pt>
                <c:pt idx="362">
                  <c:v>705</c:v>
                </c:pt>
                <c:pt idx="363">
                  <c:v>705</c:v>
                </c:pt>
                <c:pt idx="364">
                  <c:v>705</c:v>
                </c:pt>
              </c:numCache>
            </c:numRef>
          </c:val>
          <c:smooth val="0"/>
          <c:extLst>
            <c:ext xmlns:c16="http://schemas.microsoft.com/office/drawing/2014/chart" uri="{C3380CC4-5D6E-409C-BE32-E72D297353CC}">
              <c16:uniqueId val="{00000005-2242-49F8-AA28-5144B64B8EDF}"/>
            </c:ext>
          </c:extLst>
        </c:ser>
        <c:dLbls>
          <c:showLegendKey val="0"/>
          <c:showVal val="0"/>
          <c:showCatName val="0"/>
          <c:showSerName val="0"/>
          <c:showPercent val="0"/>
          <c:showBubbleSize val="0"/>
        </c:dLbls>
        <c:marker val="1"/>
        <c:smooth val="0"/>
        <c:axId val="238084960"/>
        <c:axId val="1"/>
      </c:lineChart>
      <c:dateAx>
        <c:axId val="238084960"/>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238084960"/>
        <c:crosses val="autoZero"/>
        <c:crossBetween val="between"/>
      </c:valAx>
      <c:spPr>
        <a:noFill/>
        <a:ln w="25400">
          <a:noFill/>
        </a:ln>
      </c:spPr>
    </c:plotArea>
    <c:legend>
      <c:legendPos val="b"/>
      <c:layout>
        <c:manualLayout>
          <c:xMode val="edge"/>
          <c:yMode val="edge"/>
          <c:x val="2.216358593473688E-3"/>
          <c:y val="0.68006961895720486"/>
          <c:w val="0.8222769494238753"/>
          <c:h val="4.5013557702450302E-2"/>
        </c:manualLayout>
      </c:layout>
      <c:overlay val="0"/>
      <c:spPr>
        <a:noFill/>
        <a:ln w="25400">
          <a:noFill/>
        </a:ln>
      </c:spPr>
      <c:txPr>
        <a:bodyPr/>
        <a:lstStyle/>
        <a:p>
          <a:pPr>
            <a:defRPr sz="65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0.21835198173946366</c:v>
                </c:pt>
                <c:pt idx="1">
                  <c:v>0.39201415102155174</c:v>
                </c:pt>
                <c:pt idx="2">
                  <c:v>0</c:v>
                </c:pt>
                <c:pt idx="3">
                  <c:v>0</c:v>
                </c:pt>
                <c:pt idx="4">
                  <c:v>0</c:v>
                </c:pt>
                <c:pt idx="5">
                  <c:v>0</c:v>
                </c:pt>
                <c:pt idx="6">
                  <c:v>2.8287014807482611E-2</c:v>
                </c:pt>
                <c:pt idx="7">
                  <c:v>5.0784563558120506E-2</c:v>
                </c:pt>
                <c:pt idx="8">
                  <c:v>0</c:v>
                </c:pt>
                <c:pt idx="9">
                  <c:v>0</c:v>
                </c:pt>
                <c:pt idx="10">
                  <c:v>2.4517962394854122E-2</c:v>
                </c:pt>
                <c:pt idx="11">
                  <c:v>4.4017865725007821E-2</c:v>
                </c:pt>
                <c:pt idx="12">
                  <c:v>0</c:v>
                </c:pt>
                <c:pt idx="13">
                  <c:v>0</c:v>
                </c:pt>
                <c:pt idx="14">
                  <c:v>0</c:v>
                </c:pt>
                <c:pt idx="15">
                  <c:v>0</c:v>
                </c:pt>
                <c:pt idx="16">
                  <c:v>0</c:v>
                </c:pt>
                <c:pt idx="17">
                  <c:v>0</c:v>
                </c:pt>
                <c:pt idx="18">
                  <c:v>1.4889025562013786E-2</c:v>
                </c:pt>
                <c:pt idx="19">
                  <c:v>2.67307338762574E-2</c:v>
                </c:pt>
              </c:numCache>
            </c:numRef>
          </c:val>
          <c:extLst>
            <c:ext xmlns:c16="http://schemas.microsoft.com/office/drawing/2014/chart" uri="{C3380CC4-5D6E-409C-BE32-E72D297353CC}">
              <c16:uniqueId val="{00000000-BD71-4020-8846-3CCCE3BF563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0.43229556542174291</c:v>
                </c:pt>
                <c:pt idx="2">
                  <c:v>0</c:v>
                </c:pt>
                <c:pt idx="3">
                  <c:v>0</c:v>
                </c:pt>
                <c:pt idx="4">
                  <c:v>0</c:v>
                </c:pt>
                <c:pt idx="5">
                  <c:v>0</c:v>
                </c:pt>
                <c:pt idx="6">
                  <c:v>0</c:v>
                </c:pt>
                <c:pt idx="7">
                  <c:v>5.6002931426950418E-2</c:v>
                </c:pt>
                <c:pt idx="8">
                  <c:v>0</c:v>
                </c:pt>
                <c:pt idx="9">
                  <c:v>0</c:v>
                </c:pt>
                <c:pt idx="10">
                  <c:v>0</c:v>
                </c:pt>
                <c:pt idx="11">
                  <c:v>4.8540921552611173E-2</c:v>
                </c:pt>
                <c:pt idx="12">
                  <c:v>0</c:v>
                </c:pt>
                <c:pt idx="13">
                  <c:v>0</c:v>
                </c:pt>
                <c:pt idx="14">
                  <c:v>0</c:v>
                </c:pt>
                <c:pt idx="15">
                  <c:v>0</c:v>
                </c:pt>
                <c:pt idx="16">
                  <c:v>0</c:v>
                </c:pt>
                <c:pt idx="17">
                  <c:v>0</c:v>
                </c:pt>
                <c:pt idx="18">
                  <c:v>0</c:v>
                </c:pt>
                <c:pt idx="19">
                  <c:v>2.9477450456985011E-2</c:v>
                </c:pt>
              </c:numCache>
            </c:numRef>
          </c:val>
          <c:extLst>
            <c:ext xmlns:c16="http://schemas.microsoft.com/office/drawing/2014/chart" uri="{C3380CC4-5D6E-409C-BE32-E72D297353CC}">
              <c16:uniqueId val="{00000001-BD71-4020-8846-3CCCE3BF563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0.60819794808694005</c:v>
                </c:pt>
                <c:pt idx="1">
                  <c:v>0.60819794808694005</c:v>
                </c:pt>
                <c:pt idx="2">
                  <c:v>0</c:v>
                </c:pt>
                <c:pt idx="3">
                  <c:v>0</c:v>
                </c:pt>
                <c:pt idx="4">
                  <c:v>0</c:v>
                </c:pt>
                <c:pt idx="5">
                  <c:v>0</c:v>
                </c:pt>
                <c:pt idx="6">
                  <c:v>7.8790694851323367E-2</c:v>
                </c:pt>
                <c:pt idx="7">
                  <c:v>7.8790694851323367E-2</c:v>
                </c:pt>
                <c:pt idx="8">
                  <c:v>0</c:v>
                </c:pt>
                <c:pt idx="9">
                  <c:v>0</c:v>
                </c:pt>
                <c:pt idx="10">
                  <c:v>6.8292370424261492E-2</c:v>
                </c:pt>
                <c:pt idx="11">
                  <c:v>6.8292370424261492E-2</c:v>
                </c:pt>
                <c:pt idx="12">
                  <c:v>0</c:v>
                </c:pt>
                <c:pt idx="13">
                  <c:v>0</c:v>
                </c:pt>
                <c:pt idx="14">
                  <c:v>0</c:v>
                </c:pt>
                <c:pt idx="15">
                  <c:v>0</c:v>
                </c:pt>
                <c:pt idx="16">
                  <c:v>0</c:v>
                </c:pt>
                <c:pt idx="17">
                  <c:v>0</c:v>
                </c:pt>
                <c:pt idx="18">
                  <c:v>4.147191485825729E-2</c:v>
                </c:pt>
                <c:pt idx="19">
                  <c:v>4.147191485825729E-2</c:v>
                </c:pt>
              </c:numCache>
            </c:numRef>
          </c:val>
          <c:extLst>
            <c:ext xmlns:c16="http://schemas.microsoft.com/office/drawing/2014/chart" uri="{C3380CC4-5D6E-409C-BE32-E72D297353CC}">
              <c16:uniqueId val="{00000002-BD71-4020-8846-3CCCE3BF5637}"/>
            </c:ext>
          </c:extLst>
        </c:ser>
        <c:dLbls>
          <c:showLegendKey val="0"/>
          <c:showVal val="0"/>
          <c:showCatName val="0"/>
          <c:showSerName val="0"/>
          <c:showPercent val="0"/>
          <c:showBubbleSize val="0"/>
        </c:dLbls>
        <c:gapWidth val="34"/>
        <c:overlap val="100"/>
        <c:axId val="238082560"/>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0.82654992982640374</c:v>
                </c:pt>
                <c:pt idx="1">
                  <c:v>1.4325076645302346</c:v>
                </c:pt>
                <c:pt idx="2">
                  <c:v>0</c:v>
                </c:pt>
                <c:pt idx="3">
                  <c:v>0</c:v>
                </c:pt>
                <c:pt idx="4">
                  <c:v>0</c:v>
                </c:pt>
                <c:pt idx="5">
                  <c:v>0</c:v>
                </c:pt>
                <c:pt idx="6">
                  <c:v>0.10707770965880598</c:v>
                </c:pt>
                <c:pt idx="7">
                  <c:v>0.18557818983639429</c:v>
                </c:pt>
                <c:pt idx="8">
                  <c:v>0</c:v>
                </c:pt>
                <c:pt idx="9">
                  <c:v>0</c:v>
                </c:pt>
                <c:pt idx="10">
                  <c:v>9.2810332819115618E-2</c:v>
                </c:pt>
                <c:pt idx="11">
                  <c:v>0.16085115770188047</c:v>
                </c:pt>
                <c:pt idx="12">
                  <c:v>0</c:v>
                </c:pt>
                <c:pt idx="13">
                  <c:v>0</c:v>
                </c:pt>
                <c:pt idx="14">
                  <c:v>0</c:v>
                </c:pt>
                <c:pt idx="15">
                  <c:v>0</c:v>
                </c:pt>
                <c:pt idx="16">
                  <c:v>0</c:v>
                </c:pt>
                <c:pt idx="17">
                  <c:v>0</c:v>
                </c:pt>
                <c:pt idx="18">
                  <c:v>5.636094042027108E-2</c:v>
                </c:pt>
                <c:pt idx="19">
                  <c:v>9.7680099191499697E-2</c:v>
                </c:pt>
              </c:numCache>
            </c:numRef>
          </c:val>
          <c:smooth val="0"/>
          <c:extLst>
            <c:ext xmlns:c16="http://schemas.microsoft.com/office/drawing/2014/chart" uri="{C3380CC4-5D6E-409C-BE32-E72D297353CC}">
              <c16:uniqueId val="{00000003-BD71-4020-8846-3CCCE3BF5637}"/>
            </c:ext>
          </c:extLst>
        </c:ser>
        <c:dLbls>
          <c:showLegendKey val="0"/>
          <c:showVal val="0"/>
          <c:showCatName val="0"/>
          <c:showSerName val="0"/>
          <c:showPercent val="0"/>
          <c:showBubbleSize val="0"/>
        </c:dLbls>
        <c:marker val="1"/>
        <c:smooth val="0"/>
        <c:axId val="238082560"/>
        <c:axId val="1"/>
      </c:lineChart>
      <c:catAx>
        <c:axId val="238082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238082560"/>
        <c:crosses val="autoZero"/>
        <c:crossBetween val="between"/>
      </c:valAx>
      <c:spPr>
        <a:noFill/>
        <a:ln w="25400">
          <a:noFill/>
        </a:ln>
      </c:spPr>
    </c:plotArea>
    <c:legend>
      <c:legendPos val="b"/>
      <c:legendEntry>
        <c:idx val="3"/>
        <c:delete val="1"/>
      </c:legendEntry>
      <c:layout>
        <c:manualLayout>
          <c:xMode val="edge"/>
          <c:yMode val="edge"/>
          <c:x val="2.6911428970786935E-3"/>
          <c:y val="5.5957352142801745E-3"/>
          <c:w val="0.34500540041424355"/>
          <c:h val="1.7586444773718995E-2"/>
        </c:manualLayout>
      </c:layout>
      <c:overlay val="0"/>
      <c:spPr>
        <a:noFill/>
        <a:ln w="25400">
          <a:noFill/>
        </a:ln>
      </c:spPr>
      <c:txPr>
        <a:bodyPr/>
        <a:lstStyle/>
        <a:p>
          <a:pPr>
            <a:defRPr sz="60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104775</xdr:rowOff>
    </xdr:from>
    <xdr:to>
      <xdr:col>1</xdr:col>
      <xdr:colOff>790575</xdr:colOff>
      <xdr:row>1</xdr:row>
      <xdr:rowOff>11112</xdr:rowOff>
    </xdr:to>
    <xdr:pic>
      <xdr:nvPicPr>
        <xdr:cNvPr id="3934381" name="Picture 2">
          <a:extLst>
            <a:ext uri="{FF2B5EF4-FFF2-40B4-BE49-F238E27FC236}">
              <a16:creationId xmlns:a16="http://schemas.microsoft.com/office/drawing/2014/main" id="{BF57C9A2-D778-6D68-54F4-5885EA6FE7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04775"/>
          <a:ext cx="3362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2152650</xdr:colOff>
      <xdr:row>3</xdr:row>
      <xdr:rowOff>228600</xdr:rowOff>
    </xdr:to>
    <xdr:pic>
      <xdr:nvPicPr>
        <xdr:cNvPr id="3935404" name="Picture 1">
          <a:hlinkClick xmlns:r="http://schemas.openxmlformats.org/officeDocument/2006/relationships" r:id="rId1"/>
          <a:extLst>
            <a:ext uri="{FF2B5EF4-FFF2-40B4-BE49-F238E27FC236}">
              <a16:creationId xmlns:a16="http://schemas.microsoft.com/office/drawing/2014/main" id="{96361C39-B8B0-B695-FDC3-D59BDE1EE9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752475</xdr:colOff>
      <xdr:row>56</xdr:row>
      <xdr:rowOff>381000</xdr:rowOff>
    </xdr:to>
    <xdr:graphicFrame macro="">
      <xdr:nvGraphicFramePr>
        <xdr:cNvPr id="3936944" name="Chart 7">
          <a:extLst>
            <a:ext uri="{FF2B5EF4-FFF2-40B4-BE49-F238E27FC236}">
              <a16:creationId xmlns:a16="http://schemas.microsoft.com/office/drawing/2014/main" id="{2491DF82-B7A2-1CA5-6039-8ECFF886B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790575</xdr:colOff>
      <xdr:row>7</xdr:row>
      <xdr:rowOff>9525</xdr:rowOff>
    </xdr:from>
    <xdr:to>
      <xdr:col>9</xdr:col>
      <xdr:colOff>13963650</xdr:colOff>
      <xdr:row>56</xdr:row>
      <xdr:rowOff>381000</xdr:rowOff>
    </xdr:to>
    <xdr:graphicFrame macro="">
      <xdr:nvGraphicFramePr>
        <xdr:cNvPr id="3936945" name="Chart 8">
          <a:extLst>
            <a:ext uri="{FF2B5EF4-FFF2-40B4-BE49-F238E27FC236}">
              <a16:creationId xmlns:a16="http://schemas.microsoft.com/office/drawing/2014/main" id="{AFE38D52-E9E4-1009-3324-7A9FE39539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59</xdr:row>
      <xdr:rowOff>152400</xdr:rowOff>
    </xdr:from>
    <xdr:to>
      <xdr:col>9</xdr:col>
      <xdr:colOff>1085850</xdr:colOff>
      <xdr:row>108</xdr:row>
      <xdr:rowOff>9525</xdr:rowOff>
    </xdr:to>
    <xdr:graphicFrame macro="">
      <xdr:nvGraphicFramePr>
        <xdr:cNvPr id="3936946" name="Chart 11">
          <a:extLst>
            <a:ext uri="{FF2B5EF4-FFF2-40B4-BE49-F238E27FC236}">
              <a16:creationId xmlns:a16="http://schemas.microsoft.com/office/drawing/2014/main" id="{C6E526FD-B8AE-0B36-AEA2-6AF46DF949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2238375</xdr:colOff>
      <xdr:row>3</xdr:row>
      <xdr:rowOff>152400</xdr:rowOff>
    </xdr:to>
    <xdr:pic>
      <xdr:nvPicPr>
        <xdr:cNvPr id="3936947" name="Picture 1">
          <a:hlinkClick xmlns:r="http://schemas.openxmlformats.org/officeDocument/2006/relationships" r:id="rId4"/>
          <a:extLst>
            <a:ext uri="{FF2B5EF4-FFF2-40B4-BE49-F238E27FC236}">
              <a16:creationId xmlns:a16="http://schemas.microsoft.com/office/drawing/2014/main" id="{7936E9EA-49FF-4EDA-8626-385AF543607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191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2095500</xdr:colOff>
      <xdr:row>91</xdr:row>
      <xdr:rowOff>381000</xdr:rowOff>
    </xdr:to>
    <xdr:graphicFrame macro="">
      <xdr:nvGraphicFramePr>
        <xdr:cNvPr id="3940696" name="Chart 1">
          <a:extLst>
            <a:ext uri="{FF2B5EF4-FFF2-40B4-BE49-F238E27FC236}">
              <a16:creationId xmlns:a16="http://schemas.microsoft.com/office/drawing/2014/main" id="{1F72B8CC-0AF1-523D-44D2-11B9CE4EF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2152650</xdr:colOff>
      <xdr:row>3</xdr:row>
      <xdr:rowOff>228600</xdr:rowOff>
    </xdr:to>
    <xdr:pic>
      <xdr:nvPicPr>
        <xdr:cNvPr id="3940697" name="Picture 1">
          <a:hlinkClick xmlns:r="http://schemas.openxmlformats.org/officeDocument/2006/relationships" r:id="rId2"/>
          <a:extLst>
            <a:ext uri="{FF2B5EF4-FFF2-40B4-BE49-F238E27FC236}">
              <a16:creationId xmlns:a16="http://schemas.microsoft.com/office/drawing/2014/main" id="{3EF97B47-4680-0CD1-C5B8-021F9B7635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562100" name="Group 1">
          <a:extLst>
            <a:ext uri="{FF2B5EF4-FFF2-40B4-BE49-F238E27FC236}">
              <a16:creationId xmlns:a16="http://schemas.microsoft.com/office/drawing/2014/main" id="{8E54F902-3074-B97D-8C93-CC6C2EAFA75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D1F4E4B-BC8F-8AAF-8AC4-1E6FE2BB8A19}"/>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2106" name="Picture 3">
            <a:extLst>
              <a:ext uri="{FF2B5EF4-FFF2-40B4-BE49-F238E27FC236}">
                <a16:creationId xmlns:a16="http://schemas.microsoft.com/office/drawing/2014/main" id="{E3C428A2-6368-639B-E43E-6B562E2C29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562101" name="Group 7">
          <a:extLst>
            <a:ext uri="{FF2B5EF4-FFF2-40B4-BE49-F238E27FC236}">
              <a16:creationId xmlns:a16="http://schemas.microsoft.com/office/drawing/2014/main" id="{29F8047A-C74F-A1F1-91BE-687D4C096F03}"/>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23E47DEE-C5F0-607D-2ECD-949565F0119F}"/>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2104" name="Picture 9">
            <a:extLst>
              <a:ext uri="{FF2B5EF4-FFF2-40B4-BE49-F238E27FC236}">
                <a16:creationId xmlns:a16="http://schemas.microsoft.com/office/drawing/2014/main" id="{8878E0B8-6A36-A0B6-81D5-EBC04F6027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25400</xdr:colOff>
      <xdr:row>3</xdr:row>
      <xdr:rowOff>133350</xdr:rowOff>
    </xdr:to>
    <xdr:pic>
      <xdr:nvPicPr>
        <xdr:cNvPr id="4562102" name="Picture 1">
          <a:hlinkClick xmlns:r="http://schemas.openxmlformats.org/officeDocument/2006/relationships" r:id="rId1"/>
          <a:extLst>
            <a:ext uri="{FF2B5EF4-FFF2-40B4-BE49-F238E27FC236}">
              <a16:creationId xmlns:a16="http://schemas.microsoft.com/office/drawing/2014/main" id="{902C6E33-6513-7A6E-529E-8D09FA4ADE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286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2381</xdr:colOff>
      <xdr:row>3</xdr:row>
      <xdr:rowOff>257175</xdr:rowOff>
    </xdr:to>
    <xdr:pic>
      <xdr:nvPicPr>
        <xdr:cNvPr id="3943596" name="Picture 1">
          <a:hlinkClick xmlns:r="http://schemas.openxmlformats.org/officeDocument/2006/relationships" r:id="rId1"/>
          <a:extLst>
            <a:ext uri="{FF2B5EF4-FFF2-40B4-BE49-F238E27FC236}">
              <a16:creationId xmlns:a16="http://schemas.microsoft.com/office/drawing/2014/main" id="{7B3B91B2-9072-90A0-FF82-8870181C99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44620" name="Picture 1">
          <a:hlinkClick xmlns:r="http://schemas.openxmlformats.org/officeDocument/2006/relationships" r:id="rId1"/>
          <a:extLst>
            <a:ext uri="{FF2B5EF4-FFF2-40B4-BE49-F238E27FC236}">
              <a16:creationId xmlns:a16="http://schemas.microsoft.com/office/drawing/2014/main" id="{D4AEB09E-C559-B92F-F1F1-D588852643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247650</xdr:rowOff>
    </xdr:to>
    <xdr:pic>
      <xdr:nvPicPr>
        <xdr:cNvPr id="1738423" name="Picture 3">
          <a:hlinkClick xmlns:r="http://schemas.openxmlformats.org/officeDocument/2006/relationships" r:id="rId1"/>
          <a:extLst>
            <a:ext uri="{FF2B5EF4-FFF2-40B4-BE49-F238E27FC236}">
              <a16:creationId xmlns:a16="http://schemas.microsoft.com/office/drawing/2014/main" id="{F8BE611B-2EF6-1951-41BB-C8D5174BB4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946160" name="Group 1">
          <a:extLst>
            <a:ext uri="{FF2B5EF4-FFF2-40B4-BE49-F238E27FC236}">
              <a16:creationId xmlns:a16="http://schemas.microsoft.com/office/drawing/2014/main" id="{9418C4EC-D754-BA18-3941-BE06A8D496B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98D829-37D2-75B5-0887-C885D2D8AE45}"/>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946163" name="Picture 3">
            <a:extLst>
              <a:ext uri="{FF2B5EF4-FFF2-40B4-BE49-F238E27FC236}">
                <a16:creationId xmlns:a16="http://schemas.microsoft.com/office/drawing/2014/main" id="{D3D97EEE-3586-4635-F167-2200462B1D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228600</xdr:rowOff>
    </xdr:to>
    <xdr:pic>
      <xdr:nvPicPr>
        <xdr:cNvPr id="3946161" name="Picture 1">
          <a:hlinkClick xmlns:r="http://schemas.openxmlformats.org/officeDocument/2006/relationships" r:id="rId1"/>
          <a:extLst>
            <a:ext uri="{FF2B5EF4-FFF2-40B4-BE49-F238E27FC236}">
              <a16:creationId xmlns:a16="http://schemas.microsoft.com/office/drawing/2014/main" id="{1C57D315-8C4A-C1E4-456C-C280A793BA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219075</xdr:rowOff>
    </xdr:to>
    <xdr:pic>
      <xdr:nvPicPr>
        <xdr:cNvPr id="3946668" name="Picture 1">
          <a:hlinkClick xmlns:r="http://schemas.openxmlformats.org/officeDocument/2006/relationships" r:id="rId1"/>
          <a:extLst>
            <a:ext uri="{FF2B5EF4-FFF2-40B4-BE49-F238E27FC236}">
              <a16:creationId xmlns:a16="http://schemas.microsoft.com/office/drawing/2014/main" id="{38D296D7-7683-0A00-62BF-4904C8524A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86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123825</xdr:rowOff>
    </xdr:to>
    <xdr:pic>
      <xdr:nvPicPr>
        <xdr:cNvPr id="3947692" name="Picture 1">
          <a:hlinkClick xmlns:r="http://schemas.openxmlformats.org/officeDocument/2006/relationships" r:id="rId1"/>
          <a:extLst>
            <a:ext uri="{FF2B5EF4-FFF2-40B4-BE49-F238E27FC236}">
              <a16:creationId xmlns:a16="http://schemas.microsoft.com/office/drawing/2014/main" id="{77C2913F-4161-95B5-0E5A-CA2184C1C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524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209550</xdr:rowOff>
    </xdr:to>
    <xdr:pic>
      <xdr:nvPicPr>
        <xdr:cNvPr id="1742545" name="Picture 1">
          <a:hlinkClick xmlns:r="http://schemas.openxmlformats.org/officeDocument/2006/relationships" r:id="rId1"/>
          <a:extLst>
            <a:ext uri="{FF2B5EF4-FFF2-40B4-BE49-F238E27FC236}">
              <a16:creationId xmlns:a16="http://schemas.microsoft.com/office/drawing/2014/main" id="{097DBEDC-CF19-9E02-2D3D-6BC8371CDC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1360625" name="Picture 1">
          <a:hlinkClick xmlns:r="http://schemas.openxmlformats.org/officeDocument/2006/relationships" r:id="rId1"/>
          <a:extLst>
            <a:ext uri="{FF2B5EF4-FFF2-40B4-BE49-F238E27FC236}">
              <a16:creationId xmlns:a16="http://schemas.microsoft.com/office/drawing/2014/main" id="{259559DB-1FC9-C403-78B5-3A20777F19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48716" name="Picture 1">
          <a:hlinkClick xmlns:r="http://schemas.openxmlformats.org/officeDocument/2006/relationships" r:id="rId1"/>
          <a:extLst>
            <a:ext uri="{FF2B5EF4-FFF2-40B4-BE49-F238E27FC236}">
              <a16:creationId xmlns:a16="http://schemas.microsoft.com/office/drawing/2014/main" id="{D363E75A-FEEB-7EE8-F877-95D256E1C2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563124" name="Group 1">
          <a:extLst>
            <a:ext uri="{FF2B5EF4-FFF2-40B4-BE49-F238E27FC236}">
              <a16:creationId xmlns:a16="http://schemas.microsoft.com/office/drawing/2014/main" id="{EC0ECF51-A722-0908-3FC9-288A19DC6936}"/>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DF35D981-8E05-D203-D484-6C1B2BCDF92B}"/>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3130" name="Picture 3">
            <a:extLst>
              <a:ext uri="{FF2B5EF4-FFF2-40B4-BE49-F238E27FC236}">
                <a16:creationId xmlns:a16="http://schemas.microsoft.com/office/drawing/2014/main" id="{C32F04B1-1337-2B73-B7B0-5F61CCD5F7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563125" name="Group 7">
          <a:extLst>
            <a:ext uri="{FF2B5EF4-FFF2-40B4-BE49-F238E27FC236}">
              <a16:creationId xmlns:a16="http://schemas.microsoft.com/office/drawing/2014/main" id="{726E2A62-6E66-FFD0-008A-46842E5EB268}"/>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DF88E4FD-A2C7-3735-7DAC-FD323ADED905}"/>
              </a:ext>
            </a:extLst>
          </xdr:cNvPr>
          <xdr:cNvSpPr>
            <a:spLocks noChangeArrowheads="1"/>
          </xdr:cNvSpPr>
        </xdr:nvSpPr>
        <xdr:spPr bwMode="auto">
          <a:xfrm>
            <a:off x="-19468677194775"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563128" name="Picture 9">
            <a:extLst>
              <a:ext uri="{FF2B5EF4-FFF2-40B4-BE49-F238E27FC236}">
                <a16:creationId xmlns:a16="http://schemas.microsoft.com/office/drawing/2014/main" id="{12506447-873C-5E3F-7B7B-AB7A6523F7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9525</xdr:colOff>
      <xdr:row>3</xdr:row>
      <xdr:rowOff>257175</xdr:rowOff>
    </xdr:to>
    <xdr:pic>
      <xdr:nvPicPr>
        <xdr:cNvPr id="4563126" name="Picture 1">
          <a:hlinkClick xmlns:r="http://schemas.openxmlformats.org/officeDocument/2006/relationships" r:id="rId1"/>
          <a:extLst>
            <a:ext uri="{FF2B5EF4-FFF2-40B4-BE49-F238E27FC236}">
              <a16:creationId xmlns:a16="http://schemas.microsoft.com/office/drawing/2014/main" id="{47CBCAAC-C04A-0E4C-8C50-3546F423F8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96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3</xdr:row>
      <xdr:rowOff>209550</xdr:rowOff>
    </xdr:to>
    <xdr:pic>
      <xdr:nvPicPr>
        <xdr:cNvPr id="3933360" name="Picture 1">
          <a:hlinkClick xmlns:r="http://schemas.openxmlformats.org/officeDocument/2006/relationships" r:id="rId1"/>
          <a:extLst>
            <a:ext uri="{FF2B5EF4-FFF2-40B4-BE49-F238E27FC236}">
              <a16:creationId xmlns:a16="http://schemas.microsoft.com/office/drawing/2014/main" id="{282008B0-DB3B-F561-2984-7AE48FC3F4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228600</xdr:rowOff>
    </xdr:to>
    <xdr:pic>
      <xdr:nvPicPr>
        <xdr:cNvPr id="3950764" name="Picture 1">
          <a:hlinkClick xmlns:r="http://schemas.openxmlformats.org/officeDocument/2006/relationships" r:id="rId1"/>
          <a:extLst>
            <a:ext uri="{FF2B5EF4-FFF2-40B4-BE49-F238E27FC236}">
              <a16:creationId xmlns:a16="http://schemas.microsoft.com/office/drawing/2014/main" id="{4A2397CB-9012-0C7E-7163-11CEEC399A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57150</xdr:colOff>
      <xdr:row>3</xdr:row>
      <xdr:rowOff>257175</xdr:rowOff>
    </xdr:to>
    <xdr:pic>
      <xdr:nvPicPr>
        <xdr:cNvPr id="1746610" name="Picture 1">
          <a:hlinkClick xmlns:r="http://schemas.openxmlformats.org/officeDocument/2006/relationships" r:id="rId1"/>
          <a:extLst>
            <a:ext uri="{FF2B5EF4-FFF2-40B4-BE49-F238E27FC236}">
              <a16:creationId xmlns:a16="http://schemas.microsoft.com/office/drawing/2014/main" id="{C45C38DA-D82B-2FAB-E508-C43A773F10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176212</xdr:rowOff>
    </xdr:to>
    <xdr:pic>
      <xdr:nvPicPr>
        <xdr:cNvPr id="3951788" name="Picture 1">
          <a:hlinkClick xmlns:r="http://schemas.openxmlformats.org/officeDocument/2006/relationships" r:id="rId1"/>
          <a:extLst>
            <a:ext uri="{FF2B5EF4-FFF2-40B4-BE49-F238E27FC236}">
              <a16:creationId xmlns:a16="http://schemas.microsoft.com/office/drawing/2014/main" id="{A0FEAA04-FF86-2448-700F-ADFD5F9FCD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191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xdr:colOff>
      <xdr:row>3</xdr:row>
      <xdr:rowOff>76200</xdr:rowOff>
    </xdr:to>
    <xdr:pic>
      <xdr:nvPicPr>
        <xdr:cNvPr id="3952812" name="Picture 1">
          <a:hlinkClick xmlns:r="http://schemas.openxmlformats.org/officeDocument/2006/relationships" r:id="rId1"/>
          <a:extLst>
            <a:ext uri="{FF2B5EF4-FFF2-40B4-BE49-F238E27FC236}">
              <a16:creationId xmlns:a16="http://schemas.microsoft.com/office/drawing/2014/main" id="{591B976A-9D14-C62B-B1DF-C2754207F2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96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777875</xdr:colOff>
      <xdr:row>3</xdr:row>
      <xdr:rowOff>228600</xdr:rowOff>
    </xdr:to>
    <xdr:pic>
      <xdr:nvPicPr>
        <xdr:cNvPr id="1749682" name="Picture 1">
          <a:hlinkClick xmlns:r="http://schemas.openxmlformats.org/officeDocument/2006/relationships" r:id="rId1"/>
          <a:extLst>
            <a:ext uri="{FF2B5EF4-FFF2-40B4-BE49-F238E27FC236}">
              <a16:creationId xmlns:a16="http://schemas.microsoft.com/office/drawing/2014/main" id="{F18A5D10-63AF-D51D-DFD5-290284FDD4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FC6D404D-F1EF-4899-A399-A743C5764E78}" name="Table141" displayName="Table141" ref="A1:G4" totalsRowShown="0" headerRowDxfId="96" tableBorderDxfId="95">
  <autoFilter ref="A1:G4" xr:uid="{878469F7-4EEE-4020-9EDC-7925FECBA905}"/>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795AAB-332C-4A79-877D-19D6D4307E97}" name="Table1" displayName="Table1" ref="A1:G123" totalsRowShown="0" headerRowDxfId="92" dataDxfId="91">
  <autoFilter ref="A1:G123" xr:uid="{FB8D2B8D-3DF8-4EDA-BC0F-2296241293E3}"/>
  <tableColumns count="7">
    <tableColumn id="1" xr3:uid="{00000000-0010-0000-0500-000001000000}" name="Date" dataDxfId="90"/>
    <tableColumn id="2" xr3:uid="{00000000-0010-0000-0500-000002000000}" name="AER amendment#" dataDxfId="89"/>
    <tableColumn id="3" xr3:uid="{00000000-0010-0000-0500-000003000000}" name="Worksheet" dataDxfId="88"/>
    <tableColumn id="4" xr3:uid="{00000000-0010-0000-0500-000004000000}" name="Table" dataDxfId="87"/>
    <tableColumn id="5" xr3:uid="{00000000-0010-0000-0500-000005000000}" name="Cell" dataDxfId="86"/>
    <tableColumn id="6" xr3:uid="{00000000-0010-0000-0500-000006000000}" name="Change" dataDxfId="85"/>
    <tableColumn id="7" xr3:uid="{00000000-0010-0000-05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A69D3-A544-4ED9-9383-349010ADE503}">
  <sheetPr codeName="Sheet1"/>
  <dimension ref="A1:K51"/>
  <sheetViews>
    <sheetView tabSelected="1" zoomScale="80" zoomScaleNormal="80" workbookViewId="0"/>
  </sheetViews>
  <sheetFormatPr defaultColWidth="9.28515625" defaultRowHeight="12.75" x14ac:dyDescent="0.2"/>
  <cols>
    <col min="1" max="1" width="41" style="232" customWidth="1"/>
    <col min="2" max="2" width="23.5703125" style="232" customWidth="1"/>
    <col min="3" max="6" width="20.7109375" style="232" customWidth="1"/>
    <col min="7" max="8" width="11.28515625" style="232" customWidth="1"/>
    <col min="9" max="11" width="20.7109375" style="232" customWidth="1"/>
    <col min="12" max="13" width="9.28515625" style="232"/>
    <col min="14" max="14" width="27.28515625" style="232" customWidth="1"/>
    <col min="15" max="16384" width="9.28515625" style="232"/>
  </cols>
  <sheetData>
    <row r="1" spans="1:11" ht="66" customHeight="1" x14ac:dyDescent="0.2"/>
    <row r="2" spans="1:11" ht="20.25" customHeight="1" x14ac:dyDescent="0.2">
      <c r="A2" s="233" t="s">
        <v>20</v>
      </c>
      <c r="B2" s="233"/>
      <c r="C2" s="233"/>
      <c r="D2" s="233"/>
      <c r="E2" s="233"/>
      <c r="F2" s="233"/>
      <c r="G2" s="233"/>
      <c r="H2" s="233"/>
      <c r="I2" s="233"/>
      <c r="J2" s="233"/>
      <c r="K2" s="233"/>
    </row>
    <row r="3" spans="1:11" ht="20.25" x14ac:dyDescent="0.2">
      <c r="A3" s="233" t="s">
        <v>509</v>
      </c>
      <c r="B3" s="233"/>
      <c r="C3" s="233"/>
      <c r="D3" s="233"/>
      <c r="E3" s="233"/>
      <c r="F3" s="233"/>
      <c r="G3" s="233"/>
      <c r="H3" s="233"/>
      <c r="I3" s="233"/>
      <c r="J3" s="233"/>
      <c r="K3" s="233"/>
    </row>
    <row r="4" spans="1:11" x14ac:dyDescent="0.2">
      <c r="A4" s="234"/>
      <c r="B4" s="234"/>
      <c r="C4" s="234"/>
      <c r="D4" s="234"/>
      <c r="E4" s="234"/>
      <c r="F4" s="234"/>
      <c r="G4" s="234"/>
      <c r="H4" s="234"/>
      <c r="I4" s="234"/>
      <c r="J4" s="234"/>
      <c r="K4" s="234"/>
    </row>
    <row r="5" spans="1:11" s="238" customFormat="1" ht="15.75" x14ac:dyDescent="0.2">
      <c r="A5" s="235" t="s">
        <v>21</v>
      </c>
      <c r="B5" s="236"/>
      <c r="C5" s="236"/>
      <c r="D5" s="236"/>
      <c r="E5" s="236"/>
      <c r="F5" s="236"/>
      <c r="G5" s="236"/>
      <c r="H5" s="236"/>
      <c r="I5" s="236"/>
      <c r="J5" s="237"/>
      <c r="K5" s="237"/>
    </row>
    <row r="6" spans="1:11" s="238" customFormat="1" ht="15.75" x14ac:dyDescent="0.2">
      <c r="A6" s="235" t="s">
        <v>539</v>
      </c>
      <c r="B6" s="236"/>
      <c r="C6" s="236"/>
      <c r="D6" s="236"/>
      <c r="E6" s="236"/>
      <c r="F6" s="236"/>
      <c r="G6" s="236"/>
      <c r="H6" s="236"/>
      <c r="I6" s="236"/>
      <c r="J6" s="237"/>
      <c r="K6" s="237"/>
    </row>
    <row r="7" spans="1:11" ht="15.75" thickBot="1" x14ac:dyDescent="0.25">
      <c r="A7" s="239"/>
      <c r="B7" s="239"/>
      <c r="C7" s="239"/>
      <c r="D7" s="239"/>
      <c r="E7" s="239"/>
      <c r="F7" s="239"/>
      <c r="G7" s="239"/>
      <c r="H7" s="239"/>
      <c r="I7" s="239"/>
      <c r="J7" s="234"/>
      <c r="K7" s="234"/>
    </row>
    <row r="8" spans="1:11" ht="12.75" customHeight="1" x14ac:dyDescent="0.2">
      <c r="A8" s="380" t="s">
        <v>1</v>
      </c>
      <c r="B8" s="381"/>
      <c r="C8" s="381"/>
      <c r="D8" s="381"/>
      <c r="E8" s="381"/>
      <c r="F8" s="381"/>
      <c r="G8" s="381"/>
      <c r="H8" s="381"/>
      <c r="I8" s="382"/>
      <c r="J8" s="234"/>
      <c r="K8" s="234"/>
    </row>
    <row r="9" spans="1:11" ht="15.75" x14ac:dyDescent="0.2">
      <c r="A9" s="240" t="s">
        <v>538</v>
      </c>
      <c r="B9" s="241"/>
      <c r="C9" s="241"/>
      <c r="D9" s="242"/>
      <c r="E9" s="242"/>
      <c r="F9" s="242"/>
      <c r="G9" s="242"/>
      <c r="H9" s="242"/>
      <c r="I9" s="243"/>
      <c r="J9" s="234"/>
      <c r="K9" s="234"/>
    </row>
    <row r="10" spans="1:11" ht="15.75" x14ac:dyDescent="0.2">
      <c r="A10" s="386" t="s">
        <v>537</v>
      </c>
      <c r="B10" s="387"/>
      <c r="C10" s="387"/>
      <c r="D10" s="387"/>
      <c r="E10" s="387"/>
      <c r="F10" s="387"/>
      <c r="G10" s="387"/>
      <c r="H10" s="387"/>
      <c r="I10" s="388"/>
      <c r="J10" s="234"/>
      <c r="K10" s="234"/>
    </row>
    <row r="11" spans="1:11" ht="16.5" thickBot="1" x14ac:dyDescent="0.25">
      <c r="A11" s="383" t="s">
        <v>495</v>
      </c>
      <c r="B11" s="384"/>
      <c r="C11" s="384"/>
      <c r="D11" s="384"/>
      <c r="E11" s="384"/>
      <c r="F11" s="384"/>
      <c r="G11" s="384"/>
      <c r="H11" s="384"/>
      <c r="I11" s="385"/>
      <c r="J11" s="234"/>
      <c r="K11" s="234"/>
    </row>
    <row r="12" spans="1:11" ht="15" x14ac:dyDescent="0.2">
      <c r="A12" s="389"/>
      <c r="B12" s="390"/>
      <c r="C12" s="390"/>
      <c r="D12" s="390"/>
      <c r="E12" s="390"/>
      <c r="F12" s="390"/>
      <c r="G12" s="390"/>
      <c r="H12" s="390"/>
      <c r="I12" s="390"/>
      <c r="J12" s="234"/>
      <c r="K12" s="234"/>
    </row>
    <row r="13" spans="1:11" ht="15.75" x14ac:dyDescent="0.2">
      <c r="A13" s="244" t="s">
        <v>2</v>
      </c>
      <c r="B13" s="239"/>
      <c r="C13" s="239"/>
      <c r="D13" s="239"/>
      <c r="E13" s="239"/>
      <c r="F13" s="239"/>
      <c r="G13" s="239"/>
      <c r="H13" s="239"/>
      <c r="I13" s="239"/>
      <c r="J13" s="234"/>
      <c r="K13" s="234"/>
    </row>
    <row r="14" spans="1:11" ht="15.75" x14ac:dyDescent="0.2">
      <c r="A14" s="245" t="s">
        <v>514</v>
      </c>
      <c r="B14" s="239"/>
      <c r="C14" s="239"/>
      <c r="D14" s="239"/>
      <c r="E14" s="239"/>
      <c r="F14" s="239"/>
      <c r="G14" s="239"/>
      <c r="H14" s="239"/>
      <c r="I14" s="239"/>
      <c r="J14" s="234"/>
      <c r="K14" s="234"/>
    </row>
    <row r="15" spans="1:11" x14ac:dyDescent="0.2">
      <c r="A15" s="234"/>
      <c r="B15" s="234"/>
      <c r="C15" s="234"/>
      <c r="D15" s="234"/>
      <c r="E15" s="234"/>
      <c r="F15" s="234"/>
      <c r="G15" s="234"/>
      <c r="H15" s="234"/>
      <c r="I15" s="234"/>
      <c r="J15" s="234"/>
      <c r="K15" s="234"/>
    </row>
    <row r="16" spans="1:11" x14ac:dyDescent="0.2">
      <c r="A16" s="234"/>
      <c r="B16" s="234"/>
      <c r="C16" s="234"/>
      <c r="D16" s="234"/>
      <c r="E16" s="234"/>
      <c r="F16" s="234"/>
      <c r="G16" s="234"/>
      <c r="H16" s="234"/>
      <c r="I16" s="234"/>
      <c r="J16" s="234"/>
      <c r="K16" s="234"/>
    </row>
    <row r="17" spans="1:11" ht="15.75" x14ac:dyDescent="0.2">
      <c r="A17" s="358" t="s">
        <v>126</v>
      </c>
      <c r="B17" s="379"/>
      <c r="C17" s="396" t="s">
        <v>720</v>
      </c>
      <c r="D17" s="397"/>
      <c r="E17" s="397"/>
      <c r="F17" s="239"/>
      <c r="G17" s="239"/>
      <c r="H17" s="239"/>
      <c r="I17" s="239"/>
      <c r="J17" s="239"/>
      <c r="K17" s="239"/>
    </row>
    <row r="18" spans="1:11" ht="15.75" x14ac:dyDescent="0.2">
      <c r="A18" s="245"/>
      <c r="B18" s="245"/>
      <c r="C18" s="246"/>
      <c r="D18" s="246"/>
      <c r="E18" s="246"/>
      <c r="F18" s="239"/>
      <c r="G18" s="239"/>
      <c r="H18" s="239"/>
      <c r="I18" s="239"/>
      <c r="J18" s="239"/>
      <c r="K18" s="239"/>
    </row>
    <row r="19" spans="1:11" ht="18" customHeight="1" x14ac:dyDescent="0.2">
      <c r="A19" s="358" t="s">
        <v>22</v>
      </c>
      <c r="B19" s="379"/>
      <c r="C19" s="398" t="s">
        <v>721</v>
      </c>
      <c r="D19" s="399"/>
      <c r="E19" s="399"/>
      <c r="F19" s="239"/>
      <c r="G19" s="239"/>
      <c r="H19" s="239"/>
      <c r="I19" s="239"/>
      <c r="J19" s="239"/>
      <c r="K19" s="239"/>
    </row>
    <row r="20" spans="1:11" ht="15.75" x14ac:dyDescent="0.2">
      <c r="A20" s="245"/>
      <c r="B20" s="245"/>
      <c r="C20" s="391"/>
      <c r="D20" s="392"/>
      <c r="E20" s="392"/>
      <c r="F20" s="239"/>
      <c r="G20" s="239"/>
      <c r="H20" s="239"/>
      <c r="I20" s="239"/>
      <c r="J20" s="239"/>
      <c r="K20" s="239"/>
    </row>
    <row r="21" spans="1:11" ht="15.75" x14ac:dyDescent="0.2">
      <c r="A21" s="358" t="s">
        <v>127</v>
      </c>
      <c r="B21" s="359"/>
      <c r="C21" s="393" t="s">
        <v>770</v>
      </c>
      <c r="D21" s="394"/>
      <c r="E21" s="395"/>
      <c r="F21" s="239"/>
      <c r="G21" s="239"/>
      <c r="H21" s="239"/>
      <c r="I21" s="239"/>
      <c r="J21" s="239"/>
      <c r="K21" s="239"/>
    </row>
    <row r="22" spans="1:11" ht="15" x14ac:dyDescent="0.2">
      <c r="A22" s="239"/>
      <c r="B22" s="239"/>
      <c r="C22" s="246"/>
      <c r="D22" s="246"/>
      <c r="E22" s="246"/>
      <c r="F22" s="239"/>
      <c r="G22" s="239"/>
      <c r="H22" s="239"/>
      <c r="I22" s="239"/>
      <c r="J22" s="239"/>
      <c r="K22" s="239"/>
    </row>
    <row r="23" spans="1:11" ht="18" customHeight="1" x14ac:dyDescent="0.2">
      <c r="A23" s="358" t="s">
        <v>388</v>
      </c>
      <c r="B23" s="359"/>
      <c r="C23" s="400" t="s">
        <v>703</v>
      </c>
      <c r="D23" s="401"/>
      <c r="E23" s="402"/>
      <c r="F23" s="239"/>
      <c r="G23" s="239"/>
      <c r="H23" s="239"/>
      <c r="I23" s="239"/>
      <c r="J23" s="239"/>
      <c r="K23" s="239"/>
    </row>
    <row r="24" spans="1:11" ht="15" x14ac:dyDescent="0.2">
      <c r="A24" s="239"/>
      <c r="B24" s="239"/>
      <c r="C24" s="246"/>
      <c r="D24" s="246"/>
      <c r="E24" s="246"/>
      <c r="F24" s="239"/>
      <c r="G24" s="239"/>
      <c r="H24" s="239"/>
      <c r="I24" s="239"/>
      <c r="J24" s="239"/>
      <c r="K24" s="239"/>
    </row>
    <row r="25" spans="1:11" ht="15.75" x14ac:dyDescent="0.2">
      <c r="A25" s="358" t="s">
        <v>98</v>
      </c>
      <c r="B25" s="359"/>
      <c r="C25" s="350">
        <v>45474</v>
      </c>
      <c r="D25" s="351"/>
      <c r="E25" s="352"/>
      <c r="F25" s="239"/>
      <c r="G25" s="239"/>
      <c r="H25" s="239"/>
      <c r="I25" s="239"/>
      <c r="J25" s="239"/>
      <c r="K25" s="239"/>
    </row>
    <row r="26" spans="1:11" ht="15" x14ac:dyDescent="0.2">
      <c r="A26" s="239"/>
      <c r="B26" s="239"/>
      <c r="C26" s="246"/>
      <c r="D26" s="246"/>
      <c r="E26" s="246"/>
      <c r="F26" s="239"/>
      <c r="G26" s="239"/>
      <c r="H26" s="239"/>
      <c r="I26" s="239"/>
      <c r="J26" s="239"/>
      <c r="K26" s="239"/>
    </row>
    <row r="27" spans="1:11" ht="15.75" x14ac:dyDescent="0.2">
      <c r="A27" s="358" t="s">
        <v>99</v>
      </c>
      <c r="B27" s="359"/>
      <c r="C27" s="350">
        <v>45838</v>
      </c>
      <c r="D27" s="351"/>
      <c r="E27" s="352"/>
      <c r="F27" s="239"/>
      <c r="G27" s="239"/>
      <c r="H27" s="239"/>
      <c r="I27" s="239"/>
      <c r="J27" s="239"/>
      <c r="K27" s="239"/>
    </row>
    <row r="28" spans="1:11" ht="15" x14ac:dyDescent="0.2">
      <c r="A28" s="239"/>
      <c r="B28" s="239"/>
      <c r="C28" s="246"/>
      <c r="D28" s="246"/>
      <c r="E28" s="246"/>
      <c r="F28" s="239"/>
      <c r="G28" s="239"/>
      <c r="H28" s="239"/>
      <c r="I28" s="239"/>
      <c r="J28" s="239"/>
      <c r="K28" s="239"/>
    </row>
    <row r="29" spans="1:11" ht="15.75" x14ac:dyDescent="0.2">
      <c r="A29" s="360" t="s">
        <v>381</v>
      </c>
      <c r="B29" s="360"/>
      <c r="C29" s="350">
        <v>46281</v>
      </c>
      <c r="D29" s="351"/>
      <c r="E29" s="352"/>
      <c r="F29" s="239"/>
      <c r="G29" s="239"/>
      <c r="H29" s="239"/>
      <c r="I29" s="239"/>
      <c r="J29" s="239"/>
      <c r="K29" s="239"/>
    </row>
    <row r="30" spans="1:11" ht="15" x14ac:dyDescent="0.2">
      <c r="A30" s="239"/>
      <c r="B30" s="239"/>
      <c r="C30" s="246"/>
      <c r="D30" s="246"/>
      <c r="E30" s="246"/>
      <c r="F30" s="239"/>
      <c r="G30" s="239"/>
      <c r="H30" s="239"/>
      <c r="I30" s="239"/>
      <c r="J30" s="239"/>
      <c r="K30" s="239"/>
    </row>
    <row r="31" spans="1:11" ht="15.75" x14ac:dyDescent="0.2">
      <c r="A31" s="360" t="s">
        <v>245</v>
      </c>
      <c r="B31" s="360"/>
      <c r="C31" s="350">
        <v>45838</v>
      </c>
      <c r="D31" s="351"/>
      <c r="E31" s="352"/>
      <c r="F31" s="239"/>
      <c r="G31" s="239"/>
      <c r="H31" s="239"/>
      <c r="I31" s="239"/>
      <c r="J31" s="239"/>
      <c r="K31" s="239"/>
    </row>
    <row r="32" spans="1:11" ht="15" x14ac:dyDescent="0.2">
      <c r="A32" s="239"/>
      <c r="B32" s="239"/>
      <c r="C32" s="246"/>
      <c r="D32" s="246"/>
      <c r="E32" s="246"/>
      <c r="F32" s="239"/>
      <c r="G32" s="239"/>
      <c r="H32" s="239"/>
      <c r="I32" s="239"/>
      <c r="J32" s="239"/>
      <c r="K32" s="239"/>
    </row>
    <row r="33" spans="1:11" ht="60" customHeight="1" x14ac:dyDescent="0.2">
      <c r="A33" s="357" t="s">
        <v>237</v>
      </c>
      <c r="B33" s="357"/>
      <c r="C33" s="353"/>
      <c r="D33" s="354"/>
      <c r="E33" s="355"/>
      <c r="F33" s="356" t="s">
        <v>516</v>
      </c>
      <c r="G33" s="357"/>
      <c r="H33" s="357"/>
      <c r="I33" s="353" t="s">
        <v>774</v>
      </c>
      <c r="J33" s="354"/>
      <c r="K33" s="355"/>
    </row>
    <row r="34" spans="1:11" ht="15.75" thickBot="1" x14ac:dyDescent="0.25">
      <c r="A34" s="247"/>
      <c r="B34" s="247"/>
      <c r="C34" s="247"/>
      <c r="D34" s="247"/>
      <c r="E34" s="247"/>
      <c r="F34" s="247"/>
      <c r="G34" s="247"/>
      <c r="H34" s="247"/>
      <c r="I34" s="247"/>
      <c r="J34" s="247"/>
      <c r="K34" s="247"/>
    </row>
    <row r="35" spans="1:11" ht="15" x14ac:dyDescent="0.2">
      <c r="A35" s="347"/>
      <c r="B35" s="348"/>
      <c r="C35" s="348"/>
      <c r="D35" s="348"/>
      <c r="E35" s="348"/>
      <c r="F35" s="348"/>
      <c r="G35" s="348"/>
      <c r="H35" s="349"/>
      <c r="I35" s="247"/>
      <c r="J35" s="247"/>
      <c r="K35" s="247"/>
    </row>
    <row r="36" spans="1:11" ht="15" x14ac:dyDescent="0.2">
      <c r="A36" s="367" t="s">
        <v>3</v>
      </c>
      <c r="B36" s="345" t="s">
        <v>4</v>
      </c>
      <c r="C36" s="346"/>
      <c r="D36" s="361" t="s">
        <v>750</v>
      </c>
      <c r="E36" s="362"/>
      <c r="F36" s="362"/>
      <c r="G36" s="363"/>
      <c r="H36" s="371"/>
      <c r="I36" s="247"/>
      <c r="J36" s="247"/>
      <c r="K36" s="247"/>
    </row>
    <row r="37" spans="1:11" ht="15" x14ac:dyDescent="0.2">
      <c r="A37" s="367"/>
      <c r="B37" s="345" t="s">
        <v>5</v>
      </c>
      <c r="C37" s="346"/>
      <c r="D37" s="361" t="s">
        <v>704</v>
      </c>
      <c r="E37" s="362"/>
      <c r="F37" s="362"/>
      <c r="G37" s="363"/>
      <c r="H37" s="371"/>
      <c r="I37" s="247"/>
      <c r="J37" s="247"/>
      <c r="K37" s="247"/>
    </row>
    <row r="38" spans="1:11" ht="15" x14ac:dyDescent="0.2">
      <c r="A38" s="367"/>
      <c r="B38" s="248"/>
      <c r="C38" s="249" t="s">
        <v>6</v>
      </c>
      <c r="D38" s="167" t="s">
        <v>705</v>
      </c>
      <c r="E38" s="249" t="s">
        <v>7</v>
      </c>
      <c r="F38" s="167">
        <v>2000</v>
      </c>
      <c r="G38" s="250"/>
      <c r="H38" s="371"/>
      <c r="I38" s="247"/>
      <c r="J38" s="247"/>
      <c r="K38" s="247"/>
    </row>
    <row r="39" spans="1:11" ht="15" x14ac:dyDescent="0.2">
      <c r="A39" s="367"/>
      <c r="B39" s="372"/>
      <c r="C39" s="372"/>
      <c r="D39" s="372"/>
      <c r="E39" s="372"/>
      <c r="F39" s="372"/>
      <c r="G39" s="372"/>
      <c r="H39" s="371"/>
      <c r="I39" s="247"/>
      <c r="J39" s="247"/>
      <c r="K39" s="247"/>
    </row>
    <row r="40" spans="1:11" ht="15" x14ac:dyDescent="0.2">
      <c r="A40" s="367" t="s">
        <v>8</v>
      </c>
      <c r="B40" s="345" t="s">
        <v>4</v>
      </c>
      <c r="C40" s="346"/>
      <c r="D40" s="373" t="s">
        <v>706</v>
      </c>
      <c r="E40" s="373"/>
      <c r="F40" s="373"/>
      <c r="G40" s="373"/>
      <c r="H40" s="371"/>
      <c r="I40" s="247"/>
      <c r="J40" s="247"/>
      <c r="K40" s="247"/>
    </row>
    <row r="41" spans="1:11" ht="15" x14ac:dyDescent="0.2">
      <c r="A41" s="367"/>
      <c r="B41" s="345" t="s">
        <v>5</v>
      </c>
      <c r="C41" s="346"/>
      <c r="D41" s="373" t="s">
        <v>707</v>
      </c>
      <c r="E41" s="373"/>
      <c r="F41" s="373"/>
      <c r="G41" s="373"/>
      <c r="H41" s="371"/>
      <c r="I41" s="247"/>
      <c r="J41" s="247"/>
      <c r="K41" s="247"/>
    </row>
    <row r="42" spans="1:11" ht="15" x14ac:dyDescent="0.2">
      <c r="A42" s="367"/>
      <c r="B42" s="248"/>
      <c r="C42" s="249" t="s">
        <v>6</v>
      </c>
      <c r="D42" s="167" t="s">
        <v>705</v>
      </c>
      <c r="E42" s="249" t="s">
        <v>7</v>
      </c>
      <c r="F42" s="167">
        <v>1225</v>
      </c>
      <c r="G42" s="250"/>
      <c r="H42" s="371"/>
      <c r="I42" s="247"/>
      <c r="J42" s="247"/>
      <c r="K42" s="247"/>
    </row>
    <row r="43" spans="1:11" ht="15.75" thickBot="1" x14ac:dyDescent="0.25">
      <c r="A43" s="368"/>
      <c r="B43" s="369"/>
      <c r="C43" s="369"/>
      <c r="D43" s="369"/>
      <c r="E43" s="369"/>
      <c r="F43" s="369"/>
      <c r="G43" s="369"/>
      <c r="H43" s="370"/>
      <c r="I43" s="247"/>
      <c r="J43" s="247"/>
      <c r="K43" s="247"/>
    </row>
    <row r="44" spans="1:11" ht="15" x14ac:dyDescent="0.2">
      <c r="A44" s="347"/>
      <c r="B44" s="348"/>
      <c r="C44" s="348"/>
      <c r="D44" s="348"/>
      <c r="E44" s="348"/>
      <c r="F44" s="348"/>
      <c r="G44" s="348"/>
      <c r="H44" s="349"/>
      <c r="I44" s="247"/>
      <c r="J44" s="247"/>
      <c r="K44" s="247"/>
    </row>
    <row r="45" spans="1:11" ht="15.75" x14ac:dyDescent="0.25">
      <c r="A45" s="251" t="s">
        <v>9</v>
      </c>
      <c r="B45" s="361" t="s">
        <v>708</v>
      </c>
      <c r="C45" s="362"/>
      <c r="D45" s="376"/>
      <c r="E45" s="376"/>
      <c r="F45" s="377"/>
      <c r="G45" s="374"/>
      <c r="H45" s="375"/>
      <c r="I45" s="247"/>
      <c r="J45" s="247"/>
      <c r="K45" s="247"/>
    </row>
    <row r="46" spans="1:11" ht="15.75" x14ac:dyDescent="0.25">
      <c r="A46" s="251" t="s">
        <v>10</v>
      </c>
      <c r="B46" s="378" t="s">
        <v>709</v>
      </c>
      <c r="C46" s="362"/>
      <c r="D46" s="362"/>
      <c r="E46" s="362"/>
      <c r="F46" s="363"/>
      <c r="G46" s="374"/>
      <c r="H46" s="375"/>
      <c r="I46" s="247"/>
      <c r="J46" s="247"/>
      <c r="K46" s="247"/>
    </row>
    <row r="47" spans="1:11" ht="15.75" x14ac:dyDescent="0.25">
      <c r="A47" s="251" t="s">
        <v>11</v>
      </c>
      <c r="B47" s="361" t="s">
        <v>710</v>
      </c>
      <c r="C47" s="362"/>
      <c r="D47" s="362"/>
      <c r="E47" s="362"/>
      <c r="F47" s="363"/>
      <c r="G47" s="374"/>
      <c r="H47" s="375"/>
      <c r="I47" s="247"/>
      <c r="J47" s="247"/>
      <c r="K47" s="247"/>
    </row>
    <row r="48" spans="1:11" ht="15.75" thickBot="1" x14ac:dyDescent="0.25">
      <c r="A48" s="364"/>
      <c r="B48" s="365"/>
      <c r="C48" s="365"/>
      <c r="D48" s="365"/>
      <c r="E48" s="365"/>
      <c r="F48" s="365"/>
      <c r="G48" s="365"/>
      <c r="H48" s="366"/>
      <c r="I48" s="247"/>
      <c r="J48" s="247"/>
      <c r="K48" s="247"/>
    </row>
    <row r="49" spans="1:11" ht="15" x14ac:dyDescent="0.2">
      <c r="A49" s="247"/>
      <c r="B49" s="247"/>
      <c r="C49" s="247"/>
      <c r="D49" s="247"/>
      <c r="E49" s="247"/>
      <c r="F49" s="247"/>
      <c r="G49" s="247"/>
      <c r="H49" s="247"/>
      <c r="I49" s="247"/>
      <c r="J49" s="247"/>
      <c r="K49" s="247"/>
    </row>
    <row r="50" spans="1:11" ht="15" x14ac:dyDescent="0.2">
      <c r="A50" s="247"/>
      <c r="B50" s="247"/>
      <c r="C50" s="247"/>
      <c r="D50" s="247"/>
      <c r="E50" s="247"/>
      <c r="F50" s="247"/>
      <c r="G50" s="247"/>
      <c r="H50" s="247"/>
      <c r="I50" s="247"/>
      <c r="J50" s="247"/>
      <c r="K50" s="247"/>
    </row>
    <row r="51" spans="1:11" ht="15" x14ac:dyDescent="0.2">
      <c r="A51" s="247"/>
      <c r="B51" s="247"/>
      <c r="C51" s="247"/>
      <c r="D51" s="247"/>
      <c r="E51" s="247"/>
      <c r="F51" s="247"/>
      <c r="G51" s="247"/>
      <c r="H51" s="247"/>
      <c r="I51" s="247"/>
      <c r="J51" s="247"/>
      <c r="K51" s="247"/>
    </row>
  </sheetData>
  <sheetProtection sheet="1"/>
  <mergeCells count="45">
    <mergeCell ref="A17:B17"/>
    <mergeCell ref="A23:B23"/>
    <mergeCell ref="A25:B25"/>
    <mergeCell ref="A8:I8"/>
    <mergeCell ref="A11:I11"/>
    <mergeCell ref="A10:I10"/>
    <mergeCell ref="A12:I12"/>
    <mergeCell ref="C20:E20"/>
    <mergeCell ref="C21:E21"/>
    <mergeCell ref="C17:E17"/>
    <mergeCell ref="A19:B19"/>
    <mergeCell ref="C19:E19"/>
    <mergeCell ref="A21:B21"/>
    <mergeCell ref="C23:E23"/>
    <mergeCell ref="A48:H48"/>
    <mergeCell ref="A40:A43"/>
    <mergeCell ref="B43:H43"/>
    <mergeCell ref="A33:B33"/>
    <mergeCell ref="A35:H35"/>
    <mergeCell ref="A36:A39"/>
    <mergeCell ref="H36:H42"/>
    <mergeCell ref="B39:G39"/>
    <mergeCell ref="D40:G40"/>
    <mergeCell ref="G45:H47"/>
    <mergeCell ref="B47:F47"/>
    <mergeCell ref="B41:C41"/>
    <mergeCell ref="D41:G41"/>
    <mergeCell ref="B45:F45"/>
    <mergeCell ref="B46:F46"/>
    <mergeCell ref="D37:G37"/>
    <mergeCell ref="B40:C40"/>
    <mergeCell ref="A44:H44"/>
    <mergeCell ref="C25:E25"/>
    <mergeCell ref="C33:E33"/>
    <mergeCell ref="I33:K33"/>
    <mergeCell ref="F33:H33"/>
    <mergeCell ref="C27:E27"/>
    <mergeCell ref="C29:E29"/>
    <mergeCell ref="C31:E31"/>
    <mergeCell ref="B37:C37"/>
    <mergeCell ref="A27:B27"/>
    <mergeCell ref="A29:B29"/>
    <mergeCell ref="A31:B31"/>
    <mergeCell ref="B36:C36"/>
    <mergeCell ref="D36:G36"/>
  </mergeCells>
  <phoneticPr fontId="9" type="noConversion"/>
  <dataValidations count="4">
    <dataValidation type="list" allowBlank="1" showInputMessage="1" showErrorMessage="1" sqref="C33:E33" xr:uid="{ADD89FE9-A813-4A7A-8E8E-54ADDB2FE770}">
      <formula1>"Yes, No"</formula1>
    </dataValidation>
    <dataValidation type="list" allowBlank="1" showInputMessage="1" showErrorMessage="1" sqref="C23:E23" xr:uid="{36105D9C-7792-4FB9-A367-F0784C5D0AA4}">
      <formula1>"Scheme pipeline, Non-scheme pipeline"</formula1>
    </dataValidation>
    <dataValidation type="date" operator="greaterThan" allowBlank="1" showInputMessage="1" showErrorMessage="1" sqref="C25:E25" xr:uid="{88F680C9-D94F-4472-AB7B-F943830FD403}">
      <formula1>40179</formula1>
    </dataValidation>
    <dataValidation type="list" allowBlank="1" showInputMessage="1" showErrorMessage="1" sqref="D38 D42" xr:uid="{678165AB-B75A-4FDD-9BFF-68D3893F10E1}">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&amp;C&amp;A_x000D_&amp;1#&amp;"Aptos"&amp;10&amp;K008000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54FA-96D9-4819-AFA8-E573C35C78A7}">
  <sheetPr codeName="Sheet9">
    <tabColor rgb="FF17415D"/>
    <pageSetUpPr fitToPage="1"/>
  </sheetPr>
  <dimension ref="A1:H50"/>
  <sheetViews>
    <sheetView showGridLines="0" zoomScale="80" zoomScaleNormal="80" workbookViewId="0"/>
  </sheetViews>
  <sheetFormatPr defaultColWidth="9.28515625" defaultRowHeight="23.25" x14ac:dyDescent="0.35"/>
  <cols>
    <col min="1" max="1" width="6.28515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7109375" style="1" customWidth="1"/>
    <col min="9" max="16384" width="9.28515625" style="1"/>
  </cols>
  <sheetData>
    <row r="1" spans="1:8" ht="26.25" x14ac:dyDescent="0.35">
      <c r="A1" s="1" t="s">
        <v>12</v>
      </c>
      <c r="C1" s="107" t="s">
        <v>509</v>
      </c>
      <c r="D1" s="107"/>
      <c r="E1" s="107"/>
      <c r="F1" s="107"/>
      <c r="G1" s="3"/>
      <c r="H1" s="3"/>
    </row>
    <row r="2" spans="1:8" ht="20.25" customHeight="1" x14ac:dyDescent="0.35">
      <c r="B2" s="3"/>
      <c r="C2" s="107" t="str">
        <f>IF(Tradingname=0," ",Tradingname)</f>
        <v>EAST AUSTRALIAN PIPELINE PTY LIMITED</v>
      </c>
      <c r="D2" s="107"/>
      <c r="E2" s="107"/>
      <c r="F2" s="107"/>
      <c r="G2" s="3"/>
    </row>
    <row r="3" spans="1:8" ht="33.75" customHeight="1" x14ac:dyDescent="0.4">
      <c r="B3" s="3"/>
      <c r="C3" s="107" t="s">
        <v>110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2"/>
      <c r="D6" s="153"/>
      <c r="E6" s="153"/>
      <c r="F6" s="154"/>
    </row>
    <row r="7" spans="1:8" s="3" customFormat="1" ht="26.25" x14ac:dyDescent="0.4">
      <c r="C7" s="155"/>
      <c r="D7" s="403" t="s">
        <v>406</v>
      </c>
      <c r="E7" s="403"/>
      <c r="F7" s="156"/>
    </row>
    <row r="8" spans="1:8" s="3" customFormat="1" ht="25.5" x14ac:dyDescent="0.35">
      <c r="C8" s="155"/>
      <c r="D8" s="157"/>
      <c r="E8" s="157"/>
      <c r="F8" s="156"/>
    </row>
    <row r="9" spans="1:8" s="3" customFormat="1" ht="26.25" x14ac:dyDescent="0.4">
      <c r="C9" s="155"/>
      <c r="D9" s="162" t="s">
        <v>409</v>
      </c>
      <c r="E9" s="166" t="s">
        <v>535</v>
      </c>
      <c r="F9" s="156"/>
    </row>
    <row r="10" spans="1:8" s="3" customFormat="1" ht="26.25" x14ac:dyDescent="0.4">
      <c r="C10" s="155"/>
      <c r="D10" s="162"/>
      <c r="E10" s="166" t="s">
        <v>534</v>
      </c>
      <c r="F10" s="156"/>
    </row>
    <row r="11" spans="1:8" s="3" customFormat="1" ht="26.25" x14ac:dyDescent="0.4">
      <c r="C11" s="155"/>
      <c r="D11" s="162"/>
      <c r="E11" s="166" t="s">
        <v>533</v>
      </c>
      <c r="F11" s="156"/>
    </row>
    <row r="12" spans="1:8" s="3" customFormat="1" ht="25.5" x14ac:dyDescent="0.35">
      <c r="C12" s="155"/>
      <c r="D12" s="157"/>
      <c r="E12" s="157"/>
      <c r="F12" s="156"/>
    </row>
    <row r="13" spans="1:8" s="3" customFormat="1" ht="26.25" x14ac:dyDescent="0.4">
      <c r="C13" s="155"/>
      <c r="D13" s="162" t="s">
        <v>412</v>
      </c>
      <c r="E13" s="163"/>
      <c r="F13" s="156"/>
    </row>
    <row r="14" spans="1:8" s="3" customFormat="1" ht="25.5" x14ac:dyDescent="0.35">
      <c r="C14" s="155"/>
      <c r="D14" s="103"/>
      <c r="E14" s="104"/>
      <c r="F14" s="156"/>
    </row>
    <row r="15" spans="1:8" s="3" customFormat="1" ht="26.25" x14ac:dyDescent="0.4">
      <c r="C15" s="155"/>
      <c r="D15" s="162" t="s">
        <v>411</v>
      </c>
      <c r="E15" s="165" t="s">
        <v>520</v>
      </c>
      <c r="F15" s="156"/>
    </row>
    <row r="16" spans="1:8" s="3" customFormat="1" ht="26.25" x14ac:dyDescent="0.4">
      <c r="C16" s="155"/>
      <c r="D16" s="162"/>
      <c r="E16" s="165" t="s">
        <v>664</v>
      </c>
      <c r="F16" s="156"/>
    </row>
    <row r="17" spans="3:6" s="3" customFormat="1" ht="26.25" x14ac:dyDescent="0.4">
      <c r="C17" s="155"/>
      <c r="D17" s="162"/>
      <c r="E17" s="165" t="s">
        <v>425</v>
      </c>
      <c r="F17" s="156"/>
    </row>
    <row r="18" spans="3:6" s="3" customFormat="1" ht="26.25" x14ac:dyDescent="0.4">
      <c r="C18" s="155"/>
      <c r="D18" s="162"/>
      <c r="E18" s="165" t="s">
        <v>426</v>
      </c>
      <c r="F18" s="156"/>
    </row>
    <row r="19" spans="3:6" s="3" customFormat="1" ht="26.25" x14ac:dyDescent="0.4">
      <c r="C19" s="155"/>
      <c r="D19" s="162"/>
      <c r="E19" s="165" t="s">
        <v>488</v>
      </c>
      <c r="F19" s="156"/>
    </row>
    <row r="20" spans="3:6" s="3" customFormat="1" ht="25.5" customHeight="1" x14ac:dyDescent="0.35">
      <c r="C20" s="105"/>
      <c r="D20" s="103"/>
      <c r="E20" s="104"/>
      <c r="F20" s="106"/>
    </row>
    <row r="21" spans="3:6" s="3" customFormat="1" ht="25.5" customHeight="1" x14ac:dyDescent="0.4">
      <c r="C21" s="155"/>
      <c r="D21" s="162" t="s">
        <v>652</v>
      </c>
      <c r="E21" s="165" t="s">
        <v>648</v>
      </c>
      <c r="F21" s="156"/>
    </row>
    <row r="22" spans="3:6" s="3" customFormat="1" ht="25.5" customHeight="1" x14ac:dyDescent="0.4">
      <c r="C22" s="155"/>
      <c r="D22" s="162" t="s">
        <v>654</v>
      </c>
      <c r="E22" s="165" t="s">
        <v>649</v>
      </c>
      <c r="F22" s="156"/>
    </row>
    <row r="23" spans="3:6" s="3" customFormat="1" ht="25.5" customHeight="1" x14ac:dyDescent="0.4">
      <c r="C23" s="155"/>
      <c r="D23" s="162"/>
      <c r="E23" s="165" t="s">
        <v>650</v>
      </c>
      <c r="F23" s="156"/>
    </row>
    <row r="24" spans="3:6" s="3" customFormat="1" ht="25.5" customHeight="1" x14ac:dyDescent="0.4">
      <c r="C24" s="155"/>
      <c r="D24" s="162"/>
      <c r="E24" s="165" t="s">
        <v>651</v>
      </c>
      <c r="F24" s="156"/>
    </row>
    <row r="25" spans="3:6" s="3" customFormat="1" ht="25.5" x14ac:dyDescent="0.35">
      <c r="C25" s="105"/>
      <c r="D25" s="103"/>
      <c r="E25" s="104"/>
      <c r="F25" s="106"/>
    </row>
    <row r="26" spans="3:6" s="3" customFormat="1" ht="26.25" x14ac:dyDescent="0.4">
      <c r="C26" s="155"/>
      <c r="D26" s="162" t="s">
        <v>653</v>
      </c>
      <c r="E26" s="165" t="s">
        <v>413</v>
      </c>
      <c r="F26" s="156"/>
    </row>
    <row r="27" spans="3:6" s="3" customFormat="1" ht="25.5" x14ac:dyDescent="0.35">
      <c r="C27" s="105"/>
      <c r="D27" s="103"/>
      <c r="E27" s="104"/>
      <c r="F27" s="106"/>
    </row>
    <row r="28" spans="3:6" s="3" customFormat="1" ht="26.25" x14ac:dyDescent="0.4">
      <c r="C28" s="105"/>
      <c r="D28" s="162" t="s">
        <v>489</v>
      </c>
      <c r="E28" s="164"/>
      <c r="F28" s="106"/>
    </row>
    <row r="29" spans="3:6" s="3" customFormat="1" ht="25.5" x14ac:dyDescent="0.35">
      <c r="C29" s="105"/>
      <c r="D29" s="103"/>
      <c r="E29" s="104"/>
      <c r="F29" s="106"/>
    </row>
    <row r="30" spans="3:6" s="3" customFormat="1" ht="26.25" x14ac:dyDescent="0.4">
      <c r="C30" s="155"/>
      <c r="D30" s="162" t="s">
        <v>512</v>
      </c>
      <c r="E30" s="163"/>
      <c r="F30" s="156"/>
    </row>
    <row r="31" spans="3:6" s="3" customFormat="1" ht="26.25" thickBot="1" x14ac:dyDescent="0.4">
      <c r="C31" s="158"/>
      <c r="D31" s="159"/>
      <c r="E31" s="160"/>
      <c r="F31" s="161"/>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31" type="noConversion"/>
  <hyperlinks>
    <hyperlink ref="D13" location="'1. Pipeline information'!A1" display="1. PIPELINE INFORMATION" xr:uid="{152A462F-D365-48D3-9726-BAB065BE0B63}"/>
    <hyperlink ref="E26" location="'4.1 Pipelines capex'!A1" display="4.1 Pipelines capex" xr:uid="{54C41570-9E64-46D5-AA7D-17F879710EE6}"/>
    <hyperlink ref="D28" location="'5. Historical demand'!A1" display="5. Historical demand" xr:uid="{474A57C1-2DFF-4A21-8D40-78FC75D95F5B}"/>
    <hyperlink ref="D30" location="'6. Pricing template'!A1" display="6. PRICING TEMPLATE" xr:uid="{EEA41391-1787-4B72-B8A2-1784F36E39F1}"/>
    <hyperlink ref="D15" location="'2. Revenue and expenses'!A1" display="2. REVENUE AND EXPENSES" xr:uid="{5C84B276-18FC-4BD1-A9DE-AADB56F2CED2}"/>
    <hyperlink ref="E9" location="'Financial summary'!A1" display="Financial summary" xr:uid="{71B014E7-5EA5-4E35-B594-09DDEF5ABC19}"/>
    <hyperlink ref="E10" location="'Data visualisation'!A1" display="Data visualisation" xr:uid="{FED5CC8A-A6D0-43B6-8AB2-27BB4A399C67}"/>
    <hyperlink ref="E11" location="'Pricing benchmarks summary'!A1" display="Pricing benchmarks summary" xr:uid="{12586D4D-4E58-4BD6-B7E5-7E8F293D86D5}"/>
    <hyperlink ref="E15" location="'2.1 Profit &amp; Loss by component'!A1" display="2.1 Profit &amp; Loss by component" xr:uid="{3FC44BAF-F8CA-49D1-AD40-768F0E49BCBE}"/>
    <hyperlink ref="E17" location="'2.3 Revenue contributions '!A1" display="2.3 Revenue contributions " xr:uid="{83A5E402-BE86-46BF-9FA8-4D7F0E1CA29A}"/>
    <hyperlink ref="E18" location="'2.4 Indirect revenue'!A1" display="2.4 Indirect revenue" xr:uid="{67724CE5-A8EE-464E-8E77-FFDBD422CA2A}"/>
    <hyperlink ref="E19" location="'2.5 Shared expenses'!A1" display="2.5 Shared expenses" xr:uid="{AF79BE29-4599-4CB9-9DFE-C2BD03162C55}"/>
    <hyperlink ref="D26" location="'4. Recovered Capital'!A1" display="4. ASSET - RECOVERED CAPITAL METHOD (RCM)" xr:uid="{36115B3C-CB7D-47EB-9702-2CE30F1E51EA}"/>
    <hyperlink ref="D21" location="'3.1 Depreciated Book Value'!Print_Area" display="3.1 ASSET VALUE - DEPRICIATED BOOK VALUE METHOD (DBVM)" xr:uid="{CBB6C9AA-018B-4AF2-9491-26CCD470FE29}"/>
    <hyperlink ref="D22" location="'3.2 Regulatory Asset Base'!Print_Area" display="3.2 ASSET VALUE - REGULATORY ASSET BASE (RAB)" xr:uid="{01ECFA61-4365-41D2-9C78-6DE788ED6EF3}"/>
    <hyperlink ref="E21" location="'3.3 Asset useful life'!Print_Area" display="3.3 Asset useful life" xr:uid="{9AE5694E-F8C0-4EDE-86C4-83AC8806E63A}"/>
    <hyperlink ref="E22" location="'3.4 Asset impairment'!Print_Area" display="3.4 Asset impairment" xr:uid="{8BDCB937-0CC6-4FE3-AC90-4E225267FF2A}"/>
    <hyperlink ref="E23" location="'3.5 Depreciation amortisation'!Print_Area" display="3.5 Depreciation amortisation" xr:uid="{F06EAF60-0D63-40B5-93DD-5E9D562DEAD3}"/>
    <hyperlink ref="E24" location="'3.6 Shared supporting assets'!Print_Area" display="3.6 Shared supporting assets" xr:uid="{2AD36B2F-A986-4F50-913C-4299F3FC7530}"/>
    <hyperlink ref="E16" location="'2.2 Allocation to services'!Print_Area" display="2.2 Allocation to pipeline services" xr:uid="{EE081AB7-CE1C-4642-A74E-4D076F8EF18E}"/>
  </hyperlinks>
  <pageMargins left="0.25" right="0.25" top="0.75" bottom="0.75" header="0.3" footer="0.3"/>
  <pageSetup paperSize="9" scale="10" orientation="portrait" r:id="rId1"/>
  <headerFooter alignWithMargins="0">
    <oddFooter>&amp;L&amp;D&amp;C&amp; Template: &amp;A
&amp;F_x000D_&amp;1#&amp;"Aptos"&amp;10&amp;K008000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0937-1546-49A9-BCAC-B0914D4D8DF3}">
  <sheetPr codeName="Sheet4">
    <tabColor rgb="FF17415D"/>
  </sheetPr>
  <dimension ref="A1:G48"/>
  <sheetViews>
    <sheetView showGridLines="0" topLeftCell="A2" zoomScaleNormal="100" workbookViewId="0">
      <pane xSplit="1" ySplit="5" topLeftCell="B7" activePane="bottomRight" state="frozen"/>
      <selection activeCell="A2" sqref="A2"/>
      <selection pane="topRight" activeCell="B2" sqref="B2"/>
      <selection pane="bottomLeft" activeCell="A7" sqref="A7"/>
      <selection pane="bottomRight"/>
    </sheetView>
  </sheetViews>
  <sheetFormatPr defaultRowHeight="12.75" x14ac:dyDescent="0.2"/>
  <cols>
    <col min="1" max="1" width="11.7109375" customWidth="1"/>
    <col min="2" max="2" width="69.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5" t="s">
        <v>510</v>
      </c>
      <c r="C1" s="145"/>
    </row>
    <row r="2" spans="1:7" ht="20.25" customHeight="1" x14ac:dyDescent="0.2">
      <c r="A2" s="4"/>
      <c r="B2" s="145" t="str">
        <f>IF(Tradingname=0," ",Tradingname)</f>
        <v>EAST AUSTRALIAN PIPELINE PTY LIMITED</v>
      </c>
      <c r="C2" s="145"/>
    </row>
    <row r="3" spans="1:7" ht="20.25" x14ac:dyDescent="0.3">
      <c r="B3" s="145" t="s">
        <v>110</v>
      </c>
      <c r="C3" s="110">
        <f>IF(Yearending=0, "01/01/2000", Yearending)</f>
        <v>45838</v>
      </c>
    </row>
    <row r="4" spans="1:7" ht="20.25" x14ac:dyDescent="0.2">
      <c r="B4" s="102" t="s">
        <v>535</v>
      </c>
      <c r="C4" s="102"/>
      <c r="F4" s="15"/>
      <c r="G4" s="15"/>
    </row>
    <row r="5" spans="1:7" x14ac:dyDescent="0.2">
      <c r="C5" s="15"/>
    </row>
    <row r="6" spans="1:7" ht="15.75" x14ac:dyDescent="0.25">
      <c r="B6" s="117" t="s">
        <v>668</v>
      </c>
      <c r="C6" s="116"/>
    </row>
    <row r="9" spans="1:7" x14ac:dyDescent="0.2">
      <c r="B9" s="32" t="s">
        <v>671</v>
      </c>
      <c r="C9" s="32" t="s">
        <v>18</v>
      </c>
    </row>
    <row r="10" spans="1:7" x14ac:dyDescent="0.2">
      <c r="B10" s="130" t="s">
        <v>32</v>
      </c>
      <c r="C10" s="132">
        <f>'2.1 Profit &amp; Loss by component'!$F$18</f>
        <v>491221672.05068588</v>
      </c>
    </row>
    <row r="11" spans="1:7" x14ac:dyDescent="0.2">
      <c r="B11" s="130" t="s">
        <v>38</v>
      </c>
      <c r="C11" s="132">
        <f>'2.1 Profit &amp; Loss by component'!$F$21</f>
        <v>0</v>
      </c>
    </row>
    <row r="12" spans="1:7" x14ac:dyDescent="0.2">
      <c r="B12" s="131" t="s">
        <v>15</v>
      </c>
      <c r="C12" s="132">
        <f>'2.1 Profit &amp; Loss by component'!$F$22</f>
        <v>491221672.05068588</v>
      </c>
    </row>
    <row r="13" spans="1:7" x14ac:dyDescent="0.2">
      <c r="B13" s="30" t="s">
        <v>461</v>
      </c>
      <c r="C13" s="132">
        <f>'2.1 Profit &amp; Loss by component'!$F$32</f>
        <v>183985202.88459915</v>
      </c>
    </row>
    <row r="14" spans="1:7" x14ac:dyDescent="0.2">
      <c r="B14" s="31" t="s">
        <v>480</v>
      </c>
      <c r="C14" s="132">
        <f>'2.1 Profit &amp; Loss by component'!$F$43</f>
        <v>67178421.249157786</v>
      </c>
    </row>
    <row r="15" spans="1:7" x14ac:dyDescent="0.2">
      <c r="B15" s="131" t="s">
        <v>465</v>
      </c>
      <c r="C15" s="132">
        <f>'2.1 Profit &amp; Loss by component'!$F$44</f>
        <v>251163624.13375694</v>
      </c>
    </row>
    <row r="16" spans="1:7" x14ac:dyDescent="0.2">
      <c r="B16" s="131" t="s">
        <v>676</v>
      </c>
      <c r="C16" s="132">
        <f>'2.1 Profit &amp; Loss by component'!$F$45</f>
        <v>240058047.91692895</v>
      </c>
    </row>
    <row r="17" spans="2:5" x14ac:dyDescent="0.2">
      <c r="B17" s="17"/>
      <c r="C17" s="17"/>
      <c r="D17" s="17"/>
      <c r="E17" s="17"/>
    </row>
    <row r="19" spans="2:5" x14ac:dyDescent="0.2">
      <c r="B19" s="32" t="s">
        <v>639</v>
      </c>
      <c r="C19" s="32" t="s">
        <v>672</v>
      </c>
    </row>
    <row r="20" spans="2:5" ht="15.75" x14ac:dyDescent="0.2">
      <c r="B20" s="93" t="s">
        <v>219</v>
      </c>
      <c r="C20" s="18">
        <f>'3.1 Depreciated Book Value'!$D$125</f>
        <v>3755527325.4280396</v>
      </c>
    </row>
    <row r="21" spans="2:5" ht="15.75" x14ac:dyDescent="0.2">
      <c r="B21" s="93" t="s">
        <v>518</v>
      </c>
      <c r="C21" s="94">
        <f>IFERROR(C16/C20,0)</f>
        <v>6.3921262479315899E-2</v>
      </c>
    </row>
    <row r="22" spans="2:5" x14ac:dyDescent="0.2">
      <c r="B22" s="32" t="s">
        <v>640</v>
      </c>
      <c r="C22" s="32" t="s">
        <v>672</v>
      </c>
    </row>
    <row r="23" spans="2:5" ht="15.75" x14ac:dyDescent="0.2">
      <c r="B23" s="93" t="s">
        <v>219</v>
      </c>
      <c r="C23" s="18">
        <f>'3.2 Regulatory Asset Base'!$H$95</f>
        <v>0</v>
      </c>
    </row>
    <row r="24" spans="2:5" ht="15.75" x14ac:dyDescent="0.2">
      <c r="B24" s="93" t="s">
        <v>518</v>
      </c>
      <c r="C24" s="94">
        <f>IFERROR(C16/C23,0)</f>
        <v>0</v>
      </c>
    </row>
    <row r="25" spans="2:5" x14ac:dyDescent="0.2">
      <c r="B25" s="32" t="s">
        <v>517</v>
      </c>
      <c r="C25" s="32" t="s">
        <v>672</v>
      </c>
    </row>
    <row r="26" spans="2:5" ht="15.75" x14ac:dyDescent="0.2">
      <c r="B26" s="93" t="s">
        <v>64</v>
      </c>
      <c r="C26" s="132">
        <f>'4. Recovered Capital'!$E$29</f>
        <v>0</v>
      </c>
    </row>
    <row r="27" spans="2:5" ht="15.75" x14ac:dyDescent="0.2">
      <c r="B27" s="93" t="s">
        <v>518</v>
      </c>
      <c r="C27" s="94">
        <f>IFERROR(C16/INDEX('4. Recovered Capital'!$F$12:$BH$39,27,MATCH(VALUE(RIGHT(TEXT(C3,"dd/mm/yyyy"),4)),'4. Recovered Capital'!$F$12:$BH$12,0)),0)</f>
        <v>0</v>
      </c>
    </row>
    <row r="41" ht="27" customHeight="1" x14ac:dyDescent="0.2"/>
    <row r="48" ht="31.9" customHeight="1" x14ac:dyDescent="0.2"/>
  </sheetData>
  <sheetProtection sheet="1"/>
  <pageMargins left="0.7" right="0.7" top="0.75" bottom="0.75" header="0.3" footer="0.3"/>
  <pageSetup paperSize="9" orientation="portrait" r:id="rId1"/>
  <headerFooter>
    <oddFooter>&amp;C_x000D_&amp;1#&amp;"Aptos"&amp;10&amp;K008000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E1B1-8B9C-432C-BB13-C6B9E15801D7}">
  <sheetPr codeName="Sheet18">
    <tabColor rgb="FF17415D"/>
  </sheetPr>
  <dimension ref="B1:E60"/>
  <sheetViews>
    <sheetView zoomScale="80" zoomScaleNormal="8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28515625" style="214" customWidth="1"/>
    <col min="2" max="2" width="21" style="214" customWidth="1"/>
    <col min="3" max="5" width="42.28515625" style="214" customWidth="1"/>
    <col min="6" max="6" width="34.7109375" style="214" customWidth="1"/>
    <col min="7" max="7" width="44" style="214" customWidth="1"/>
    <col min="8" max="8" width="9.28515625" style="214"/>
    <col min="9" max="9" width="70.7109375" style="214" customWidth="1"/>
    <col min="10" max="10" width="108.7109375" style="214" bestFit="1" customWidth="1"/>
    <col min="11" max="16384" width="9.28515625" style="214"/>
  </cols>
  <sheetData>
    <row r="1" spans="2:5" ht="20.25" customHeight="1" x14ac:dyDescent="0.3">
      <c r="B1" s="145" t="s">
        <v>510</v>
      </c>
      <c r="C1" s="145"/>
      <c r="D1" s="213"/>
      <c r="E1" s="213"/>
    </row>
    <row r="2" spans="2:5" ht="20.25" x14ac:dyDescent="0.3">
      <c r="B2" s="145" t="str">
        <f>IF(Tradingname=0," ",Tradingname)</f>
        <v>EAST AUSTRALIAN PIPELINE PTY LIMITED</v>
      </c>
      <c r="C2" s="145"/>
      <c r="D2" s="215"/>
    </row>
    <row r="3" spans="2:5" ht="22.9" customHeight="1" x14ac:dyDescent="0.3">
      <c r="B3" s="145" t="s">
        <v>110</v>
      </c>
      <c r="C3" s="110">
        <f>IF(Yearending=0, "01/01/2000", Yearending)</f>
        <v>45838</v>
      </c>
    </row>
    <row r="4" spans="2:5" ht="20.25" x14ac:dyDescent="0.2">
      <c r="B4" s="102" t="s">
        <v>534</v>
      </c>
      <c r="C4" s="102"/>
    </row>
    <row r="7" spans="2:5" ht="15.75" x14ac:dyDescent="0.25">
      <c r="B7" s="216" t="s">
        <v>536</v>
      </c>
    </row>
    <row r="59" spans="2:5" ht="15.75" x14ac:dyDescent="0.25">
      <c r="B59" s="216" t="s">
        <v>395</v>
      </c>
      <c r="C59" s="217"/>
      <c r="D59" s="217"/>
      <c r="E59" s="217"/>
    </row>
    <row r="60" spans="2:5" ht="15.75" x14ac:dyDescent="0.25">
      <c r="B60" s="216"/>
      <c r="C60" s="217"/>
      <c r="D60" s="217"/>
      <c r="E60" s="217"/>
    </row>
  </sheetData>
  <sheetProtection sheet="1" objects="1" scenarios="1"/>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765A-F726-4BD9-AFA6-9E2309548E74}">
  <sheetPr codeName="Sheet19">
    <tabColor rgb="FF17415D"/>
  </sheetPr>
  <dimension ref="A1:G42"/>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defaultRowHeight="12.75" x14ac:dyDescent="0.2"/>
  <cols>
    <col min="1" max="1" width="11.7109375" customWidth="1"/>
    <col min="2" max="2" width="60.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5" t="s">
        <v>510</v>
      </c>
      <c r="C1" s="145"/>
    </row>
    <row r="2" spans="1:7" ht="20.25" customHeight="1" x14ac:dyDescent="0.2">
      <c r="A2" s="4"/>
      <c r="B2" s="145" t="str">
        <f>IF(Tradingname=0," ",Tradingname)</f>
        <v>EAST AUSTRALIAN PIPELINE PTY LIMITED</v>
      </c>
      <c r="C2" s="145"/>
    </row>
    <row r="3" spans="1:7" ht="20.25" x14ac:dyDescent="0.3">
      <c r="B3" s="145" t="s">
        <v>110</v>
      </c>
      <c r="C3" s="110">
        <f>IF(Yearending=0, "01/01/2000", Yearending)</f>
        <v>45838</v>
      </c>
    </row>
    <row r="4" spans="1:7" ht="20.25" x14ac:dyDescent="0.2">
      <c r="B4" s="102" t="s">
        <v>533</v>
      </c>
      <c r="C4" s="102"/>
      <c r="F4" s="15"/>
      <c r="G4" s="15"/>
    </row>
    <row r="5" spans="1:7" x14ac:dyDescent="0.2">
      <c r="C5" s="15"/>
    </row>
    <row r="6" spans="1:7" ht="15.75" x14ac:dyDescent="0.25">
      <c r="B6" s="117" t="s">
        <v>668</v>
      </c>
      <c r="C6" s="116"/>
    </row>
    <row r="9" spans="1:7" x14ac:dyDescent="0.2">
      <c r="B9" s="32" t="s">
        <v>410</v>
      </c>
      <c r="C9" s="404" t="s">
        <v>529</v>
      </c>
      <c r="D9" s="405"/>
      <c r="E9" s="406" t="s">
        <v>525</v>
      </c>
    </row>
    <row r="10" spans="1:7" x14ac:dyDescent="0.2">
      <c r="B10" s="123"/>
      <c r="C10" s="120" t="s">
        <v>428</v>
      </c>
      <c r="D10" s="120" t="s">
        <v>429</v>
      </c>
      <c r="E10" s="407"/>
    </row>
    <row r="11" spans="1:7" x14ac:dyDescent="0.2">
      <c r="B11" s="123" t="s">
        <v>571</v>
      </c>
      <c r="C11" s="148">
        <f>IFERROR('6. Pricing template'!$G37,)</f>
        <v>0.82654992982640374</v>
      </c>
      <c r="D11" s="148">
        <f>IFERROR('6. Pricing template'!$G38,)</f>
        <v>1.4325076645302346</v>
      </c>
      <c r="E11" s="149" t="s">
        <v>530</v>
      </c>
    </row>
    <row r="12" spans="1:7" ht="12.75" customHeight="1" x14ac:dyDescent="0.2">
      <c r="B12" s="123" t="s">
        <v>661</v>
      </c>
      <c r="C12" s="148">
        <f>IFERROR('6. Pricing template'!$G39,)</f>
        <v>0</v>
      </c>
      <c r="D12" s="148">
        <f>IFERROR('6. Pricing template'!$G40,)</f>
        <v>0</v>
      </c>
      <c r="E12" s="149" t="s">
        <v>530</v>
      </c>
    </row>
    <row r="13" spans="1:7" x14ac:dyDescent="0.2">
      <c r="B13" s="123" t="s">
        <v>573</v>
      </c>
      <c r="C13" s="148">
        <f>IFERROR('6. Pricing template'!$G41,)</f>
        <v>0</v>
      </c>
      <c r="D13" s="148">
        <f>IFERROR('6. Pricing template'!$G42,)</f>
        <v>0</v>
      </c>
      <c r="E13" s="149" t="s">
        <v>530</v>
      </c>
    </row>
    <row r="14" spans="1:7" x14ac:dyDescent="0.2">
      <c r="B14" s="123" t="s">
        <v>574</v>
      </c>
      <c r="C14" s="148">
        <f>IFERROR('6. Pricing template'!$G43,)</f>
        <v>0.10707770965880598</v>
      </c>
      <c r="D14" s="148">
        <f>IFERROR('6. Pricing template'!$G44,)</f>
        <v>0.18557818983639429</v>
      </c>
      <c r="E14" s="149" t="s">
        <v>530</v>
      </c>
    </row>
    <row r="15" spans="1:7" x14ac:dyDescent="0.2">
      <c r="B15" s="203" t="s">
        <v>575</v>
      </c>
      <c r="C15" s="148">
        <f>IFERROR('6. Pricing template'!$G45,)</f>
        <v>0</v>
      </c>
      <c r="D15" s="148">
        <f>IFERROR('6. Pricing template'!$G46,)</f>
        <v>0</v>
      </c>
      <c r="E15" s="149" t="s">
        <v>530</v>
      </c>
    </row>
    <row r="16" spans="1:7" ht="12.75" customHeight="1" x14ac:dyDescent="0.2">
      <c r="B16" s="123" t="s">
        <v>662</v>
      </c>
      <c r="C16" s="148">
        <f>IFERROR('6. Pricing template'!$G47,)</f>
        <v>9.2810332819115618E-2</v>
      </c>
      <c r="D16" s="148">
        <f>IFERROR('6. Pricing template'!$G48,)</f>
        <v>0.16085115770188047</v>
      </c>
      <c r="E16" s="149" t="s">
        <v>530</v>
      </c>
    </row>
    <row r="17" spans="2:5" x14ac:dyDescent="0.2">
      <c r="B17" s="123" t="s">
        <v>577</v>
      </c>
      <c r="C17" s="148">
        <f>IFERROR('6. Pricing template'!$G49,)</f>
        <v>0</v>
      </c>
      <c r="D17" s="148">
        <f>IFERROR('6. Pricing template'!$G50,)</f>
        <v>0</v>
      </c>
      <c r="E17" s="149" t="s">
        <v>530</v>
      </c>
    </row>
    <row r="18" spans="2:5" x14ac:dyDescent="0.2">
      <c r="B18" s="123" t="s">
        <v>578</v>
      </c>
      <c r="C18" s="148">
        <f>IFERROR('6. Pricing template'!$G51,)</f>
        <v>0</v>
      </c>
      <c r="D18" s="148">
        <f>IFERROR('6. Pricing template'!$G52,)</f>
        <v>0</v>
      </c>
      <c r="E18" s="149" t="s">
        <v>531</v>
      </c>
    </row>
    <row r="19" spans="2:5" x14ac:dyDescent="0.2">
      <c r="B19" s="123" t="s">
        <v>579</v>
      </c>
      <c r="C19" s="148">
        <f>IFERROR('6. Pricing template'!$G53,)</f>
        <v>0</v>
      </c>
      <c r="D19" s="148">
        <f>IFERROR('6. Pricing template'!$G54,)</f>
        <v>0</v>
      </c>
      <c r="E19" s="149" t="s">
        <v>532</v>
      </c>
    </row>
    <row r="20" spans="2:5" x14ac:dyDescent="0.2">
      <c r="B20" s="123" t="s">
        <v>519</v>
      </c>
      <c r="C20" s="148">
        <f>IFERROR('6. Pricing template'!$G55,)</f>
        <v>5.636094042027108E-2</v>
      </c>
      <c r="D20" s="148">
        <f>IFERROR('6. Pricing template'!$G56,)</f>
        <v>9.7680099191499697E-2</v>
      </c>
      <c r="E20" s="149"/>
    </row>
    <row r="35" ht="27" customHeight="1" x14ac:dyDescent="0.2"/>
    <row r="42" ht="31.9"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&amp;C_x000D_&amp;1#&amp;"Aptos"&amp;10&amp;K008000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76AD6-2653-4FEA-9072-0FA9A4501ACD}">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4" width="42.7109375" style="4" customWidth="1"/>
    <col min="5" max="5" width="10.7109375" style="4" customWidth="1"/>
    <col min="6" max="8" width="19.7109375" style="4" customWidth="1"/>
    <col min="9" max="9" width="18.28515625" style="4" customWidth="1"/>
    <col min="10" max="16384" width="9.28515625" style="4"/>
  </cols>
  <sheetData>
    <row r="1" spans="2:8" ht="22.9" customHeight="1" x14ac:dyDescent="0.45">
      <c r="B1" s="145" t="s">
        <v>510</v>
      </c>
      <c r="C1" s="145"/>
      <c r="D1" s="252"/>
    </row>
    <row r="2" spans="2:8" ht="20.25" x14ac:dyDescent="0.2">
      <c r="B2" s="145" t="str">
        <f>IF(Tradingname=0," ",Tradingname)</f>
        <v>EAST AUSTRALIAN PIPELINE PTY LIMITED</v>
      </c>
      <c r="C2" s="145"/>
    </row>
    <row r="3" spans="2:8" ht="20.25" x14ac:dyDescent="0.3">
      <c r="B3" s="145" t="s">
        <v>110</v>
      </c>
      <c r="C3" s="110">
        <f>IF(Yearending=0, "01/01/2000", Yearending)</f>
        <v>45838</v>
      </c>
    </row>
    <row r="4" spans="2:8" ht="20.25" x14ac:dyDescent="0.2">
      <c r="B4" s="102" t="s">
        <v>65</v>
      </c>
      <c r="C4" s="102"/>
    </row>
    <row r="5" spans="2:8" ht="20.25" x14ac:dyDescent="0.3">
      <c r="B5" s="253"/>
    </row>
    <row r="6" spans="2:8" ht="20.25" x14ac:dyDescent="0.3">
      <c r="B6" s="253"/>
    </row>
    <row r="7" spans="2:8" ht="15.75" x14ac:dyDescent="0.25">
      <c r="B7" s="223" t="s">
        <v>112</v>
      </c>
    </row>
    <row r="8" spans="2:8" x14ac:dyDescent="0.2">
      <c r="B8" s="224"/>
      <c r="C8" s="225"/>
      <c r="D8" s="225"/>
      <c r="E8" s="254"/>
      <c r="F8" s="255"/>
      <c r="G8" s="256"/>
      <c r="H8" s="256"/>
    </row>
    <row r="9" spans="2:8" ht="25.5" x14ac:dyDescent="0.2">
      <c r="B9" s="33" t="s">
        <v>23</v>
      </c>
      <c r="C9" s="344" t="s">
        <v>790</v>
      </c>
    </row>
    <row r="10" spans="2:8" ht="13.9" customHeight="1" x14ac:dyDescent="0.2">
      <c r="B10" s="33" t="s">
        <v>496</v>
      </c>
      <c r="C10" s="133">
        <v>2756</v>
      </c>
    </row>
    <row r="11" spans="2:8" ht="13.9" customHeight="1" x14ac:dyDescent="0.2">
      <c r="B11" s="33" t="s">
        <v>24</v>
      </c>
      <c r="C11" s="80">
        <v>70</v>
      </c>
    </row>
    <row r="12" spans="2:8" ht="13.9" customHeight="1" x14ac:dyDescent="0.2">
      <c r="B12" s="33" t="s">
        <v>25</v>
      </c>
      <c r="C12" s="80" t="s">
        <v>701</v>
      </c>
    </row>
    <row r="13" spans="2:8" ht="51" x14ac:dyDescent="0.2">
      <c r="B13" s="33" t="s">
        <v>563</v>
      </c>
      <c r="C13" s="342" t="s">
        <v>791</v>
      </c>
    </row>
    <row r="14" spans="2:8" ht="13.9" customHeight="1" x14ac:dyDescent="0.2">
      <c r="B14" s="33" t="s">
        <v>85</v>
      </c>
      <c r="C14" s="150">
        <v>28112</v>
      </c>
    </row>
    <row r="15" spans="2:8" ht="13.9" customHeight="1" x14ac:dyDescent="0.2">
      <c r="B15" s="33" t="str">
        <f>IF(Cover!C23="Scheme pipeline", "Date opening RAB established","")</f>
        <v/>
      </c>
      <c r="C15" s="150"/>
    </row>
    <row r="16" spans="2:8" ht="13.9" customHeight="1" x14ac:dyDescent="0.2">
      <c r="B16" s="33" t="str">
        <f>IF(Cover!C23="Scheme pipeline", "Open RAB value on date established","")</f>
        <v/>
      </c>
      <c r="C16" s="79"/>
    </row>
    <row r="18" spans="2:4" ht="15.75" x14ac:dyDescent="0.25">
      <c r="B18" s="223" t="s">
        <v>113</v>
      </c>
    </row>
    <row r="20" spans="2:4" ht="51" customHeight="1" x14ac:dyDescent="0.2">
      <c r="B20" s="146" t="s">
        <v>26</v>
      </c>
      <c r="C20" s="118" t="s">
        <v>78</v>
      </c>
      <c r="D20" s="118" t="s">
        <v>31</v>
      </c>
    </row>
    <row r="21" spans="2:4" ht="14.25" x14ac:dyDescent="0.2">
      <c r="B21" s="35" t="s">
        <v>27</v>
      </c>
      <c r="C21" s="257"/>
      <c r="D21" s="257"/>
    </row>
    <row r="22" spans="2:4" x14ac:dyDescent="0.2">
      <c r="B22" s="36" t="s">
        <v>571</v>
      </c>
      <c r="C22" s="75" t="s">
        <v>712</v>
      </c>
      <c r="D22" s="75" t="s">
        <v>777</v>
      </c>
    </row>
    <row r="23" spans="2:4" x14ac:dyDescent="0.2">
      <c r="B23" s="36" t="s">
        <v>572</v>
      </c>
      <c r="C23" s="75" t="s">
        <v>712</v>
      </c>
      <c r="D23" s="75" t="s">
        <v>777</v>
      </c>
    </row>
    <row r="24" spans="2:4" ht="25.5" x14ac:dyDescent="0.2">
      <c r="B24" s="36" t="s">
        <v>573</v>
      </c>
      <c r="C24" s="75" t="s">
        <v>712</v>
      </c>
      <c r="D24" s="75" t="s">
        <v>777</v>
      </c>
    </row>
    <row r="25" spans="2:4" ht="14.25" x14ac:dyDescent="0.2">
      <c r="B25" s="37" t="s">
        <v>134</v>
      </c>
      <c r="C25" s="257"/>
      <c r="D25" s="257"/>
    </row>
    <row r="26" spans="2:4" x14ac:dyDescent="0.2">
      <c r="B26" s="38" t="s">
        <v>574</v>
      </c>
      <c r="C26" s="75" t="s">
        <v>712</v>
      </c>
      <c r="D26" s="75" t="s">
        <v>712</v>
      </c>
    </row>
    <row r="27" spans="2:4" ht="25.5" x14ac:dyDescent="0.2">
      <c r="B27" s="39" t="s">
        <v>575</v>
      </c>
      <c r="C27" s="75" t="s">
        <v>712</v>
      </c>
      <c r="D27" s="75" t="s">
        <v>777</v>
      </c>
    </row>
    <row r="28" spans="2:4" ht="14.25" x14ac:dyDescent="0.2">
      <c r="B28" s="37" t="s">
        <v>28</v>
      </c>
      <c r="C28" s="257"/>
      <c r="D28" s="257"/>
    </row>
    <row r="29" spans="2:4" x14ac:dyDescent="0.2">
      <c r="B29" s="36" t="s">
        <v>576</v>
      </c>
      <c r="C29" s="75" t="s">
        <v>712</v>
      </c>
      <c r="D29" s="75" t="s">
        <v>777</v>
      </c>
    </row>
    <row r="30" spans="2:4" x14ac:dyDescent="0.2">
      <c r="B30" s="36" t="s">
        <v>577</v>
      </c>
      <c r="C30" s="75" t="s">
        <v>712</v>
      </c>
      <c r="D30" s="75" t="s">
        <v>777</v>
      </c>
    </row>
    <row r="31" spans="2:4" ht="14.25" x14ac:dyDescent="0.2">
      <c r="B31" s="35" t="s">
        <v>29</v>
      </c>
      <c r="C31" s="257"/>
      <c r="D31" s="257"/>
    </row>
    <row r="32" spans="2:4" x14ac:dyDescent="0.2">
      <c r="B32" s="36" t="s">
        <v>578</v>
      </c>
      <c r="C32" s="75" t="s">
        <v>712</v>
      </c>
      <c r="D32" s="75" t="s">
        <v>777</v>
      </c>
    </row>
    <row r="33" spans="2:4" x14ac:dyDescent="0.2">
      <c r="B33" s="36" t="s">
        <v>579</v>
      </c>
      <c r="C33" s="75" t="s">
        <v>712</v>
      </c>
      <c r="D33" s="75" t="s">
        <v>777</v>
      </c>
    </row>
    <row r="34" spans="2:4" ht="14.25" x14ac:dyDescent="0.2">
      <c r="B34" s="35" t="s">
        <v>30</v>
      </c>
      <c r="C34" s="257"/>
      <c r="D34" s="257"/>
    </row>
    <row r="35" spans="2:4" x14ac:dyDescent="0.2">
      <c r="B35" s="76" t="s">
        <v>778</v>
      </c>
      <c r="C35" s="74" t="s">
        <v>712</v>
      </c>
      <c r="D35" s="74" t="s">
        <v>777</v>
      </c>
    </row>
    <row r="36" spans="2:4" x14ac:dyDescent="0.2">
      <c r="B36" s="76" t="s">
        <v>779</v>
      </c>
      <c r="C36" s="74" t="s">
        <v>712</v>
      </c>
      <c r="D36" s="74" t="s">
        <v>777</v>
      </c>
    </row>
    <row r="37" spans="2:4" x14ac:dyDescent="0.2">
      <c r="B37" s="76" t="s">
        <v>244</v>
      </c>
      <c r="C37" s="74"/>
      <c r="D37" s="74"/>
    </row>
    <row r="38" spans="2:4" x14ac:dyDescent="0.2">
      <c r="B38" s="76" t="s">
        <v>244</v>
      </c>
      <c r="C38" s="74"/>
      <c r="D38" s="74"/>
    </row>
    <row r="39" spans="2:4" x14ac:dyDescent="0.2">
      <c r="B39" s="76" t="s">
        <v>244</v>
      </c>
      <c r="C39" s="74"/>
      <c r="D39" s="74"/>
    </row>
    <row r="40" spans="2:4" x14ac:dyDescent="0.2">
      <c r="B40" s="76" t="s">
        <v>244</v>
      </c>
      <c r="C40" s="74"/>
      <c r="D40" s="74"/>
    </row>
    <row r="41" spans="2:4" x14ac:dyDescent="0.2">
      <c r="B41" s="76" t="s">
        <v>244</v>
      </c>
      <c r="C41" s="74"/>
      <c r="D41" s="74"/>
    </row>
    <row r="42" spans="2:4" x14ac:dyDescent="0.2">
      <c r="B42" s="76" t="s">
        <v>244</v>
      </c>
      <c r="C42" s="74"/>
      <c r="D42" s="74"/>
    </row>
  </sheetData>
  <sheetProtection insertRows="0"/>
  <dataValidations count="2">
    <dataValidation type="list" allowBlank="1" showInputMessage="1" showErrorMessage="1" sqref="C12" xr:uid="{7363F4A1-4B31-4160-8DDF-50EBE40FF175}">
      <formula1>"Distribution,Transmission"</formula1>
    </dataValidation>
    <dataValidation type="list" allowBlank="1" showInputMessage="1" showErrorMessage="1" sqref="C22:D24 C26:D27 C29:D30 C32:D33" xr:uid="{A6BCB6DE-D8D0-4040-BC3A-735901325C9F}">
      <formula1>"Yes,No"</formula1>
    </dataValidation>
  </dataValidations>
  <pageMargins left="0.75" right="0.75" top="1" bottom="1" header="0.5" footer="0.5"/>
  <pageSetup paperSize="9" scale="59" orientation="landscape" r:id="rId1"/>
  <headerFooter alignWithMargins="0">
    <oddFooter>&amp;C_x000D_&amp;1#&amp;"Aptos"&amp;10&amp;K008000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62C0-9D1A-42E4-BCC8-0E1BFFB49033}">
  <sheetPr codeName="Sheet2">
    <tabColor rgb="FF17415D"/>
    <pageSetUpPr fitToPage="1"/>
  </sheetPr>
  <dimension ref="B1:G22"/>
  <sheetViews>
    <sheetView zoomScale="115" zoomScaleNormal="115"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28515625" style="4"/>
  </cols>
  <sheetData>
    <row r="1" spans="2:7" ht="20.25" x14ac:dyDescent="0.3">
      <c r="B1" s="145" t="s">
        <v>510</v>
      </c>
      <c r="C1" s="145"/>
      <c r="D1" s="213"/>
      <c r="E1" s="213"/>
      <c r="F1" s="213"/>
      <c r="G1" s="213"/>
    </row>
    <row r="2" spans="2:7" ht="18" customHeight="1" x14ac:dyDescent="0.45">
      <c r="B2" s="145" t="str">
        <f>IF(Tradingname=0," ",Tradingname)</f>
        <v>EAST AUSTRALIAN PIPELINE PTY LIMITED</v>
      </c>
      <c r="C2" s="145"/>
      <c r="G2" s="252"/>
    </row>
    <row r="3" spans="2:7" ht="20.25" x14ac:dyDescent="0.3">
      <c r="B3" s="145" t="s">
        <v>110</v>
      </c>
      <c r="C3" s="110">
        <f>IF(Yearending=0, "01/01/2000", Yearending)</f>
        <v>45838</v>
      </c>
    </row>
    <row r="4" spans="2:7" ht="20.25" x14ac:dyDescent="0.2">
      <c r="B4" s="102" t="s">
        <v>405</v>
      </c>
      <c r="C4" s="102"/>
      <c r="E4" s="258"/>
    </row>
    <row r="7" spans="2:7" ht="15.75" x14ac:dyDescent="0.2">
      <c r="B7" s="259" t="s">
        <v>494</v>
      </c>
      <c r="C7" s="259"/>
      <c r="D7" s="200"/>
      <c r="E7" s="200"/>
      <c r="F7" s="200"/>
      <c r="G7" s="200"/>
    </row>
    <row r="8" spans="2:7" x14ac:dyDescent="0.2">
      <c r="B8" s="260"/>
      <c r="C8" s="261"/>
      <c r="D8" s="262"/>
      <c r="E8" s="200"/>
      <c r="F8" s="200"/>
      <c r="G8" s="200"/>
    </row>
    <row r="9" spans="2:7" ht="25.5" x14ac:dyDescent="0.2">
      <c r="B9" s="55" t="s">
        <v>515</v>
      </c>
      <c r="C9" s="263" t="s">
        <v>13</v>
      </c>
      <c r="D9" s="229" t="s">
        <v>18</v>
      </c>
      <c r="E9" s="263" t="s">
        <v>13</v>
      </c>
      <c r="F9" s="229" t="s">
        <v>18</v>
      </c>
      <c r="G9" s="55" t="s">
        <v>677</v>
      </c>
    </row>
    <row r="10" spans="2:7" x14ac:dyDescent="0.2">
      <c r="B10" s="264"/>
      <c r="C10" s="265"/>
      <c r="D10" s="122" t="s">
        <v>111</v>
      </c>
      <c r="E10" s="265"/>
      <c r="F10" s="122" t="s">
        <v>111</v>
      </c>
      <c r="G10" s="122" t="s">
        <v>111</v>
      </c>
    </row>
    <row r="11" spans="2:7" x14ac:dyDescent="0.2">
      <c r="B11" s="324" t="s">
        <v>751</v>
      </c>
      <c r="C11" s="267" t="s">
        <v>66</v>
      </c>
      <c r="D11" s="122"/>
      <c r="E11" s="267" t="s">
        <v>459</v>
      </c>
      <c r="F11" s="122"/>
      <c r="G11" s="122"/>
    </row>
    <row r="12" spans="2:7" x14ac:dyDescent="0.2">
      <c r="B12" s="325"/>
      <c r="C12" s="123" t="s">
        <v>571</v>
      </c>
      <c r="D12" s="309">
        <f>IF('2.2 Allocation to services'!G13+'2.2 Allocation to services'!G25+'2.2 Allocation to services'!G37=0, ,'2.2 Allocation to services'!G13+'2.2 Allocation to services'!G25+'2.2 Allocation to services'!G37)</f>
        <v>381062978.54786742</v>
      </c>
      <c r="E12" s="123" t="s">
        <v>571</v>
      </c>
      <c r="F12" s="309">
        <f>IF('2.2 Allocation to services'!G56+'2.2 Allocation to services'!G68+'2.2 Allocation to services'!G80=0, ,'2.2 Allocation to services'!G56+'2.2 Allocation to services'!G68+'2.2 Allocation to services'!G80)</f>
        <v>194839039.40095478</v>
      </c>
      <c r="G12" s="309">
        <f>D12-ABS(F12)</f>
        <v>186223939.14691263</v>
      </c>
    </row>
    <row r="13" spans="2:7" x14ac:dyDescent="0.2">
      <c r="B13" s="266"/>
      <c r="C13" s="123" t="s">
        <v>661</v>
      </c>
      <c r="D13" s="309">
        <f>IF('2.2 Allocation to services'!G14+'2.2 Allocation to services'!G26+'2.2 Allocation to services'!G38=0, ,'2.2 Allocation to services'!G14+'2.2 Allocation to services'!G26+'2.2 Allocation to services'!G38)</f>
        <v>0</v>
      </c>
      <c r="E13" s="123" t="s">
        <v>661</v>
      </c>
      <c r="F13" s="309">
        <f>IF('2.2 Allocation to services'!G57+'2.2 Allocation to services'!G69+'2.2 Allocation to services'!G81=0, ,'2.2 Allocation to services'!G57+'2.2 Allocation to services'!G69+'2.2 Allocation to services'!G81)</f>
        <v>0</v>
      </c>
      <c r="G13" s="309">
        <f t="shared" ref="G13:G22" si="0">D13-ABS(F13)</f>
        <v>0</v>
      </c>
    </row>
    <row r="14" spans="2:7" x14ac:dyDescent="0.2">
      <c r="B14" s="266"/>
      <c r="C14" s="123" t="s">
        <v>573</v>
      </c>
      <c r="D14" s="309">
        <f>IF('2.2 Allocation to services'!G15+'2.2 Allocation to services'!G27+'2.2 Allocation to services'!G39=0, ,'2.2 Allocation to services'!G15+'2.2 Allocation to services'!G27+'2.2 Allocation to services'!G39)</f>
        <v>1385316.0122261832</v>
      </c>
      <c r="E14" s="123" t="s">
        <v>573</v>
      </c>
      <c r="F14" s="309">
        <f>IF('2.2 Allocation to services'!G58+'2.2 Allocation to services'!G70+'2.2 Allocation to services'!G82=0, ,'2.2 Allocation to services'!G58+'2.2 Allocation to services'!G70+'2.2 Allocation to services'!G82)</f>
        <v>708317.67000164115</v>
      </c>
      <c r="G14" s="309">
        <f t="shared" si="0"/>
        <v>676998.34222454205</v>
      </c>
    </row>
    <row r="15" spans="2:7" x14ac:dyDescent="0.2">
      <c r="B15" s="266"/>
      <c r="C15" s="123" t="s">
        <v>574</v>
      </c>
      <c r="D15" s="309">
        <f>IF('2.2 Allocation to services'!G16+'2.2 Allocation to services'!G28+'2.2 Allocation to services'!G40=0, ,'2.2 Allocation to services'!G16+'2.2 Allocation to services'!G28+'2.2 Allocation to services'!G40)</f>
        <v>78879120.516822681</v>
      </c>
      <c r="E15" s="123" t="s">
        <v>574</v>
      </c>
      <c r="F15" s="309">
        <f>IF('2.2 Allocation to services'!G59+'2.2 Allocation to services'!G71+'2.2 Allocation to services'!G83=0, ,'2.2 Allocation to services'!G59+'2.2 Allocation to services'!G71+'2.2 Allocation to services'!G83)</f>
        <v>40331212.779725119</v>
      </c>
      <c r="G15" s="309">
        <f t="shared" si="0"/>
        <v>38547907.737097561</v>
      </c>
    </row>
    <row r="16" spans="2:7" x14ac:dyDescent="0.2">
      <c r="B16" s="266"/>
      <c r="C16" s="203" t="s">
        <v>575</v>
      </c>
      <c r="D16" s="309">
        <f>IF('2.2 Allocation to services'!G17+'2.2 Allocation to services'!G29+'2.2 Allocation to services'!G41=0, ,'2.2 Allocation to services'!G17+'2.2 Allocation to services'!G29+'2.2 Allocation to services'!G41)</f>
        <v>573727.70580036519</v>
      </c>
      <c r="E16" s="203" t="s">
        <v>575</v>
      </c>
      <c r="F16" s="309">
        <f>IF('2.2 Allocation to services'!G60+'2.2 Allocation to services'!G72+'2.2 Allocation to services'!G84=0, ,'2.2 Allocation to services'!G60+'2.2 Allocation to services'!G72+'2.2 Allocation to services'!G84)</f>
        <v>293349.29229241528</v>
      </c>
      <c r="G16" s="309">
        <f t="shared" si="0"/>
        <v>280378.41350794991</v>
      </c>
    </row>
    <row r="17" spans="2:7" x14ac:dyDescent="0.2">
      <c r="B17" s="266"/>
      <c r="C17" s="123" t="s">
        <v>662</v>
      </c>
      <c r="D17" s="309">
        <f>IF('2.2 Allocation to services'!G18+'2.2 Allocation to services'!G30+'2.2 Allocation to services'!G42=0, ,'2.2 Allocation to services'!G18+'2.2 Allocation to services'!G30+'2.2 Allocation to services'!G42)</f>
        <v>9369996.1802048124</v>
      </c>
      <c r="E17" s="123" t="s">
        <v>662</v>
      </c>
      <c r="F17" s="309">
        <f>IF('2.2 Allocation to services'!G61+'2.2 Allocation to services'!G73+'2.2 Allocation to services'!G85=0, ,'2.2 Allocation to services'!G61+'2.2 Allocation to services'!G73+'2.2 Allocation to services'!G85)</f>
        <v>4790916.876519382</v>
      </c>
      <c r="G17" s="309">
        <f t="shared" si="0"/>
        <v>4579079.3036854304</v>
      </c>
    </row>
    <row r="18" spans="2:7" x14ac:dyDescent="0.2">
      <c r="B18" s="266"/>
      <c r="C18" s="123" t="s">
        <v>577</v>
      </c>
      <c r="D18" s="309">
        <f>IF('2.2 Allocation to services'!G19+'2.2 Allocation to services'!G31+'2.2 Allocation to services'!G43=0, ,'2.2 Allocation to services'!G19+'2.2 Allocation to services'!G31+'2.2 Allocation to services'!G43)</f>
        <v>3203498.4328596229</v>
      </c>
      <c r="E18" s="123" t="s">
        <v>577</v>
      </c>
      <c r="F18" s="309">
        <f>IF('2.2 Allocation to services'!G62+'2.2 Allocation to services'!G74+'2.2 Allocation to services'!G86=0, ,'2.2 Allocation to services'!G62+'2.2 Allocation to services'!G74+'2.2 Allocation to services'!G86)</f>
        <v>1637961.6822378556</v>
      </c>
      <c r="G18" s="309">
        <f t="shared" si="0"/>
        <v>1565536.7506217672</v>
      </c>
    </row>
    <row r="19" spans="2:7" x14ac:dyDescent="0.2">
      <c r="B19" s="266"/>
      <c r="C19" s="123" t="s">
        <v>578</v>
      </c>
      <c r="D19" s="309">
        <f>IF('2.2 Allocation to services'!G20+'2.2 Allocation to services'!G32+'2.2 Allocation to services'!G44=0, ,'2.2 Allocation to services'!G20+'2.2 Allocation to services'!G32+'2.2 Allocation to services'!G44)</f>
        <v>327794.35825455218</v>
      </c>
      <c r="E19" s="123" t="s">
        <v>578</v>
      </c>
      <c r="F19" s="309">
        <f>IF('2.2 Allocation to services'!G63+'2.2 Allocation to services'!G75+'2.2 Allocation to services'!G87=0, ,'2.2 Allocation to services'!G63+'2.2 Allocation to services'!G75+'2.2 Allocation to services'!G87)</f>
        <v>167602.57878304139</v>
      </c>
      <c r="G19" s="309">
        <f t="shared" si="0"/>
        <v>160191.77947151079</v>
      </c>
    </row>
    <row r="20" spans="2:7" x14ac:dyDescent="0.2">
      <c r="B20" s="266"/>
      <c r="C20" s="123" t="s">
        <v>579</v>
      </c>
      <c r="D20" s="309">
        <f>IF('2.2 Allocation to services'!G21+'2.2 Allocation to services'!G33+'2.2 Allocation to services'!G45=0, ,'2.2 Allocation to services'!G21+'2.2 Allocation to services'!G33+'2.2 Allocation to services'!G45)</f>
        <v>609353.94435468421</v>
      </c>
      <c r="E20" s="123" t="s">
        <v>579</v>
      </c>
      <c r="F20" s="309">
        <f>IF('2.2 Allocation to services'!G64+'2.2 Allocation to services'!G76+'2.2 Allocation to services'!G88=0, ,'2.2 Allocation to services'!G64+'2.2 Allocation to services'!G76+'2.2 Allocation to services'!G88)</f>
        <v>311565.13189941295</v>
      </c>
      <c r="G20" s="309">
        <f t="shared" si="0"/>
        <v>297788.81245527125</v>
      </c>
    </row>
    <row r="21" spans="2:7" x14ac:dyDescent="0.2">
      <c r="B21" s="266"/>
      <c r="C21" s="123" t="s">
        <v>519</v>
      </c>
      <c r="D21" s="309">
        <f>IF('2.2 Allocation to services'!G22+'2.2 Allocation to services'!G34+'2.2 Allocation to services'!G46=0, ,'2.2 Allocation to services'!G22+'2.2 Allocation to services'!G34+'2.2 Allocation to services'!G46)</f>
        <v>15809886.352295568</v>
      </c>
      <c r="E21" s="123" t="s">
        <v>519</v>
      </c>
      <c r="F21" s="309">
        <f>IF('2.2 Allocation to services'!G65+'2.2 Allocation to services'!G77+'2.2 Allocation to services'!G89=0, ,'2.2 Allocation to services'!G65+'2.2 Allocation to services'!G77+'2.2 Allocation to services'!G89)</f>
        <v>8083658.7213433245</v>
      </c>
      <c r="G21" s="309">
        <f t="shared" si="0"/>
        <v>7726227.6309522437</v>
      </c>
    </row>
    <row r="22" spans="2:7" x14ac:dyDescent="0.2">
      <c r="B22" s="266"/>
      <c r="C22" s="268" t="s">
        <v>454</v>
      </c>
      <c r="D22" s="309">
        <f t="array" ref="D22">SUM(IF(ISNA(D12:D21),0,D12:D21))</f>
        <v>491221672.05068588</v>
      </c>
      <c r="E22" s="268" t="s">
        <v>460</v>
      </c>
      <c r="F22" s="309">
        <f t="array" ref="F22">SUM(IF(ISNA(F12:F21),0,F12:F21))</f>
        <v>251163624.133757</v>
      </c>
      <c r="G22" s="309">
        <f t="shared" si="0"/>
        <v>240058047.91692889</v>
      </c>
    </row>
  </sheetData>
  <sheetProtection sheet="1"/>
  <phoneticPr fontId="31"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98D29-D9E0-46BE-9744-536F00D1224B}">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8.42578125" style="4" customWidth="1"/>
    <col min="3" max="3" width="43" style="4" bestFit="1" customWidth="1"/>
    <col min="4" max="9" width="20.7109375" style="4" customWidth="1"/>
    <col min="10" max="16384" width="9.28515625" style="4"/>
  </cols>
  <sheetData>
    <row r="1" spans="2:9" ht="20.25" x14ac:dyDescent="0.2">
      <c r="B1" s="145" t="s">
        <v>510</v>
      </c>
      <c r="C1" s="145"/>
    </row>
    <row r="2" spans="2:9" ht="20.25" customHeight="1" x14ac:dyDescent="0.2">
      <c r="B2" s="145" t="str">
        <f>IF(Tradingname=0," ",Tradingname)</f>
        <v>EAST AUSTRALIAN PIPELINE PTY LIMITED</v>
      </c>
      <c r="C2" s="145"/>
    </row>
    <row r="3" spans="2:9" ht="20.25" x14ac:dyDescent="0.3">
      <c r="B3" s="145" t="s">
        <v>110</v>
      </c>
      <c r="C3" s="110">
        <f>IF(Yearending=0, "01/01/2000", Yearending)</f>
        <v>45838</v>
      </c>
    </row>
    <row r="4" spans="2:9" ht="20.25" x14ac:dyDescent="0.2">
      <c r="B4" s="102" t="s">
        <v>580</v>
      </c>
      <c r="C4" s="102"/>
    </row>
    <row r="7" spans="2:9" ht="21" customHeight="1" x14ac:dyDescent="0.2">
      <c r="B7" s="259" t="s">
        <v>524</v>
      </c>
    </row>
    <row r="8" spans="2:9" x14ac:dyDescent="0.2">
      <c r="B8" s="224"/>
      <c r="C8" s="269"/>
    </row>
    <row r="9" spans="2:9" ht="21" customHeight="1" x14ac:dyDescent="0.2">
      <c r="B9" s="408" t="s">
        <v>421</v>
      </c>
      <c r="C9" s="409"/>
      <c r="D9" s="409"/>
      <c r="E9" s="409"/>
      <c r="F9" s="409"/>
      <c r="G9" s="410" t="s">
        <v>131</v>
      </c>
      <c r="H9" s="411"/>
      <c r="I9" s="411"/>
    </row>
    <row r="10" spans="2:9" ht="51" customHeight="1" x14ac:dyDescent="0.2">
      <c r="B10" s="40" t="s">
        <v>515</v>
      </c>
      <c r="C10" s="34" t="s">
        <v>13</v>
      </c>
      <c r="D10" s="229" t="s">
        <v>41</v>
      </c>
      <c r="E10" s="229" t="s">
        <v>42</v>
      </c>
      <c r="F10" s="41" t="s">
        <v>18</v>
      </c>
      <c r="G10" s="229" t="s">
        <v>41</v>
      </c>
      <c r="H10" s="229" t="s">
        <v>42</v>
      </c>
      <c r="I10" s="41" t="s">
        <v>18</v>
      </c>
    </row>
    <row r="11" spans="2:9" x14ac:dyDescent="0.2">
      <c r="B11" s="40"/>
      <c r="C11" s="34"/>
      <c r="D11" s="42" t="s">
        <v>111</v>
      </c>
      <c r="E11" s="42" t="s">
        <v>111</v>
      </c>
      <c r="F11" s="42" t="s">
        <v>111</v>
      </c>
      <c r="G11" s="42" t="s">
        <v>111</v>
      </c>
      <c r="H11" s="42" t="s">
        <v>111</v>
      </c>
      <c r="I11" s="42" t="s">
        <v>111</v>
      </c>
    </row>
    <row r="12" spans="2:9" x14ac:dyDescent="0.2">
      <c r="B12" s="326" t="s">
        <v>741</v>
      </c>
      <c r="C12" s="118" t="s">
        <v>497</v>
      </c>
      <c r="D12" s="42"/>
      <c r="E12" s="42"/>
      <c r="F12" s="42"/>
      <c r="G12" s="42"/>
      <c r="H12" s="42"/>
      <c r="I12" s="42"/>
    </row>
    <row r="13" spans="2:9" x14ac:dyDescent="0.2">
      <c r="B13" s="326" t="s">
        <v>741</v>
      </c>
      <c r="C13" s="127" t="s">
        <v>77</v>
      </c>
      <c r="D13" s="77">
        <v>487534877.58459985</v>
      </c>
      <c r="E13" s="77">
        <v>2739703</v>
      </c>
      <c r="F13" s="101">
        <f>SUM(D13:E13)</f>
        <v>490274580.58459985</v>
      </c>
      <c r="G13" s="77"/>
      <c r="H13" s="77"/>
      <c r="I13" s="101">
        <f>SUM(G13:H13)</f>
        <v>0</v>
      </c>
    </row>
    <row r="14" spans="2:9" x14ac:dyDescent="0.2">
      <c r="B14" s="326" t="s">
        <v>741</v>
      </c>
      <c r="C14" s="127" t="s">
        <v>33</v>
      </c>
      <c r="D14" s="101">
        <f>'2.3 Revenue contributions '!C17</f>
        <v>0</v>
      </c>
      <c r="E14" s="101">
        <f>'2.3 Revenue contributions '!D17</f>
        <v>0</v>
      </c>
      <c r="F14" s="101">
        <f>SUM(D14:E14)</f>
        <v>0</v>
      </c>
      <c r="G14" s="77"/>
      <c r="H14" s="77"/>
      <c r="I14" s="101">
        <f>SUM(G14:H14)</f>
        <v>0</v>
      </c>
    </row>
    <row r="15" spans="2:9" x14ac:dyDescent="0.2">
      <c r="B15" s="326" t="s">
        <v>741</v>
      </c>
      <c r="C15" s="127" t="s">
        <v>225</v>
      </c>
      <c r="D15" s="101">
        <f>'2.3 Revenue contributions '!D29</f>
        <v>0</v>
      </c>
      <c r="E15" s="101"/>
      <c r="F15" s="101">
        <f>SUM(D15:E15)</f>
        <v>0</v>
      </c>
      <c r="G15" s="77"/>
      <c r="H15" s="101"/>
      <c r="I15" s="101">
        <f>SUM(G15:H15)</f>
        <v>0</v>
      </c>
    </row>
    <row r="16" spans="2:9" x14ac:dyDescent="0.2">
      <c r="B16" s="326" t="s">
        <v>741</v>
      </c>
      <c r="C16" s="127" t="s">
        <v>14</v>
      </c>
      <c r="D16" s="77">
        <v>216481.09608600623</v>
      </c>
      <c r="E16" s="77">
        <v>0</v>
      </c>
      <c r="F16" s="101">
        <f>SUM(D16:E16)</f>
        <v>216481.09608600623</v>
      </c>
      <c r="G16" s="77"/>
      <c r="H16" s="77"/>
      <c r="I16" s="101">
        <f>SUM(G16:H16)</f>
        <v>0</v>
      </c>
    </row>
    <row r="17" spans="2:9" x14ac:dyDescent="0.2">
      <c r="B17" s="326" t="s">
        <v>741</v>
      </c>
      <c r="C17" s="127" t="s">
        <v>34</v>
      </c>
      <c r="D17" s="77">
        <v>730610.37000000011</v>
      </c>
      <c r="E17" s="77">
        <v>0</v>
      </c>
      <c r="F17" s="101">
        <f>SUM(D17:E17)</f>
        <v>730610.37000000011</v>
      </c>
      <c r="G17" s="77"/>
      <c r="H17" s="77"/>
      <c r="I17" s="101">
        <f>SUM(G17:H17)</f>
        <v>0</v>
      </c>
    </row>
    <row r="18" spans="2:9" x14ac:dyDescent="0.2">
      <c r="B18" s="326"/>
      <c r="C18" s="128" t="s">
        <v>498</v>
      </c>
      <c r="D18" s="101">
        <f t="shared" ref="D18:I18" si="0">SUM(D13:D17)</f>
        <v>488481969.05068588</v>
      </c>
      <c r="E18" s="101">
        <f t="shared" si="0"/>
        <v>2739703</v>
      </c>
      <c r="F18" s="101">
        <f t="shared" si="0"/>
        <v>491221672.05068588</v>
      </c>
      <c r="G18" s="101">
        <f t="shared" si="0"/>
        <v>0</v>
      </c>
      <c r="H18" s="101">
        <f t="shared" si="0"/>
        <v>0</v>
      </c>
      <c r="I18" s="101">
        <f t="shared" si="0"/>
        <v>0</v>
      </c>
    </row>
    <row r="19" spans="2:9" x14ac:dyDescent="0.2">
      <c r="B19" s="326"/>
      <c r="C19" s="44" t="s">
        <v>502</v>
      </c>
      <c r="D19" s="42"/>
      <c r="E19" s="42"/>
      <c r="F19" s="42"/>
      <c r="G19" s="42"/>
      <c r="H19" s="42"/>
      <c r="I19" s="42"/>
    </row>
    <row r="20" spans="2:9" x14ac:dyDescent="0.2">
      <c r="B20" s="326"/>
      <c r="C20" s="127" t="s">
        <v>473</v>
      </c>
      <c r="D20" s="101">
        <f>'2.4 Indirect revenue'!G42</f>
        <v>0</v>
      </c>
      <c r="E20" s="101">
        <f>'2.4 Indirect revenue'!H42</f>
        <v>0</v>
      </c>
      <c r="F20" s="101">
        <f>SUM(D20:E20)</f>
        <v>0</v>
      </c>
      <c r="G20" s="77"/>
      <c r="H20" s="77"/>
      <c r="I20" s="101">
        <f>SUM(G20:H20)</f>
        <v>0</v>
      </c>
    </row>
    <row r="21" spans="2:9" x14ac:dyDescent="0.2">
      <c r="B21" s="326"/>
      <c r="C21" s="128" t="s">
        <v>499</v>
      </c>
      <c r="D21" s="101">
        <f t="shared" ref="D21:I21" si="1">SUM(D20)</f>
        <v>0</v>
      </c>
      <c r="E21" s="101">
        <f t="shared" si="1"/>
        <v>0</v>
      </c>
      <c r="F21" s="101">
        <f t="shared" si="1"/>
        <v>0</v>
      </c>
      <c r="G21" s="101">
        <f t="shared" si="1"/>
        <v>0</v>
      </c>
      <c r="H21" s="101">
        <f t="shared" si="1"/>
        <v>0</v>
      </c>
      <c r="I21" s="101">
        <f t="shared" si="1"/>
        <v>0</v>
      </c>
    </row>
    <row r="22" spans="2:9" x14ac:dyDescent="0.2">
      <c r="B22" s="326"/>
      <c r="C22" s="128" t="s">
        <v>500</v>
      </c>
      <c r="D22" s="101">
        <f>D18+D21</f>
        <v>488481969.05068588</v>
      </c>
      <c r="E22" s="101">
        <f>E21+E18</f>
        <v>2739703</v>
      </c>
      <c r="F22" s="101">
        <f>F18+F21</f>
        <v>491221672.05068588</v>
      </c>
      <c r="G22" s="101">
        <f>G18+G21</f>
        <v>0</v>
      </c>
      <c r="H22" s="101">
        <f>H18+H21</f>
        <v>0</v>
      </c>
      <c r="I22" s="101">
        <f>I18+I21</f>
        <v>0</v>
      </c>
    </row>
    <row r="23" spans="2:9" x14ac:dyDescent="0.2">
      <c r="B23" s="326"/>
      <c r="C23" s="44" t="s">
        <v>503</v>
      </c>
      <c r="D23" s="42"/>
      <c r="E23" s="42"/>
      <c r="F23" s="42"/>
      <c r="G23" s="42"/>
      <c r="H23" s="42"/>
      <c r="I23" s="42"/>
    </row>
    <row r="24" spans="2:9" x14ac:dyDescent="0.2">
      <c r="B24" s="326" t="s">
        <v>741</v>
      </c>
      <c r="C24" s="30" t="s">
        <v>79</v>
      </c>
      <c r="D24" s="77">
        <v>0</v>
      </c>
      <c r="E24" s="77">
        <v>0</v>
      </c>
      <c r="F24" s="101">
        <f t="shared" ref="F24:F31" si="2">SUM(D24:E24)</f>
        <v>0</v>
      </c>
      <c r="G24" s="77"/>
      <c r="H24" s="77"/>
      <c r="I24" s="101">
        <f t="shared" ref="I24:I31" si="3">SUM(G24:H24)</f>
        <v>0</v>
      </c>
    </row>
    <row r="25" spans="2:9" x14ac:dyDescent="0.2">
      <c r="B25" s="326" t="s">
        <v>741</v>
      </c>
      <c r="C25" s="30" t="s">
        <v>80</v>
      </c>
      <c r="D25" s="77">
        <v>44147201.059550911</v>
      </c>
      <c r="E25" s="77">
        <v>184345.57044908244</v>
      </c>
      <c r="F25" s="101">
        <f t="shared" si="2"/>
        <v>44331546.629999995</v>
      </c>
      <c r="G25" s="77"/>
      <c r="H25" s="77"/>
      <c r="I25" s="101">
        <f t="shared" si="3"/>
        <v>0</v>
      </c>
    </row>
    <row r="26" spans="2:9" x14ac:dyDescent="0.2">
      <c r="B26" s="326" t="s">
        <v>741</v>
      </c>
      <c r="C26" s="30" t="s">
        <v>16</v>
      </c>
      <c r="D26" s="77">
        <v>116952003.67496754</v>
      </c>
      <c r="E26" s="77">
        <v>502289.79963163735</v>
      </c>
      <c r="F26" s="101">
        <f t="shared" si="2"/>
        <v>117454293.47459918</v>
      </c>
      <c r="G26" s="77"/>
      <c r="H26" s="77"/>
      <c r="I26" s="101">
        <f t="shared" si="3"/>
        <v>0</v>
      </c>
    </row>
    <row r="27" spans="2:9" x14ac:dyDescent="0.2">
      <c r="B27" s="326" t="s">
        <v>741</v>
      </c>
      <c r="C27" s="30" t="s">
        <v>35</v>
      </c>
      <c r="D27" s="77">
        <v>1992682.7568090092</v>
      </c>
      <c r="E27" s="77">
        <v>7258.623190990641</v>
      </c>
      <c r="F27" s="101">
        <f t="shared" si="2"/>
        <v>1999941.38</v>
      </c>
      <c r="G27" s="77"/>
      <c r="H27" s="77"/>
      <c r="I27" s="101">
        <f t="shared" si="3"/>
        <v>0</v>
      </c>
    </row>
    <row r="28" spans="2:9" x14ac:dyDescent="0.2">
      <c r="B28" s="327" t="s">
        <v>741</v>
      </c>
      <c r="C28" s="30" t="s">
        <v>36</v>
      </c>
      <c r="D28" s="77">
        <v>683664.61581561132</v>
      </c>
      <c r="E28" s="77">
        <v>4218.0441843887247</v>
      </c>
      <c r="F28" s="101">
        <f t="shared" si="2"/>
        <v>687882.66</v>
      </c>
      <c r="G28" s="77"/>
      <c r="H28" s="77"/>
      <c r="I28" s="101">
        <f t="shared" si="3"/>
        <v>0</v>
      </c>
    </row>
    <row r="29" spans="2:9" x14ac:dyDescent="0.2">
      <c r="B29" s="327" t="s">
        <v>741</v>
      </c>
      <c r="C29" s="30" t="s">
        <v>37</v>
      </c>
      <c r="D29" s="77">
        <v>82126.60318717375</v>
      </c>
      <c r="E29" s="77">
        <v>45.236812826252091</v>
      </c>
      <c r="F29" s="101">
        <f t="shared" si="2"/>
        <v>82171.839999999997</v>
      </c>
      <c r="G29" s="77"/>
      <c r="H29" s="77"/>
      <c r="I29" s="101">
        <f t="shared" si="3"/>
        <v>0</v>
      </c>
    </row>
    <row r="30" spans="2:9" x14ac:dyDescent="0.2">
      <c r="B30" s="327" t="s">
        <v>741</v>
      </c>
      <c r="C30" s="30" t="s">
        <v>45</v>
      </c>
      <c r="D30" s="77">
        <v>1083898.258933974</v>
      </c>
      <c r="E30" s="77">
        <v>1900.6610660259305</v>
      </c>
      <c r="F30" s="101">
        <f t="shared" si="2"/>
        <v>1085798.92</v>
      </c>
      <c r="G30" s="77"/>
      <c r="H30" s="77"/>
      <c r="I30" s="101">
        <f t="shared" si="3"/>
        <v>0</v>
      </c>
    </row>
    <row r="31" spans="2:9" x14ac:dyDescent="0.2">
      <c r="B31" s="327" t="s">
        <v>741</v>
      </c>
      <c r="C31" s="45" t="s">
        <v>462</v>
      </c>
      <c r="D31" s="77">
        <v>18274150.692281172</v>
      </c>
      <c r="E31" s="77">
        <v>69417.287718825872</v>
      </c>
      <c r="F31" s="101">
        <f t="shared" si="2"/>
        <v>18343567.979999997</v>
      </c>
      <c r="G31" s="77"/>
      <c r="H31" s="77"/>
      <c r="I31" s="101">
        <f t="shared" si="3"/>
        <v>0</v>
      </c>
    </row>
    <row r="32" spans="2:9" x14ac:dyDescent="0.2">
      <c r="B32" s="327"/>
      <c r="C32" s="98" t="s">
        <v>501</v>
      </c>
      <c r="D32" s="101">
        <f t="shared" ref="D32:I32" si="4">SUM(D24:D31)</f>
        <v>183215727.6615454</v>
      </c>
      <c r="E32" s="101">
        <f t="shared" si="4"/>
        <v>769475.22305377724</v>
      </c>
      <c r="F32" s="101">
        <f>SUM(F24:F31)</f>
        <v>183985202.88459915</v>
      </c>
      <c r="G32" s="101">
        <f t="shared" si="4"/>
        <v>0</v>
      </c>
      <c r="H32" s="101">
        <f t="shared" si="4"/>
        <v>0</v>
      </c>
      <c r="I32" s="101">
        <f t="shared" si="4"/>
        <v>0</v>
      </c>
    </row>
    <row r="33" spans="2:9" x14ac:dyDescent="0.2">
      <c r="B33" s="327"/>
      <c r="C33" s="44" t="s">
        <v>504</v>
      </c>
      <c r="D33" s="42"/>
      <c r="E33" s="42"/>
      <c r="F33" s="119"/>
      <c r="G33" s="42"/>
      <c r="H33" s="42"/>
      <c r="I33" s="119"/>
    </row>
    <row r="34" spans="2:9" x14ac:dyDescent="0.2">
      <c r="B34" s="327"/>
      <c r="C34" s="30" t="s">
        <v>464</v>
      </c>
      <c r="D34" s="101">
        <f>SUMIF('2.5 Shared expenses'!$C$15:$C$35,$C34,'2.5 Shared expenses'!H$15:H$35)</f>
        <v>0</v>
      </c>
      <c r="E34" s="101">
        <f>SUMIF('2.5 Shared expenses'!$C$15:$C$35,$C34,'2.5 Shared expenses'!I$15:I$35)</f>
        <v>0</v>
      </c>
      <c r="F34" s="101">
        <f t="shared" ref="F34:F42" si="5">SUM(D34:E34)</f>
        <v>0</v>
      </c>
      <c r="G34" s="77"/>
      <c r="H34" s="77"/>
      <c r="I34" s="101">
        <f t="shared" ref="I34:I42" si="6">SUM(G34:H34)</f>
        <v>0</v>
      </c>
    </row>
    <row r="35" spans="2:9" x14ac:dyDescent="0.2">
      <c r="B35" s="327"/>
      <c r="C35" s="30" t="s">
        <v>43</v>
      </c>
      <c r="D35" s="101">
        <f>SUMIF('2.5 Shared expenses'!$C$15:$C$35,$C35,'2.5 Shared expenses'!H$15:H$35)</f>
        <v>0</v>
      </c>
      <c r="E35" s="101">
        <f>SUMIF('2.5 Shared expenses'!$C$15:$C$35,$C35,'2.5 Shared expenses'!I$15:I$35)</f>
        <v>0</v>
      </c>
      <c r="F35" s="101">
        <f t="shared" si="5"/>
        <v>0</v>
      </c>
      <c r="G35" s="77"/>
      <c r="H35" s="77"/>
      <c r="I35" s="101">
        <f t="shared" si="6"/>
        <v>0</v>
      </c>
    </row>
    <row r="36" spans="2:9" x14ac:dyDescent="0.2">
      <c r="B36" s="327"/>
      <c r="C36" s="43" t="s">
        <v>221</v>
      </c>
      <c r="D36" s="101">
        <f>SUMIF('2.5 Shared expenses'!$C$15:$C$35,$C36,'2.5 Shared expenses'!H$15:H$35)</f>
        <v>0</v>
      </c>
      <c r="E36" s="101">
        <f>SUMIF('2.5 Shared expenses'!$C$15:$C$35,$C36,'2.5 Shared expenses'!I$15:I$35)</f>
        <v>0</v>
      </c>
      <c r="F36" s="101">
        <f t="shared" si="5"/>
        <v>0</v>
      </c>
      <c r="G36" s="77"/>
      <c r="H36" s="77"/>
      <c r="I36" s="101">
        <f t="shared" si="6"/>
        <v>0</v>
      </c>
    </row>
    <row r="37" spans="2:9" x14ac:dyDescent="0.2">
      <c r="B37" s="327" t="s">
        <v>741</v>
      </c>
      <c r="C37" s="45" t="s">
        <v>39</v>
      </c>
      <c r="D37" s="101">
        <f>SUMIF('2.5 Shared expenses'!$C$15:$C$35,$C37,'2.5 Shared expenses'!H$15:H$35)</f>
        <v>14264305.42383527</v>
      </c>
      <c r="E37" s="101">
        <f>SUMIF('2.5 Shared expenses'!$C$15:$C$35,$C37,'2.5 Shared expenses'!I$15:I$35)</f>
        <v>0</v>
      </c>
      <c r="F37" s="101">
        <f t="shared" si="5"/>
        <v>14264305.42383527</v>
      </c>
      <c r="G37" s="77"/>
      <c r="H37" s="77"/>
      <c r="I37" s="101">
        <f t="shared" si="6"/>
        <v>0</v>
      </c>
    </row>
    <row r="38" spans="2:9" x14ac:dyDescent="0.2">
      <c r="B38" s="327"/>
      <c r="C38" s="45" t="s">
        <v>44</v>
      </c>
      <c r="D38" s="101">
        <f>SUMIF('2.5 Shared expenses'!$C$15:$C$35,$C38,'2.5 Shared expenses'!H$15:H$35)</f>
        <v>0</v>
      </c>
      <c r="E38" s="101">
        <f>SUMIF('2.5 Shared expenses'!$C$15:$C$35,$C38,'2.5 Shared expenses'!I$15:I$35)</f>
        <v>0</v>
      </c>
      <c r="F38" s="101">
        <f t="shared" si="5"/>
        <v>0</v>
      </c>
      <c r="G38" s="77"/>
      <c r="H38" s="77"/>
      <c r="I38" s="101">
        <f t="shared" si="6"/>
        <v>0</v>
      </c>
    </row>
    <row r="39" spans="2:9" x14ac:dyDescent="0.2">
      <c r="B39" s="327"/>
      <c r="C39" s="43" t="s">
        <v>81</v>
      </c>
      <c r="D39" s="101">
        <f>SUMIF('2.5 Shared expenses'!$C$15:$C$35,$C39,'2.5 Shared expenses'!H$15:H$35)</f>
        <v>0</v>
      </c>
      <c r="E39" s="101">
        <f>SUMIF('2.5 Shared expenses'!$C$15:$C$35,$C39,'2.5 Shared expenses'!I$15:I$35)</f>
        <v>0</v>
      </c>
      <c r="F39" s="101">
        <f t="shared" si="5"/>
        <v>0</v>
      </c>
      <c r="G39" s="77"/>
      <c r="H39" s="77"/>
      <c r="I39" s="101">
        <f t="shared" si="6"/>
        <v>0</v>
      </c>
    </row>
    <row r="40" spans="2:9" x14ac:dyDescent="0.2">
      <c r="B40" s="327"/>
      <c r="C40" s="43" t="s">
        <v>40</v>
      </c>
      <c r="D40" s="101">
        <f>SUMIF('2.5 Shared expenses'!$C$15:$C$35,$C40,'2.5 Shared expenses'!H$15:H$35)</f>
        <v>0</v>
      </c>
      <c r="E40" s="101">
        <f>SUMIF('2.5 Shared expenses'!$C$15:$C$35,$C40,'2.5 Shared expenses'!I$15:I$35)</f>
        <v>0</v>
      </c>
      <c r="F40" s="101">
        <f t="shared" si="5"/>
        <v>0</v>
      </c>
      <c r="G40" s="77"/>
      <c r="H40" s="77"/>
      <c r="I40" s="101">
        <f t="shared" si="6"/>
        <v>0</v>
      </c>
    </row>
    <row r="41" spans="2:9" x14ac:dyDescent="0.2">
      <c r="B41" s="327"/>
      <c r="C41" s="43" t="s">
        <v>222</v>
      </c>
      <c r="D41" s="101">
        <f>SUMIF('2.5 Shared expenses'!$C$15:$C$35,$C41,'2.5 Shared expenses'!H$15:H$35)</f>
        <v>0</v>
      </c>
      <c r="E41" s="101">
        <f>SUMIF('2.5 Shared expenses'!$C$15:$C$35,$C41,'2.5 Shared expenses'!I$15:I$35)</f>
        <v>0</v>
      </c>
      <c r="F41" s="101">
        <f t="shared" si="5"/>
        <v>0</v>
      </c>
      <c r="G41" s="77"/>
      <c r="H41" s="77"/>
      <c r="I41" s="101">
        <f t="shared" si="6"/>
        <v>0</v>
      </c>
    </row>
    <row r="42" spans="2:9" x14ac:dyDescent="0.2">
      <c r="B42" s="327" t="s">
        <v>741</v>
      </c>
      <c r="C42" s="45" t="s">
        <v>466</v>
      </c>
      <c r="D42" s="101">
        <f>SUMIF('2.5 Shared expenses'!$C$15:$C$35,$C42,'2.5 Shared expenses'!H$15:H$35)</f>
        <v>52914115.825322524</v>
      </c>
      <c r="E42" s="101">
        <f>SUMIF('2.5 Shared expenses'!$C$15:$C$35,$C42,'2.5 Shared expenses'!I$15:I$35)</f>
        <v>0</v>
      </c>
      <c r="F42" s="101">
        <f t="shared" si="5"/>
        <v>52914115.825322524</v>
      </c>
      <c r="G42" s="77"/>
      <c r="H42" s="77"/>
      <c r="I42" s="101">
        <f t="shared" si="6"/>
        <v>0</v>
      </c>
    </row>
    <row r="43" spans="2:9" x14ac:dyDescent="0.2">
      <c r="B43" s="295"/>
      <c r="C43" s="98" t="s">
        <v>505</v>
      </c>
      <c r="D43" s="101">
        <f t="shared" ref="D43:I43" si="7">SUM(D34:D42)</f>
        <v>67178421.249157786</v>
      </c>
      <c r="E43" s="101">
        <f t="shared" si="7"/>
        <v>0</v>
      </c>
      <c r="F43" s="101">
        <f>SUM(F34:F42)</f>
        <v>67178421.249157786</v>
      </c>
      <c r="G43" s="101">
        <f t="shared" si="7"/>
        <v>0</v>
      </c>
      <c r="H43" s="101">
        <f t="shared" si="7"/>
        <v>0</v>
      </c>
      <c r="I43" s="101">
        <f t="shared" si="7"/>
        <v>0</v>
      </c>
    </row>
    <row r="44" spans="2:9" x14ac:dyDescent="0.2">
      <c r="B44" s="295"/>
      <c r="C44" s="98" t="s">
        <v>506</v>
      </c>
      <c r="D44" s="22">
        <f t="shared" ref="D44:I44" si="8">D43+D32</f>
        <v>250394148.91070318</v>
      </c>
      <c r="E44" s="22">
        <f t="shared" si="8"/>
        <v>769475.22305377724</v>
      </c>
      <c r="F44" s="22">
        <f t="shared" si="8"/>
        <v>251163624.13375694</v>
      </c>
      <c r="G44" s="22">
        <f t="shared" si="8"/>
        <v>0</v>
      </c>
      <c r="H44" s="22">
        <f t="shared" si="8"/>
        <v>0</v>
      </c>
      <c r="I44" s="22">
        <f t="shared" si="8"/>
        <v>0</v>
      </c>
    </row>
    <row r="45" spans="2:9" x14ac:dyDescent="0.2">
      <c r="B45" s="295"/>
      <c r="C45" s="147" t="s">
        <v>676</v>
      </c>
      <c r="D45" s="22">
        <f t="shared" ref="D45:I45" si="9">D22-ABS(D44)</f>
        <v>238087820.1399827</v>
      </c>
      <c r="E45" s="22">
        <f t="shared" si="9"/>
        <v>1970227.7769462229</v>
      </c>
      <c r="F45" s="22">
        <f t="shared" si="9"/>
        <v>240058047.91692895</v>
      </c>
      <c r="G45" s="22">
        <f t="shared" si="9"/>
        <v>0</v>
      </c>
      <c r="H45" s="22">
        <f t="shared" si="9"/>
        <v>0</v>
      </c>
      <c r="I45" s="22">
        <f t="shared" si="9"/>
        <v>0</v>
      </c>
    </row>
    <row r="73" spans="2:2" ht="22.9"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6B7E-505A-4A94-9D85-F86B5B0D2F85}">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18.42578125" style="4" customWidth="1"/>
    <col min="3" max="3" width="52.7109375" style="4" customWidth="1"/>
    <col min="4" max="11" width="20.7109375" style="4" customWidth="1"/>
    <col min="12" max="16384" width="9.28515625" style="4"/>
  </cols>
  <sheetData>
    <row r="1" spans="2:13" ht="20.25" customHeight="1" x14ac:dyDescent="0.3">
      <c r="B1" s="145" t="s">
        <v>510</v>
      </c>
      <c r="C1" s="145"/>
      <c r="D1" s="213"/>
      <c r="E1" s="213"/>
      <c r="F1" s="213"/>
      <c r="G1" s="213"/>
      <c r="H1" s="213"/>
      <c r="I1" s="213"/>
    </row>
    <row r="2" spans="2:13" ht="20.25" customHeight="1" x14ac:dyDescent="0.45">
      <c r="B2" s="145" t="str">
        <f>IF(Tradingname=0," ",Tradingname)</f>
        <v>EAST AUSTRALIAN PIPELINE PTY LIMITED</v>
      </c>
      <c r="C2" s="145"/>
      <c r="I2" s="252"/>
    </row>
    <row r="3" spans="2:13" ht="20.25" customHeight="1" x14ac:dyDescent="0.3">
      <c r="B3" s="145" t="s">
        <v>110</v>
      </c>
      <c r="C3" s="110">
        <f>IF(Yearending=0, "01/01/2000", Yearending)</f>
        <v>45838</v>
      </c>
    </row>
    <row r="4" spans="2:13" ht="20.25" x14ac:dyDescent="0.2">
      <c r="B4" s="102" t="s">
        <v>663</v>
      </c>
      <c r="C4" s="102"/>
      <c r="D4" s="258"/>
      <c r="G4" s="258"/>
    </row>
    <row r="5" spans="2:13" x14ac:dyDescent="0.2">
      <c r="B5" s="200"/>
      <c r="C5" s="200"/>
      <c r="D5" s="200"/>
      <c r="E5" s="200"/>
      <c r="F5" s="200"/>
      <c r="G5" s="200"/>
      <c r="H5" s="200"/>
      <c r="I5" s="200"/>
      <c r="J5" s="200"/>
      <c r="K5" s="200"/>
      <c r="L5" s="200"/>
      <c r="M5" s="200"/>
    </row>
    <row r="6" spans="2:13" x14ac:dyDescent="0.2">
      <c r="B6" s="200"/>
      <c r="C6" s="200"/>
      <c r="D6" s="200"/>
      <c r="E6" s="200"/>
      <c r="F6" s="200"/>
      <c r="G6" s="200"/>
      <c r="H6" s="200"/>
      <c r="I6" s="200"/>
      <c r="J6" s="200"/>
      <c r="K6" s="200"/>
      <c r="L6" s="200"/>
      <c r="M6" s="200"/>
    </row>
    <row r="7" spans="2:13" ht="15.75" x14ac:dyDescent="0.2">
      <c r="B7" s="259" t="s">
        <v>474</v>
      </c>
      <c r="C7" s="200"/>
      <c r="D7" s="200"/>
      <c r="E7" s="200"/>
      <c r="F7" s="200"/>
      <c r="G7" s="200"/>
      <c r="H7" s="200"/>
      <c r="I7" s="200"/>
      <c r="J7" s="200"/>
      <c r="K7" s="200"/>
      <c r="L7" s="200"/>
      <c r="M7" s="200"/>
    </row>
    <row r="8" spans="2:13" x14ac:dyDescent="0.2">
      <c r="B8" s="260"/>
      <c r="C8" s="261"/>
      <c r="D8" s="262"/>
      <c r="E8" s="262"/>
      <c r="F8" s="262"/>
      <c r="G8" s="262"/>
      <c r="H8" s="262"/>
      <c r="I8" s="262"/>
      <c r="J8" s="262"/>
      <c r="K8" s="262"/>
      <c r="L8" s="200"/>
      <c r="M8" s="200"/>
    </row>
    <row r="9" spans="2:13" ht="21" customHeight="1" x14ac:dyDescent="0.2">
      <c r="B9" s="263"/>
      <c r="C9" s="263"/>
      <c r="D9" s="412" t="s">
        <v>130</v>
      </c>
      <c r="E9" s="413"/>
      <c r="F9" s="413"/>
      <c r="G9" s="414"/>
      <c r="H9" s="412" t="s">
        <v>131</v>
      </c>
      <c r="I9" s="413"/>
      <c r="J9" s="413"/>
      <c r="K9" s="414"/>
      <c r="L9" s="200"/>
      <c r="M9" s="200"/>
    </row>
    <row r="10" spans="2:13" ht="51" customHeight="1" x14ac:dyDescent="0.2">
      <c r="B10" s="55" t="s">
        <v>515</v>
      </c>
      <c r="C10" s="263" t="s">
        <v>13</v>
      </c>
      <c r="D10" s="229" t="s">
        <v>448</v>
      </c>
      <c r="E10" s="229" t="s">
        <v>41</v>
      </c>
      <c r="F10" s="229" t="s">
        <v>42</v>
      </c>
      <c r="G10" s="229" t="s">
        <v>18</v>
      </c>
      <c r="H10" s="229" t="s">
        <v>448</v>
      </c>
      <c r="I10" s="229" t="s">
        <v>41</v>
      </c>
      <c r="J10" s="229" t="s">
        <v>42</v>
      </c>
      <c r="K10" s="229" t="s">
        <v>18</v>
      </c>
      <c r="L10" s="200"/>
      <c r="M10" s="200"/>
    </row>
    <row r="11" spans="2:13" ht="15.75" customHeight="1" x14ac:dyDescent="0.2">
      <c r="B11" s="55"/>
      <c r="C11" s="263"/>
      <c r="D11" s="122" t="s">
        <v>449</v>
      </c>
      <c r="E11" s="122" t="s">
        <v>111</v>
      </c>
      <c r="F11" s="122" t="s">
        <v>111</v>
      </c>
      <c r="G11" s="122" t="s">
        <v>111</v>
      </c>
      <c r="H11" s="122" t="s">
        <v>449</v>
      </c>
      <c r="I11" s="122" t="s">
        <v>111</v>
      </c>
      <c r="J11" s="122" t="s">
        <v>111</v>
      </c>
      <c r="K11" s="122" t="s">
        <v>111</v>
      </c>
      <c r="L11" s="200"/>
      <c r="M11" s="200"/>
    </row>
    <row r="12" spans="2:13" x14ac:dyDescent="0.2">
      <c r="B12" s="197"/>
      <c r="C12" s="270" t="s">
        <v>457</v>
      </c>
      <c r="D12" s="122"/>
      <c r="E12" s="122"/>
      <c r="F12" s="122"/>
      <c r="G12" s="122"/>
      <c r="H12" s="122"/>
      <c r="I12" s="122"/>
      <c r="J12" s="122"/>
      <c r="K12" s="122"/>
      <c r="L12" s="200"/>
      <c r="M12" s="200"/>
    </row>
    <row r="13" spans="2:13" x14ac:dyDescent="0.2">
      <c r="B13" s="328" t="s">
        <v>742</v>
      </c>
      <c r="C13" s="123" t="s">
        <v>571</v>
      </c>
      <c r="D13" s="83">
        <v>0.77574545308039278</v>
      </c>
      <c r="E13" s="271">
        <f t="shared" ref="E13:E22" si="0">D13*$E$23</f>
        <v>378937666.40282673</v>
      </c>
      <c r="F13" s="271">
        <f t="shared" ref="F13:F22" si="1">D13*$F$23</f>
        <v>2125312.1450407114</v>
      </c>
      <c r="G13" s="124">
        <f t="shared" ref="G13:G22" si="2">SUM(E13:F13)</f>
        <v>381062978.54786742</v>
      </c>
      <c r="H13" s="83"/>
      <c r="I13" s="271">
        <f t="shared" ref="I13:I22" si="3">H13*$I$23</f>
        <v>0</v>
      </c>
      <c r="J13" s="271">
        <f t="shared" ref="J13:J22" si="4">H13*$J$23</f>
        <v>0</v>
      </c>
      <c r="K13" s="124">
        <f t="shared" ref="K13:K22" si="5">SUM(I13:J13)</f>
        <v>0</v>
      </c>
      <c r="L13" s="200"/>
      <c r="M13" s="272"/>
    </row>
    <row r="14" spans="2:13" x14ac:dyDescent="0.2">
      <c r="B14" s="328" t="s">
        <v>742</v>
      </c>
      <c r="C14" s="123" t="s">
        <v>661</v>
      </c>
      <c r="D14" s="83">
        <v>0</v>
      </c>
      <c r="E14" s="271">
        <f t="shared" si="0"/>
        <v>0</v>
      </c>
      <c r="F14" s="271">
        <f t="shared" si="1"/>
        <v>0</v>
      </c>
      <c r="G14" s="124">
        <f t="shared" si="2"/>
        <v>0</v>
      </c>
      <c r="H14" s="83"/>
      <c r="I14" s="271">
        <f t="shared" si="3"/>
        <v>0</v>
      </c>
      <c r="J14" s="271">
        <f t="shared" si="4"/>
        <v>0</v>
      </c>
      <c r="K14" s="124">
        <f t="shared" si="5"/>
        <v>0</v>
      </c>
      <c r="L14" s="200"/>
      <c r="M14" s="272"/>
    </row>
    <row r="15" spans="2:13" x14ac:dyDescent="0.2">
      <c r="B15" s="328" t="s">
        <v>742</v>
      </c>
      <c r="C15" s="123" t="s">
        <v>573</v>
      </c>
      <c r="D15" s="83">
        <v>2.8201443280035936E-3</v>
      </c>
      <c r="E15" s="271">
        <f t="shared" si="0"/>
        <v>1377589.6543503187</v>
      </c>
      <c r="F15" s="271">
        <f t="shared" si="1"/>
        <v>7726.3578758644289</v>
      </c>
      <c r="G15" s="124">
        <f t="shared" si="2"/>
        <v>1385316.0122261832</v>
      </c>
      <c r="H15" s="83"/>
      <c r="I15" s="271">
        <f t="shared" si="3"/>
        <v>0</v>
      </c>
      <c r="J15" s="271">
        <f t="shared" si="4"/>
        <v>0</v>
      </c>
      <c r="K15" s="124">
        <f t="shared" si="5"/>
        <v>0</v>
      </c>
      <c r="L15" s="200"/>
      <c r="M15" s="272"/>
    </row>
    <row r="16" spans="2:13" x14ac:dyDescent="0.2">
      <c r="B16" s="328" t="s">
        <v>742</v>
      </c>
      <c r="C16" s="123" t="s">
        <v>574</v>
      </c>
      <c r="D16" s="83">
        <v>0.160577443962374</v>
      </c>
      <c r="E16" s="271">
        <f t="shared" si="0"/>
        <v>78439186.011866629</v>
      </c>
      <c r="F16" s="271">
        <f t="shared" si="1"/>
        <v>439934.50495604792</v>
      </c>
      <c r="G16" s="124">
        <f t="shared" si="2"/>
        <v>78879120.516822681</v>
      </c>
      <c r="H16" s="83"/>
      <c r="I16" s="271">
        <f t="shared" si="3"/>
        <v>0</v>
      </c>
      <c r="J16" s="271">
        <f t="shared" si="4"/>
        <v>0</v>
      </c>
      <c r="K16" s="124">
        <f t="shared" si="5"/>
        <v>0</v>
      </c>
      <c r="L16" s="200"/>
      <c r="M16" s="272"/>
    </row>
    <row r="17" spans="2:13" x14ac:dyDescent="0.2">
      <c r="B17" s="328" t="s">
        <v>742</v>
      </c>
      <c r="C17" s="203" t="s">
        <v>575</v>
      </c>
      <c r="D17" s="83">
        <v>1.1679608992112346E-3</v>
      </c>
      <c r="E17" s="271">
        <f t="shared" si="0"/>
        <v>570527.8398209135</v>
      </c>
      <c r="F17" s="271">
        <f t="shared" si="1"/>
        <v>3199.8659794517171</v>
      </c>
      <c r="G17" s="124">
        <f t="shared" si="2"/>
        <v>573727.70580036519</v>
      </c>
      <c r="H17" s="83"/>
      <c r="I17" s="271">
        <f t="shared" si="3"/>
        <v>0</v>
      </c>
      <c r="J17" s="271">
        <f t="shared" si="4"/>
        <v>0</v>
      </c>
      <c r="K17" s="124">
        <f t="shared" si="5"/>
        <v>0</v>
      </c>
      <c r="L17" s="200"/>
      <c r="M17" s="272"/>
    </row>
    <row r="18" spans="2:13" x14ac:dyDescent="0.2">
      <c r="B18" s="328" t="s">
        <v>742</v>
      </c>
      <c r="C18" s="123" t="s">
        <v>662</v>
      </c>
      <c r="D18" s="83">
        <v>1.9074883526795993E-2</v>
      </c>
      <c r="E18" s="271">
        <f t="shared" si="0"/>
        <v>9317736.664581798</v>
      </c>
      <c r="F18" s="271">
        <f t="shared" si="1"/>
        <v>52259.515623013562</v>
      </c>
      <c r="G18" s="124">
        <f t="shared" si="2"/>
        <v>9369996.1802048124</v>
      </c>
      <c r="H18" s="83"/>
      <c r="I18" s="271">
        <f t="shared" si="3"/>
        <v>0</v>
      </c>
      <c r="J18" s="271">
        <f t="shared" si="4"/>
        <v>0</v>
      </c>
      <c r="K18" s="124">
        <f t="shared" si="5"/>
        <v>0</v>
      </c>
      <c r="L18" s="200"/>
      <c r="M18" s="272"/>
    </row>
    <row r="19" spans="2:13" x14ac:dyDescent="0.2">
      <c r="B19" s="328" t="s">
        <v>742</v>
      </c>
      <c r="C19" s="123" t="s">
        <v>577</v>
      </c>
      <c r="D19" s="83">
        <v>6.5214924648704731E-3</v>
      </c>
      <c r="E19" s="271">
        <f t="shared" si="0"/>
        <v>3185631.4803891396</v>
      </c>
      <c r="F19" s="271">
        <f t="shared" si="1"/>
        <v>17866.952470483029</v>
      </c>
      <c r="G19" s="124">
        <f t="shared" si="2"/>
        <v>3203498.4328596229</v>
      </c>
      <c r="H19" s="83"/>
      <c r="I19" s="271">
        <f t="shared" si="3"/>
        <v>0</v>
      </c>
      <c r="J19" s="271">
        <f t="shared" si="4"/>
        <v>0</v>
      </c>
      <c r="K19" s="124">
        <f t="shared" si="5"/>
        <v>0</v>
      </c>
      <c r="L19" s="200"/>
      <c r="M19" s="272"/>
    </row>
    <row r="20" spans="2:13" x14ac:dyDescent="0.2">
      <c r="B20" s="328" t="s">
        <v>742</v>
      </c>
      <c r="C20" s="123" t="s">
        <v>578</v>
      </c>
      <c r="D20" s="83">
        <v>6.6730434935030559E-4</v>
      </c>
      <c r="E20" s="271">
        <f t="shared" si="0"/>
        <v>325966.14252672408</v>
      </c>
      <c r="F20" s="271">
        <f t="shared" si="1"/>
        <v>1828.2157278280804</v>
      </c>
      <c r="G20" s="124">
        <f t="shared" si="2"/>
        <v>327794.35825455218</v>
      </c>
      <c r="H20" s="83"/>
      <c r="I20" s="271">
        <f t="shared" si="3"/>
        <v>0</v>
      </c>
      <c r="J20" s="271">
        <f t="shared" si="4"/>
        <v>0</v>
      </c>
      <c r="K20" s="124">
        <f t="shared" si="5"/>
        <v>0</v>
      </c>
      <c r="L20" s="200"/>
      <c r="M20" s="272"/>
    </row>
    <row r="21" spans="2:13" x14ac:dyDescent="0.2">
      <c r="B21" s="328" t="s">
        <v>742</v>
      </c>
      <c r="C21" s="123" t="s">
        <v>579</v>
      </c>
      <c r="D21" s="83">
        <v>1.2404866866130633E-3</v>
      </c>
      <c r="E21" s="271">
        <f t="shared" si="0"/>
        <v>605955.3792579103</v>
      </c>
      <c r="F21" s="271">
        <f t="shared" si="1"/>
        <v>3398.5650967738693</v>
      </c>
      <c r="G21" s="124">
        <f t="shared" si="2"/>
        <v>609353.94435468421</v>
      </c>
      <c r="H21" s="83"/>
      <c r="I21" s="271">
        <f t="shared" si="3"/>
        <v>0</v>
      </c>
      <c r="J21" s="271">
        <f t="shared" si="4"/>
        <v>0</v>
      </c>
      <c r="K21" s="124">
        <f t="shared" si="5"/>
        <v>0</v>
      </c>
      <c r="L21" s="200"/>
      <c r="M21" s="272"/>
    </row>
    <row r="22" spans="2:13" x14ac:dyDescent="0.2">
      <c r="B22" s="328" t="s">
        <v>742</v>
      </c>
      <c r="C22" s="123" t="s">
        <v>519</v>
      </c>
      <c r="D22" s="83">
        <v>3.2184830702388575E-2</v>
      </c>
      <c r="E22" s="271">
        <f t="shared" si="0"/>
        <v>15721709.475065742</v>
      </c>
      <c r="F22" s="271">
        <f t="shared" si="1"/>
        <v>88176.877229826088</v>
      </c>
      <c r="G22" s="124">
        <f t="shared" si="2"/>
        <v>15809886.352295568</v>
      </c>
      <c r="H22" s="83"/>
      <c r="I22" s="271">
        <f t="shared" si="3"/>
        <v>0</v>
      </c>
      <c r="J22" s="271">
        <f t="shared" si="4"/>
        <v>0</v>
      </c>
      <c r="K22" s="124">
        <f t="shared" si="5"/>
        <v>0</v>
      </c>
      <c r="L22" s="200"/>
      <c r="M22" s="272"/>
    </row>
    <row r="23" spans="2:13" x14ac:dyDescent="0.2">
      <c r="B23" s="329"/>
      <c r="C23" s="195" t="s">
        <v>458</v>
      </c>
      <c r="D23" s="129">
        <f>SUM(D13:D22)</f>
        <v>0.99999999999999989</v>
      </c>
      <c r="E23" s="125">
        <f>'2.1 Profit &amp; Loss by component'!D18-'2.1 Profit &amp; Loss by component'!D15-'2.1 Profit &amp; Loss by component'!D14</f>
        <v>488481969.05068588</v>
      </c>
      <c r="F23" s="125">
        <f>'2.1 Profit &amp; Loss by component'!E18-'2.1 Profit &amp; Loss by component'!E14</f>
        <v>2739703</v>
      </c>
      <c r="G23" s="125">
        <f>SUM(G13:G22)</f>
        <v>491221672.05068588</v>
      </c>
      <c r="H23" s="129">
        <f>SUM(H13:H22)</f>
        <v>0</v>
      </c>
      <c r="I23" s="125">
        <f>'2.1 Profit &amp; Loss by component'!G18-'2.1 Profit &amp; Loss by component'!G14-'2.1 Profit &amp; Loss by component'!G15</f>
        <v>0</v>
      </c>
      <c r="J23" s="125">
        <f>'2.1 Profit &amp; Loss by component'!H18-'2.1 Profit &amp; Loss by component'!H14-'2.1 Profit &amp; Loss by component'!H15</f>
        <v>0</v>
      </c>
      <c r="K23" s="125">
        <f>SUM(K13:K22)</f>
        <v>0</v>
      </c>
      <c r="L23" s="200"/>
      <c r="M23" s="200"/>
    </row>
    <row r="24" spans="2:13" x14ac:dyDescent="0.2">
      <c r="B24" s="330"/>
      <c r="C24" s="270" t="s">
        <v>450</v>
      </c>
      <c r="D24" s="122"/>
      <c r="E24" s="122"/>
      <c r="F24" s="122"/>
      <c r="G24" s="122"/>
      <c r="H24" s="122"/>
      <c r="I24" s="122"/>
      <c r="J24" s="122"/>
      <c r="K24" s="122"/>
      <c r="L24" s="200"/>
      <c r="M24" s="200"/>
    </row>
    <row r="25" spans="2:13" x14ac:dyDescent="0.2">
      <c r="B25" s="328" t="s">
        <v>742</v>
      </c>
      <c r="C25" s="123" t="s">
        <v>571</v>
      </c>
      <c r="D25" s="83">
        <v>0</v>
      </c>
      <c r="E25" s="271">
        <f t="shared" ref="E25:F34" si="6">$D25*E$35</f>
        <v>0</v>
      </c>
      <c r="F25" s="271">
        <f t="shared" si="6"/>
        <v>0</v>
      </c>
      <c r="G25" s="124">
        <f t="shared" ref="G25:G34" si="7">SUM(E25:F25)</f>
        <v>0</v>
      </c>
      <c r="H25" s="83"/>
      <c r="I25" s="271">
        <f t="shared" ref="I25:I34" si="8">H25*$I$35</f>
        <v>0</v>
      </c>
      <c r="J25" s="271">
        <f t="shared" ref="J25:J34" si="9">H25*$J$35</f>
        <v>0</v>
      </c>
      <c r="K25" s="124">
        <f t="shared" ref="K25:K34" si="10">SUM(I25:J25)</f>
        <v>0</v>
      </c>
      <c r="L25" s="200"/>
      <c r="M25" s="200"/>
    </row>
    <row r="26" spans="2:13" x14ac:dyDescent="0.2">
      <c r="B26" s="328" t="s">
        <v>742</v>
      </c>
      <c r="C26" s="123" t="s">
        <v>661</v>
      </c>
      <c r="D26" s="83">
        <v>0</v>
      </c>
      <c r="E26" s="271">
        <f t="shared" si="6"/>
        <v>0</v>
      </c>
      <c r="F26" s="271">
        <f t="shared" si="6"/>
        <v>0</v>
      </c>
      <c r="G26" s="124">
        <f t="shared" si="7"/>
        <v>0</v>
      </c>
      <c r="H26" s="83"/>
      <c r="I26" s="271">
        <f t="shared" si="8"/>
        <v>0</v>
      </c>
      <c r="J26" s="271">
        <f t="shared" si="9"/>
        <v>0</v>
      </c>
      <c r="K26" s="124">
        <f t="shared" si="10"/>
        <v>0</v>
      </c>
      <c r="L26" s="200"/>
      <c r="M26" s="200"/>
    </row>
    <row r="27" spans="2:13" x14ac:dyDescent="0.2">
      <c r="B27" s="328" t="s">
        <v>742</v>
      </c>
      <c r="C27" s="123" t="s">
        <v>573</v>
      </c>
      <c r="D27" s="83">
        <v>0</v>
      </c>
      <c r="E27" s="271">
        <f t="shared" si="6"/>
        <v>0</v>
      </c>
      <c r="F27" s="271">
        <f t="shared" si="6"/>
        <v>0</v>
      </c>
      <c r="G27" s="124">
        <f t="shared" si="7"/>
        <v>0</v>
      </c>
      <c r="H27" s="83"/>
      <c r="I27" s="271">
        <f t="shared" si="8"/>
        <v>0</v>
      </c>
      <c r="J27" s="271">
        <f t="shared" si="9"/>
        <v>0</v>
      </c>
      <c r="K27" s="124">
        <f t="shared" si="10"/>
        <v>0</v>
      </c>
      <c r="L27" s="200"/>
      <c r="M27" s="200"/>
    </row>
    <row r="28" spans="2:13" ht="12.75" customHeight="1" x14ac:dyDescent="0.2">
      <c r="B28" s="328" t="s">
        <v>742</v>
      </c>
      <c r="C28" s="123" t="s">
        <v>574</v>
      </c>
      <c r="D28" s="83">
        <v>0</v>
      </c>
      <c r="E28" s="271">
        <f t="shared" si="6"/>
        <v>0</v>
      </c>
      <c r="F28" s="271">
        <f t="shared" si="6"/>
        <v>0</v>
      </c>
      <c r="G28" s="124">
        <f t="shared" si="7"/>
        <v>0</v>
      </c>
      <c r="H28" s="83"/>
      <c r="I28" s="271">
        <f t="shared" si="8"/>
        <v>0</v>
      </c>
      <c r="J28" s="271">
        <f t="shared" si="9"/>
        <v>0</v>
      </c>
      <c r="K28" s="124">
        <f t="shared" si="10"/>
        <v>0</v>
      </c>
      <c r="L28" s="200"/>
      <c r="M28" s="200"/>
    </row>
    <row r="29" spans="2:13" ht="12.75" customHeight="1" x14ac:dyDescent="0.2">
      <c r="B29" s="328" t="s">
        <v>742</v>
      </c>
      <c r="C29" s="203" t="s">
        <v>575</v>
      </c>
      <c r="D29" s="83">
        <v>0</v>
      </c>
      <c r="E29" s="271">
        <f t="shared" si="6"/>
        <v>0</v>
      </c>
      <c r="F29" s="271">
        <f t="shared" si="6"/>
        <v>0</v>
      </c>
      <c r="G29" s="124">
        <f t="shared" si="7"/>
        <v>0</v>
      </c>
      <c r="H29" s="83"/>
      <c r="I29" s="271">
        <f t="shared" si="8"/>
        <v>0</v>
      </c>
      <c r="J29" s="271">
        <f t="shared" si="9"/>
        <v>0</v>
      </c>
      <c r="K29" s="124">
        <f t="shared" si="10"/>
        <v>0</v>
      </c>
      <c r="L29" s="200"/>
      <c r="M29" s="200"/>
    </row>
    <row r="30" spans="2:13" x14ac:dyDescent="0.2">
      <c r="B30" s="328" t="s">
        <v>742</v>
      </c>
      <c r="C30" s="123" t="s">
        <v>662</v>
      </c>
      <c r="D30" s="83">
        <v>0</v>
      </c>
      <c r="E30" s="271">
        <f t="shared" si="6"/>
        <v>0</v>
      </c>
      <c r="F30" s="271">
        <f t="shared" si="6"/>
        <v>0</v>
      </c>
      <c r="G30" s="124">
        <f t="shared" si="7"/>
        <v>0</v>
      </c>
      <c r="H30" s="83"/>
      <c r="I30" s="271">
        <f t="shared" si="8"/>
        <v>0</v>
      </c>
      <c r="J30" s="271">
        <f t="shared" si="9"/>
        <v>0</v>
      </c>
      <c r="K30" s="124">
        <f t="shared" si="10"/>
        <v>0</v>
      </c>
      <c r="L30" s="200"/>
      <c r="M30" s="200"/>
    </row>
    <row r="31" spans="2:13" x14ac:dyDescent="0.2">
      <c r="B31" s="328" t="s">
        <v>742</v>
      </c>
      <c r="C31" s="123" t="s">
        <v>577</v>
      </c>
      <c r="D31" s="83">
        <v>0</v>
      </c>
      <c r="E31" s="271">
        <f t="shared" si="6"/>
        <v>0</v>
      </c>
      <c r="F31" s="271">
        <f t="shared" si="6"/>
        <v>0</v>
      </c>
      <c r="G31" s="124">
        <f t="shared" si="7"/>
        <v>0</v>
      </c>
      <c r="H31" s="83"/>
      <c r="I31" s="271">
        <f t="shared" si="8"/>
        <v>0</v>
      </c>
      <c r="J31" s="271">
        <f t="shared" si="9"/>
        <v>0</v>
      </c>
      <c r="K31" s="124">
        <f t="shared" si="10"/>
        <v>0</v>
      </c>
      <c r="L31" s="200"/>
      <c r="M31" s="200"/>
    </row>
    <row r="32" spans="2:13" x14ac:dyDescent="0.2">
      <c r="B32" s="328" t="s">
        <v>742</v>
      </c>
      <c r="C32" s="123" t="s">
        <v>578</v>
      </c>
      <c r="D32" s="83">
        <v>0</v>
      </c>
      <c r="E32" s="271">
        <f t="shared" si="6"/>
        <v>0</v>
      </c>
      <c r="F32" s="271">
        <f t="shared" si="6"/>
        <v>0</v>
      </c>
      <c r="G32" s="124">
        <f t="shared" si="7"/>
        <v>0</v>
      </c>
      <c r="H32" s="83"/>
      <c r="I32" s="271">
        <f t="shared" si="8"/>
        <v>0</v>
      </c>
      <c r="J32" s="271">
        <f t="shared" si="9"/>
        <v>0</v>
      </c>
      <c r="K32" s="124">
        <f t="shared" si="10"/>
        <v>0</v>
      </c>
      <c r="L32" s="200"/>
      <c r="M32" s="200"/>
    </row>
    <row r="33" spans="2:13" x14ac:dyDescent="0.2">
      <c r="B33" s="328" t="s">
        <v>742</v>
      </c>
      <c r="C33" s="123" t="s">
        <v>579</v>
      </c>
      <c r="D33" s="83">
        <v>0</v>
      </c>
      <c r="E33" s="271">
        <f t="shared" si="6"/>
        <v>0</v>
      </c>
      <c r="F33" s="271">
        <f t="shared" si="6"/>
        <v>0</v>
      </c>
      <c r="G33" s="124">
        <f t="shared" si="7"/>
        <v>0</v>
      </c>
      <c r="H33" s="83"/>
      <c r="I33" s="271">
        <f t="shared" si="8"/>
        <v>0</v>
      </c>
      <c r="J33" s="271">
        <f t="shared" si="9"/>
        <v>0</v>
      </c>
      <c r="K33" s="124">
        <f t="shared" si="10"/>
        <v>0</v>
      </c>
      <c r="L33" s="200"/>
      <c r="M33" s="200"/>
    </row>
    <row r="34" spans="2:13" x14ac:dyDescent="0.2">
      <c r="B34" s="328" t="s">
        <v>742</v>
      </c>
      <c r="C34" s="123" t="s">
        <v>519</v>
      </c>
      <c r="D34" s="83">
        <v>0</v>
      </c>
      <c r="E34" s="271">
        <f t="shared" si="6"/>
        <v>0</v>
      </c>
      <c r="F34" s="271">
        <f t="shared" si="6"/>
        <v>0</v>
      </c>
      <c r="G34" s="124">
        <f t="shared" si="7"/>
        <v>0</v>
      </c>
      <c r="H34" s="83"/>
      <c r="I34" s="271">
        <f t="shared" si="8"/>
        <v>0</v>
      </c>
      <c r="J34" s="271">
        <f t="shared" si="9"/>
        <v>0</v>
      </c>
      <c r="K34" s="124">
        <f t="shared" si="10"/>
        <v>0</v>
      </c>
      <c r="L34" s="200"/>
      <c r="M34" s="200"/>
    </row>
    <row r="35" spans="2:13" x14ac:dyDescent="0.2">
      <c r="B35" s="329"/>
      <c r="C35" s="195" t="s">
        <v>451</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0"/>
      <c r="M35" s="200"/>
    </row>
    <row r="36" spans="2:13" x14ac:dyDescent="0.2">
      <c r="B36" s="330"/>
      <c r="C36" s="270" t="s">
        <v>38</v>
      </c>
      <c r="D36" s="122"/>
      <c r="E36" s="122"/>
      <c r="F36" s="122"/>
      <c r="G36" s="122"/>
      <c r="H36" s="122"/>
      <c r="I36" s="122"/>
      <c r="J36" s="122"/>
      <c r="K36" s="122"/>
      <c r="L36" s="200"/>
      <c r="M36" s="200"/>
    </row>
    <row r="37" spans="2:13" x14ac:dyDescent="0.2">
      <c r="B37" s="328" t="s">
        <v>742</v>
      </c>
      <c r="C37" s="123" t="s">
        <v>571</v>
      </c>
      <c r="D37" s="83">
        <v>0</v>
      </c>
      <c r="E37" s="271">
        <f>$D37*'2.4 Indirect revenue'!$G$42</f>
        <v>0</v>
      </c>
      <c r="F37" s="271">
        <f>$D37*'2.4 Indirect revenue'!$H$42</f>
        <v>0</v>
      </c>
      <c r="G37" s="124">
        <f t="shared" ref="G37:G46" si="11">SUM(E37:F37)</f>
        <v>0</v>
      </c>
      <c r="H37" s="83"/>
      <c r="I37" s="271">
        <f t="shared" ref="I37:I46" si="12">H37*$I$47</f>
        <v>0</v>
      </c>
      <c r="J37" s="271">
        <f t="shared" ref="J37:J46" si="13">H37*$J$47</f>
        <v>0</v>
      </c>
      <c r="K37" s="124">
        <f t="shared" ref="K37:K46" si="14">SUM(I37:J37)</f>
        <v>0</v>
      </c>
      <c r="L37" s="200"/>
      <c r="M37" s="200"/>
    </row>
    <row r="38" spans="2:13" x14ac:dyDescent="0.2">
      <c r="B38" s="328" t="s">
        <v>742</v>
      </c>
      <c r="C38" s="123" t="s">
        <v>661</v>
      </c>
      <c r="D38" s="83">
        <v>0</v>
      </c>
      <c r="E38" s="271">
        <f>$D38*'2.4 Indirect revenue'!$G$42</f>
        <v>0</v>
      </c>
      <c r="F38" s="271">
        <f>$D38*'2.4 Indirect revenue'!$H$42</f>
        <v>0</v>
      </c>
      <c r="G38" s="124">
        <f t="shared" si="11"/>
        <v>0</v>
      </c>
      <c r="H38" s="83"/>
      <c r="I38" s="271">
        <f t="shared" si="12"/>
        <v>0</v>
      </c>
      <c r="J38" s="271">
        <f t="shared" si="13"/>
        <v>0</v>
      </c>
      <c r="K38" s="124">
        <f t="shared" si="14"/>
        <v>0</v>
      </c>
      <c r="L38" s="200"/>
      <c r="M38" s="200"/>
    </row>
    <row r="39" spans="2:13" x14ac:dyDescent="0.2">
      <c r="B39" s="328" t="s">
        <v>742</v>
      </c>
      <c r="C39" s="123" t="s">
        <v>573</v>
      </c>
      <c r="D39" s="83">
        <v>0</v>
      </c>
      <c r="E39" s="271">
        <f>$D39*'2.4 Indirect revenue'!$G$42</f>
        <v>0</v>
      </c>
      <c r="F39" s="271">
        <f>$D39*'2.4 Indirect revenue'!$H$42</f>
        <v>0</v>
      </c>
      <c r="G39" s="124">
        <f t="shared" si="11"/>
        <v>0</v>
      </c>
      <c r="H39" s="83"/>
      <c r="I39" s="271">
        <f t="shared" si="12"/>
        <v>0</v>
      </c>
      <c r="J39" s="271">
        <f t="shared" si="13"/>
        <v>0</v>
      </c>
      <c r="K39" s="124">
        <f t="shared" si="14"/>
        <v>0</v>
      </c>
      <c r="L39" s="200"/>
      <c r="M39" s="200"/>
    </row>
    <row r="40" spans="2:13" x14ac:dyDescent="0.2">
      <c r="B40" s="328" t="s">
        <v>742</v>
      </c>
      <c r="C40" s="123" t="s">
        <v>574</v>
      </c>
      <c r="D40" s="83">
        <v>0</v>
      </c>
      <c r="E40" s="271">
        <f>$D40*'2.4 Indirect revenue'!$G$42</f>
        <v>0</v>
      </c>
      <c r="F40" s="271">
        <f>$D40*'2.4 Indirect revenue'!$H$42</f>
        <v>0</v>
      </c>
      <c r="G40" s="124">
        <f t="shared" si="11"/>
        <v>0</v>
      </c>
      <c r="H40" s="83"/>
      <c r="I40" s="271">
        <f t="shared" si="12"/>
        <v>0</v>
      </c>
      <c r="J40" s="271">
        <f t="shared" si="13"/>
        <v>0</v>
      </c>
      <c r="K40" s="124">
        <f t="shared" si="14"/>
        <v>0</v>
      </c>
      <c r="L40" s="200"/>
      <c r="M40" s="200"/>
    </row>
    <row r="41" spans="2:13" x14ac:dyDescent="0.2">
      <c r="B41" s="328" t="s">
        <v>742</v>
      </c>
      <c r="C41" s="203" t="s">
        <v>575</v>
      </c>
      <c r="D41" s="83">
        <v>0</v>
      </c>
      <c r="E41" s="271">
        <f>$D41*'2.4 Indirect revenue'!$G$42</f>
        <v>0</v>
      </c>
      <c r="F41" s="271">
        <f>$D41*'2.4 Indirect revenue'!$H$42</f>
        <v>0</v>
      </c>
      <c r="G41" s="124">
        <f t="shared" si="11"/>
        <v>0</v>
      </c>
      <c r="H41" s="83"/>
      <c r="I41" s="271">
        <f t="shared" si="12"/>
        <v>0</v>
      </c>
      <c r="J41" s="271">
        <f t="shared" si="13"/>
        <v>0</v>
      </c>
      <c r="K41" s="124">
        <f t="shared" si="14"/>
        <v>0</v>
      </c>
      <c r="L41" s="200"/>
      <c r="M41" s="200"/>
    </row>
    <row r="42" spans="2:13" x14ac:dyDescent="0.2">
      <c r="B42" s="328" t="s">
        <v>742</v>
      </c>
      <c r="C42" s="123" t="s">
        <v>662</v>
      </c>
      <c r="D42" s="83">
        <v>0</v>
      </c>
      <c r="E42" s="271">
        <f>$D42*'2.4 Indirect revenue'!$G$42</f>
        <v>0</v>
      </c>
      <c r="F42" s="271">
        <f>$D42*'2.4 Indirect revenue'!$H$42</f>
        <v>0</v>
      </c>
      <c r="G42" s="124">
        <f t="shared" si="11"/>
        <v>0</v>
      </c>
      <c r="H42" s="83"/>
      <c r="I42" s="271">
        <f t="shared" si="12"/>
        <v>0</v>
      </c>
      <c r="J42" s="271">
        <f t="shared" si="13"/>
        <v>0</v>
      </c>
      <c r="K42" s="124">
        <f t="shared" si="14"/>
        <v>0</v>
      </c>
      <c r="L42" s="200"/>
      <c r="M42" s="200"/>
    </row>
    <row r="43" spans="2:13" x14ac:dyDescent="0.2">
      <c r="B43" s="328" t="s">
        <v>742</v>
      </c>
      <c r="C43" s="123" t="s">
        <v>577</v>
      </c>
      <c r="D43" s="83">
        <v>0</v>
      </c>
      <c r="E43" s="271">
        <f>$D43*'2.4 Indirect revenue'!$G$42</f>
        <v>0</v>
      </c>
      <c r="F43" s="271">
        <f>$D43*'2.4 Indirect revenue'!$H$42</f>
        <v>0</v>
      </c>
      <c r="G43" s="124">
        <f t="shared" si="11"/>
        <v>0</v>
      </c>
      <c r="H43" s="83"/>
      <c r="I43" s="271">
        <f t="shared" si="12"/>
        <v>0</v>
      </c>
      <c r="J43" s="271">
        <f t="shared" si="13"/>
        <v>0</v>
      </c>
      <c r="K43" s="124">
        <f t="shared" si="14"/>
        <v>0</v>
      </c>
      <c r="L43" s="200"/>
      <c r="M43" s="200"/>
    </row>
    <row r="44" spans="2:13" x14ac:dyDescent="0.2">
      <c r="B44" s="328" t="s">
        <v>742</v>
      </c>
      <c r="C44" s="123" t="s">
        <v>578</v>
      </c>
      <c r="D44" s="83">
        <v>0</v>
      </c>
      <c r="E44" s="271">
        <f>$D44*'2.4 Indirect revenue'!$G$42</f>
        <v>0</v>
      </c>
      <c r="F44" s="271">
        <f>$D44*'2.4 Indirect revenue'!$H$42</f>
        <v>0</v>
      </c>
      <c r="G44" s="124">
        <f t="shared" si="11"/>
        <v>0</v>
      </c>
      <c r="H44" s="83"/>
      <c r="I44" s="271">
        <f t="shared" si="12"/>
        <v>0</v>
      </c>
      <c r="J44" s="271">
        <f t="shared" si="13"/>
        <v>0</v>
      </c>
      <c r="K44" s="124">
        <f t="shared" si="14"/>
        <v>0</v>
      </c>
      <c r="L44" s="200"/>
      <c r="M44" s="200"/>
    </row>
    <row r="45" spans="2:13" x14ac:dyDescent="0.2">
      <c r="B45" s="328" t="s">
        <v>742</v>
      </c>
      <c r="C45" s="123" t="s">
        <v>579</v>
      </c>
      <c r="D45" s="83">
        <v>0</v>
      </c>
      <c r="E45" s="271">
        <f>$D45*'2.4 Indirect revenue'!$G$42</f>
        <v>0</v>
      </c>
      <c r="F45" s="271">
        <f>$D45*'2.4 Indirect revenue'!$H$42</f>
        <v>0</v>
      </c>
      <c r="G45" s="124">
        <f t="shared" si="11"/>
        <v>0</v>
      </c>
      <c r="H45" s="83"/>
      <c r="I45" s="271">
        <f t="shared" si="12"/>
        <v>0</v>
      </c>
      <c r="J45" s="271">
        <f t="shared" si="13"/>
        <v>0</v>
      </c>
      <c r="K45" s="124">
        <f t="shared" si="14"/>
        <v>0</v>
      </c>
      <c r="L45" s="200"/>
      <c r="M45" s="200"/>
    </row>
    <row r="46" spans="2:13" x14ac:dyDescent="0.2">
      <c r="B46" s="328" t="s">
        <v>742</v>
      </c>
      <c r="C46" s="123" t="s">
        <v>519</v>
      </c>
      <c r="D46" s="83">
        <v>0</v>
      </c>
      <c r="E46" s="271">
        <f>$D46*'2.4 Indirect revenue'!$G$42</f>
        <v>0</v>
      </c>
      <c r="F46" s="271">
        <f>$D46*'2.4 Indirect revenue'!$H$42</f>
        <v>0</v>
      </c>
      <c r="G46" s="124">
        <f t="shared" si="11"/>
        <v>0</v>
      </c>
      <c r="H46" s="83"/>
      <c r="I46" s="271">
        <f t="shared" si="12"/>
        <v>0</v>
      </c>
      <c r="J46" s="271">
        <f t="shared" si="13"/>
        <v>0</v>
      </c>
      <c r="K46" s="124">
        <f t="shared" si="14"/>
        <v>0</v>
      </c>
      <c r="L46" s="200"/>
      <c r="M46" s="200"/>
    </row>
    <row r="47" spans="2:13" x14ac:dyDescent="0.2">
      <c r="B47" s="296"/>
      <c r="C47" s="195" t="s">
        <v>452</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0"/>
      <c r="M47" s="200"/>
    </row>
    <row r="48" spans="2:13" ht="14.25" x14ac:dyDescent="0.2">
      <c r="B48" s="296"/>
      <c r="C48" s="195" t="s">
        <v>15</v>
      </c>
      <c r="D48" s="273"/>
      <c r="E48" s="125">
        <f>E47+E35+E23</f>
        <v>488481969.05068588</v>
      </c>
      <c r="F48" s="125">
        <f>F47+F35+F23</f>
        <v>2739703</v>
      </c>
      <c r="G48" s="125">
        <f>G47+G35+G23</f>
        <v>491221672.05068588</v>
      </c>
      <c r="H48" s="273"/>
      <c r="I48" s="125">
        <f>I47+I35+I23</f>
        <v>0</v>
      </c>
      <c r="J48" s="125">
        <f>J47+J35+J23</f>
        <v>0</v>
      </c>
      <c r="K48" s="125">
        <f>K47+K35+K23</f>
        <v>0</v>
      </c>
      <c r="L48" s="200"/>
      <c r="M48" s="200"/>
    </row>
    <row r="49" spans="2:13" x14ac:dyDescent="0.2">
      <c r="B49" s="200"/>
      <c r="C49" s="200"/>
      <c r="D49" s="200"/>
      <c r="E49" s="200"/>
      <c r="F49" s="200"/>
      <c r="G49" s="200"/>
      <c r="H49" s="200"/>
      <c r="I49" s="200"/>
      <c r="J49" s="200"/>
      <c r="K49" s="200"/>
      <c r="L49" s="200"/>
      <c r="M49" s="200"/>
    </row>
    <row r="50" spans="2:13" ht="15.75" x14ac:dyDescent="0.2">
      <c r="B50" s="259" t="s">
        <v>475</v>
      </c>
      <c r="C50" s="200"/>
      <c r="D50" s="200"/>
      <c r="E50" s="200"/>
      <c r="F50" s="200"/>
      <c r="G50" s="200"/>
      <c r="H50" s="200"/>
      <c r="I50" s="200"/>
      <c r="J50" s="200"/>
      <c r="K50" s="200"/>
      <c r="L50" s="200"/>
      <c r="M50" s="200"/>
    </row>
    <row r="51" spans="2:13" x14ac:dyDescent="0.2">
      <c r="B51" s="260"/>
      <c r="C51" s="261"/>
      <c r="D51" s="262"/>
      <c r="E51" s="262"/>
      <c r="F51" s="262"/>
      <c r="G51" s="262"/>
      <c r="H51" s="262"/>
      <c r="I51" s="262"/>
      <c r="J51" s="262"/>
      <c r="K51" s="262"/>
      <c r="L51" s="200"/>
      <c r="M51" s="200"/>
    </row>
    <row r="52" spans="2:13" x14ac:dyDescent="0.2">
      <c r="B52" s="263"/>
      <c r="C52" s="263"/>
      <c r="D52" s="412" t="s">
        <v>130</v>
      </c>
      <c r="E52" s="413"/>
      <c r="F52" s="413"/>
      <c r="G52" s="414"/>
      <c r="H52" s="412" t="s">
        <v>131</v>
      </c>
      <c r="I52" s="413"/>
      <c r="J52" s="413"/>
      <c r="K52" s="414"/>
      <c r="L52" s="200"/>
      <c r="M52" s="200"/>
    </row>
    <row r="53" spans="2:13" ht="38.25" x14ac:dyDescent="0.2">
      <c r="B53" s="55" t="s">
        <v>515</v>
      </c>
      <c r="C53" s="263" t="s">
        <v>13</v>
      </c>
      <c r="D53" s="229" t="s">
        <v>448</v>
      </c>
      <c r="E53" s="229" t="s">
        <v>41</v>
      </c>
      <c r="F53" s="229" t="s">
        <v>42</v>
      </c>
      <c r="G53" s="229" t="s">
        <v>18</v>
      </c>
      <c r="H53" s="229" t="s">
        <v>448</v>
      </c>
      <c r="I53" s="229" t="s">
        <v>41</v>
      </c>
      <c r="J53" s="229" t="s">
        <v>42</v>
      </c>
      <c r="K53" s="229" t="s">
        <v>18</v>
      </c>
      <c r="L53" s="200"/>
      <c r="M53" s="200"/>
    </row>
    <row r="54" spans="2:13" x14ac:dyDescent="0.2">
      <c r="B54" s="55"/>
      <c r="C54" s="263"/>
      <c r="D54" s="122" t="s">
        <v>449</v>
      </c>
      <c r="E54" s="122" t="s">
        <v>111</v>
      </c>
      <c r="F54" s="122" t="s">
        <v>111</v>
      </c>
      <c r="G54" s="122" t="s">
        <v>111</v>
      </c>
      <c r="H54" s="122" t="s">
        <v>449</v>
      </c>
      <c r="I54" s="122" t="s">
        <v>111</v>
      </c>
      <c r="J54" s="122" t="s">
        <v>111</v>
      </c>
      <c r="K54" s="122" t="s">
        <v>111</v>
      </c>
      <c r="L54" s="200"/>
      <c r="M54" s="200"/>
    </row>
    <row r="55" spans="2:13" x14ac:dyDescent="0.2">
      <c r="B55" s="197"/>
      <c r="C55" s="270" t="s">
        <v>467</v>
      </c>
      <c r="D55" s="122"/>
      <c r="E55" s="122"/>
      <c r="F55" s="122"/>
      <c r="G55" s="122"/>
      <c r="H55" s="122"/>
      <c r="I55" s="122"/>
      <c r="J55" s="122"/>
      <c r="K55" s="122"/>
      <c r="L55" s="200"/>
      <c r="M55" s="200"/>
    </row>
    <row r="56" spans="2:13" x14ac:dyDescent="0.2">
      <c r="B56" s="328" t="s">
        <v>742</v>
      </c>
      <c r="C56" s="123" t="s">
        <v>571</v>
      </c>
      <c r="D56" s="83">
        <v>0.77574545308039278</v>
      </c>
      <c r="E56" s="271">
        <f t="shared" ref="E56:E65" si="15">D56*$E$66</f>
        <v>51403782.586761929</v>
      </c>
      <c r="F56" s="271">
        <f t="shared" ref="F56:F65" si="16">D56*$F$66</f>
        <v>207267.87734908451</v>
      </c>
      <c r="G56" s="124">
        <f t="shared" ref="G56:G65" si="17">SUM(E56:F56)</f>
        <v>51611050.464111015</v>
      </c>
      <c r="H56" s="83"/>
      <c r="I56" s="271">
        <f t="shared" ref="I56:I65" si="18">H56*$I$66</f>
        <v>0</v>
      </c>
      <c r="J56" s="271">
        <f t="shared" ref="J56:J65" si="19">H56*$J$66</f>
        <v>0</v>
      </c>
      <c r="K56" s="124">
        <f t="shared" ref="K56:K65" si="20">SUM(I56:J56)</f>
        <v>0</v>
      </c>
      <c r="L56" s="200"/>
      <c r="M56" s="200"/>
    </row>
    <row r="57" spans="2:13" x14ac:dyDescent="0.2">
      <c r="B57" s="328" t="s">
        <v>742</v>
      </c>
      <c r="C57" s="123" t="s">
        <v>661</v>
      </c>
      <c r="D57" s="83">
        <v>0</v>
      </c>
      <c r="E57" s="271">
        <f t="shared" si="15"/>
        <v>0</v>
      </c>
      <c r="F57" s="271">
        <f t="shared" si="16"/>
        <v>0</v>
      </c>
      <c r="G57" s="124">
        <f t="shared" si="17"/>
        <v>0</v>
      </c>
      <c r="H57" s="83"/>
      <c r="I57" s="271">
        <f t="shared" si="18"/>
        <v>0</v>
      </c>
      <c r="J57" s="271">
        <f t="shared" si="19"/>
        <v>0</v>
      </c>
      <c r="K57" s="124">
        <f t="shared" si="20"/>
        <v>0</v>
      </c>
      <c r="L57" s="200"/>
      <c r="M57" s="200"/>
    </row>
    <row r="58" spans="2:13" x14ac:dyDescent="0.2">
      <c r="B58" s="328" t="s">
        <v>742</v>
      </c>
      <c r="C58" s="123" t="s">
        <v>573</v>
      </c>
      <c r="D58" s="83">
        <v>2.8201443280035936E-3</v>
      </c>
      <c r="E58" s="271">
        <f t="shared" si="15"/>
        <v>186873.26535314322</v>
      </c>
      <c r="F58" s="271">
        <f t="shared" si="16"/>
        <v>753.50145638918627</v>
      </c>
      <c r="G58" s="124">
        <f t="shared" si="17"/>
        <v>187626.76680953239</v>
      </c>
      <c r="H58" s="83"/>
      <c r="I58" s="271">
        <f t="shared" si="18"/>
        <v>0</v>
      </c>
      <c r="J58" s="271">
        <f t="shared" si="19"/>
        <v>0</v>
      </c>
      <c r="K58" s="124">
        <f t="shared" si="20"/>
        <v>0</v>
      </c>
      <c r="L58" s="200"/>
      <c r="M58" s="200"/>
    </row>
    <row r="59" spans="2:13" x14ac:dyDescent="0.2">
      <c r="B59" s="328" t="s">
        <v>742</v>
      </c>
      <c r="C59" s="123" t="s">
        <v>574</v>
      </c>
      <c r="D59" s="83">
        <v>0.160577443962374</v>
      </c>
      <c r="E59" s="271">
        <f t="shared" si="15"/>
        <v>10640459.425192922</v>
      </c>
      <c r="F59" s="271">
        <f t="shared" si="16"/>
        <v>42903.952357131835</v>
      </c>
      <c r="G59" s="124">
        <f t="shared" si="17"/>
        <v>10683363.377550054</v>
      </c>
      <c r="H59" s="83"/>
      <c r="I59" s="271">
        <f t="shared" si="18"/>
        <v>0</v>
      </c>
      <c r="J59" s="271">
        <f t="shared" si="19"/>
        <v>0</v>
      </c>
      <c r="K59" s="124">
        <f t="shared" si="20"/>
        <v>0</v>
      </c>
      <c r="L59" s="200"/>
      <c r="M59" s="200"/>
    </row>
    <row r="60" spans="2:13" x14ac:dyDescent="0.2">
      <c r="B60" s="328" t="s">
        <v>742</v>
      </c>
      <c r="C60" s="203" t="s">
        <v>575</v>
      </c>
      <c r="D60" s="83">
        <v>1.1679608992112346E-3</v>
      </c>
      <c r="E60" s="271">
        <f t="shared" si="15"/>
        <v>77393.438652448516</v>
      </c>
      <c r="F60" s="271">
        <f t="shared" si="16"/>
        <v>312.06212739625698</v>
      </c>
      <c r="G60" s="124">
        <f t="shared" si="17"/>
        <v>77705.500779844777</v>
      </c>
      <c r="H60" s="83"/>
      <c r="I60" s="271">
        <f t="shared" si="18"/>
        <v>0</v>
      </c>
      <c r="J60" s="271">
        <f t="shared" si="19"/>
        <v>0</v>
      </c>
      <c r="K60" s="124">
        <f t="shared" si="20"/>
        <v>0</v>
      </c>
      <c r="L60" s="200"/>
      <c r="M60" s="200"/>
    </row>
    <row r="61" spans="2:13" x14ac:dyDescent="0.2">
      <c r="B61" s="328" t="s">
        <v>742</v>
      </c>
      <c r="C61" s="123" t="s">
        <v>662</v>
      </c>
      <c r="D61" s="83">
        <v>1.9074883526795993E-2</v>
      </c>
      <c r="E61" s="271">
        <f t="shared" si="15"/>
        <v>1263972.8170957305</v>
      </c>
      <c r="F61" s="271">
        <f t="shared" si="16"/>
        <v>5096.5308318349889</v>
      </c>
      <c r="G61" s="124">
        <f t="shared" si="17"/>
        <v>1269069.3479275655</v>
      </c>
      <c r="H61" s="83"/>
      <c r="I61" s="271">
        <f t="shared" si="18"/>
        <v>0</v>
      </c>
      <c r="J61" s="271">
        <f t="shared" si="19"/>
        <v>0</v>
      </c>
      <c r="K61" s="124">
        <f t="shared" si="20"/>
        <v>0</v>
      </c>
      <c r="L61" s="200"/>
      <c r="M61" s="200"/>
    </row>
    <row r="62" spans="2:13" x14ac:dyDescent="0.2">
      <c r="B62" s="328" t="s">
        <v>742</v>
      </c>
      <c r="C62" s="123" t="s">
        <v>577</v>
      </c>
      <c r="D62" s="83">
        <v>6.5214924648704731E-3</v>
      </c>
      <c r="E62" s="271">
        <f t="shared" si="15"/>
        <v>432138.37667272432</v>
      </c>
      <c r="F62" s="271">
        <f t="shared" si="16"/>
        <v>1742.4477255707122</v>
      </c>
      <c r="G62" s="124">
        <f t="shared" si="17"/>
        <v>433880.82439829502</v>
      </c>
      <c r="H62" s="83"/>
      <c r="I62" s="271">
        <f t="shared" si="18"/>
        <v>0</v>
      </c>
      <c r="J62" s="271">
        <f t="shared" si="19"/>
        <v>0</v>
      </c>
      <c r="K62" s="124">
        <f t="shared" si="20"/>
        <v>0</v>
      </c>
      <c r="L62" s="200"/>
      <c r="M62" s="200"/>
    </row>
    <row r="63" spans="2:13" x14ac:dyDescent="0.2">
      <c r="B63" s="328" t="s">
        <v>742</v>
      </c>
      <c r="C63" s="123" t="s">
        <v>578</v>
      </c>
      <c r="D63" s="83">
        <v>6.6730434935030559E-4</v>
      </c>
      <c r="E63" s="271">
        <f t="shared" si="15"/>
        <v>44218.071220391575</v>
      </c>
      <c r="F63" s="271">
        <f t="shared" si="16"/>
        <v>178.29399513259696</v>
      </c>
      <c r="G63" s="124">
        <f t="shared" si="17"/>
        <v>44396.365215524173</v>
      </c>
      <c r="H63" s="83"/>
      <c r="I63" s="271">
        <f t="shared" si="18"/>
        <v>0</v>
      </c>
      <c r="J63" s="271">
        <f t="shared" si="19"/>
        <v>0</v>
      </c>
      <c r="K63" s="124">
        <f t="shared" si="20"/>
        <v>0</v>
      </c>
      <c r="L63" s="200"/>
      <c r="M63" s="200"/>
    </row>
    <row r="64" spans="2:13" x14ac:dyDescent="0.2">
      <c r="B64" s="328" t="s">
        <v>742</v>
      </c>
      <c r="C64" s="123" t="s">
        <v>579</v>
      </c>
      <c r="D64" s="83">
        <v>1.2404866866130633E-3</v>
      </c>
      <c r="E64" s="271">
        <f t="shared" si="15"/>
        <v>82199.267410752524</v>
      </c>
      <c r="F64" s="271">
        <f t="shared" si="16"/>
        <v>331.43996061223868</v>
      </c>
      <c r="G64" s="124">
        <f t="shared" si="17"/>
        <v>82530.707371364755</v>
      </c>
      <c r="H64" s="83"/>
      <c r="I64" s="271">
        <f t="shared" si="18"/>
        <v>0</v>
      </c>
      <c r="J64" s="271">
        <f t="shared" si="19"/>
        <v>0</v>
      </c>
      <c r="K64" s="124">
        <f t="shared" si="20"/>
        <v>0</v>
      </c>
      <c r="L64" s="200"/>
      <c r="M64" s="200"/>
    </row>
    <row r="65" spans="2:13" x14ac:dyDescent="0.2">
      <c r="B65" s="328" t="s">
        <v>742</v>
      </c>
      <c r="C65" s="123" t="s">
        <v>519</v>
      </c>
      <c r="D65" s="83">
        <v>3.2184830702388575E-2</v>
      </c>
      <c r="E65" s="271">
        <f t="shared" si="15"/>
        <v>2132686.738217813</v>
      </c>
      <c r="F65" s="271">
        <f t="shared" si="16"/>
        <v>8599.3176189875794</v>
      </c>
      <c r="G65" s="124">
        <f t="shared" si="17"/>
        <v>2141286.0558368005</v>
      </c>
      <c r="H65" s="83"/>
      <c r="I65" s="271">
        <f t="shared" si="18"/>
        <v>0</v>
      </c>
      <c r="J65" s="271">
        <f t="shared" si="19"/>
        <v>0</v>
      </c>
      <c r="K65" s="124">
        <f t="shared" si="20"/>
        <v>0</v>
      </c>
      <c r="L65" s="200"/>
      <c r="M65" s="200"/>
    </row>
    <row r="66" spans="2:13" x14ac:dyDescent="0.2">
      <c r="B66" s="329"/>
      <c r="C66" s="195" t="s">
        <v>468</v>
      </c>
      <c r="D66" s="129">
        <f>SUM(D56:D65)</f>
        <v>0.99999999999999989</v>
      </c>
      <c r="E66" s="125">
        <f>'2.1 Profit &amp; Loss by component'!D32-'2.1 Profit &amp; Loss by component'!D26</f>
        <v>66263723.986577854</v>
      </c>
      <c r="F66" s="125">
        <f>'2.1 Profit &amp; Loss by component'!E32-'2.1 Profit &amp; Loss by component'!E26</f>
        <v>267185.42342213989</v>
      </c>
      <c r="G66" s="125">
        <f>SUM(G56:G65)</f>
        <v>66530909.409999996</v>
      </c>
      <c r="H66" s="129">
        <f>SUM(H56:H65)</f>
        <v>0</v>
      </c>
      <c r="I66" s="125">
        <f>'2.1 Profit &amp; Loss by component'!G32-'2.1 Profit &amp; Loss by component'!G26</f>
        <v>0</v>
      </c>
      <c r="J66" s="125">
        <f>'2.1 Profit &amp; Loss by component'!H32-'2.1 Profit &amp; Loss by component'!H26</f>
        <v>0</v>
      </c>
      <c r="K66" s="125">
        <f>SUM(K56:K65)</f>
        <v>0</v>
      </c>
      <c r="L66" s="200"/>
      <c r="M66" s="200"/>
    </row>
    <row r="67" spans="2:13" x14ac:dyDescent="0.2">
      <c r="B67" s="330"/>
      <c r="C67" s="270" t="s">
        <v>228</v>
      </c>
      <c r="D67" s="122"/>
      <c r="E67" s="122"/>
      <c r="F67" s="122"/>
      <c r="G67" s="122"/>
      <c r="H67" s="122"/>
      <c r="I67" s="122"/>
      <c r="J67" s="122"/>
      <c r="K67" s="122"/>
      <c r="L67" s="200"/>
      <c r="M67" s="200"/>
    </row>
    <row r="68" spans="2:13" x14ac:dyDescent="0.2">
      <c r="B68" s="328" t="s">
        <v>742</v>
      </c>
      <c r="C68" s="123" t="s">
        <v>571</v>
      </c>
      <c r="D68" s="83">
        <v>0.77574545308039278</v>
      </c>
      <c r="E68" s="271">
        <f t="shared" ref="E68:E77" si="21">D68*$E$78</f>
        <v>101790455.15338765</v>
      </c>
      <c r="F68" s="271">
        <f t="shared" ref="F68:F77" si="22">D68*$F$78</f>
        <v>389649.0281929042</v>
      </c>
      <c r="G68" s="124">
        <f t="shared" ref="G68:G77" si="23">SUM(E68:F68)</f>
        <v>102180104.18158056</v>
      </c>
      <c r="H68" s="83"/>
      <c r="I68" s="271">
        <f t="shared" ref="I68:I77" si="24">H68*$I$78</f>
        <v>0</v>
      </c>
      <c r="J68" s="271">
        <f t="shared" ref="J68:J77" si="25">H68*$J$78</f>
        <v>0</v>
      </c>
      <c r="K68" s="124">
        <f t="shared" ref="K68:K77" si="26">SUM(I68:J68)</f>
        <v>0</v>
      </c>
      <c r="L68" s="200"/>
      <c r="M68" s="200"/>
    </row>
    <row r="69" spans="2:13" x14ac:dyDescent="0.2">
      <c r="B69" s="328" t="s">
        <v>742</v>
      </c>
      <c r="C69" s="123" t="s">
        <v>661</v>
      </c>
      <c r="D69" s="83">
        <v>0</v>
      </c>
      <c r="E69" s="271">
        <f t="shared" si="21"/>
        <v>0</v>
      </c>
      <c r="F69" s="271">
        <f t="shared" si="22"/>
        <v>0</v>
      </c>
      <c r="G69" s="124">
        <f t="shared" si="23"/>
        <v>0</v>
      </c>
      <c r="H69" s="83"/>
      <c r="I69" s="271">
        <f t="shared" si="24"/>
        <v>0</v>
      </c>
      <c r="J69" s="271">
        <f t="shared" si="25"/>
        <v>0</v>
      </c>
      <c r="K69" s="124">
        <f t="shared" si="26"/>
        <v>0</v>
      </c>
      <c r="L69" s="200"/>
      <c r="M69" s="200"/>
    </row>
    <row r="70" spans="2:13" x14ac:dyDescent="0.2">
      <c r="B70" s="328" t="s">
        <v>742</v>
      </c>
      <c r="C70" s="123" t="s">
        <v>573</v>
      </c>
      <c r="D70" s="83">
        <v>2.8201443280035936E-3</v>
      </c>
      <c r="E70" s="271">
        <f t="shared" si="21"/>
        <v>370048.92984655505</v>
      </c>
      <c r="F70" s="271">
        <f t="shared" si="22"/>
        <v>1416.5297294452237</v>
      </c>
      <c r="G70" s="124">
        <f t="shared" si="23"/>
        <v>371465.45957600028</v>
      </c>
      <c r="H70" s="83"/>
      <c r="I70" s="271">
        <f t="shared" si="24"/>
        <v>0</v>
      </c>
      <c r="J70" s="271">
        <f t="shared" si="25"/>
        <v>0</v>
      </c>
      <c r="K70" s="124">
        <f t="shared" si="26"/>
        <v>0</v>
      </c>
      <c r="L70" s="200"/>
      <c r="M70" s="200"/>
    </row>
    <row r="71" spans="2:13" x14ac:dyDescent="0.2">
      <c r="B71" s="328" t="s">
        <v>742</v>
      </c>
      <c r="C71" s="123" t="s">
        <v>574</v>
      </c>
      <c r="D71" s="83">
        <v>0.160577443962374</v>
      </c>
      <c r="E71" s="271">
        <f t="shared" si="21"/>
        <v>21070379.521262553</v>
      </c>
      <c r="F71" s="271">
        <f t="shared" si="22"/>
        <v>80656.412153221318</v>
      </c>
      <c r="G71" s="124">
        <f t="shared" si="23"/>
        <v>21151035.933415774</v>
      </c>
      <c r="H71" s="83"/>
      <c r="I71" s="271">
        <f t="shared" si="24"/>
        <v>0</v>
      </c>
      <c r="J71" s="271">
        <f t="shared" si="25"/>
        <v>0</v>
      </c>
      <c r="K71" s="124">
        <f t="shared" si="26"/>
        <v>0</v>
      </c>
      <c r="L71" s="200"/>
      <c r="M71" s="200"/>
    </row>
    <row r="72" spans="2:13" x14ac:dyDescent="0.2">
      <c r="B72" s="328" t="s">
        <v>742</v>
      </c>
      <c r="C72" s="203" t="s">
        <v>575</v>
      </c>
      <c r="D72" s="83">
        <v>1.1679608992112346E-3</v>
      </c>
      <c r="E72" s="271">
        <f t="shared" si="21"/>
        <v>153255.51836621703</v>
      </c>
      <c r="F72" s="271">
        <f t="shared" si="22"/>
        <v>586.65484604239793</v>
      </c>
      <c r="G72" s="124">
        <f t="shared" si="23"/>
        <v>153842.17321225943</v>
      </c>
      <c r="H72" s="83"/>
      <c r="I72" s="271">
        <f t="shared" si="24"/>
        <v>0</v>
      </c>
      <c r="J72" s="271">
        <f t="shared" si="25"/>
        <v>0</v>
      </c>
      <c r="K72" s="124">
        <f t="shared" si="26"/>
        <v>0</v>
      </c>
      <c r="L72" s="200"/>
      <c r="M72" s="200"/>
    </row>
    <row r="73" spans="2:13" x14ac:dyDescent="0.2">
      <c r="B73" s="328" t="s">
        <v>742</v>
      </c>
      <c r="C73" s="123" t="s">
        <v>662</v>
      </c>
      <c r="D73" s="83">
        <v>1.9074883526795993E-2</v>
      </c>
      <c r="E73" s="271">
        <f t="shared" si="21"/>
        <v>2502935.8128757249</v>
      </c>
      <c r="F73" s="271">
        <f t="shared" si="22"/>
        <v>9581.1194246711784</v>
      </c>
      <c r="G73" s="124">
        <f t="shared" si="23"/>
        <v>2512516.9323003963</v>
      </c>
      <c r="H73" s="83"/>
      <c r="I73" s="271">
        <f t="shared" si="24"/>
        <v>0</v>
      </c>
      <c r="J73" s="271">
        <f t="shared" si="25"/>
        <v>0</v>
      </c>
      <c r="K73" s="124">
        <f t="shared" si="26"/>
        <v>0</v>
      </c>
      <c r="L73" s="200"/>
      <c r="M73" s="200"/>
    </row>
    <row r="74" spans="2:13" x14ac:dyDescent="0.2">
      <c r="B74" s="328" t="s">
        <v>742</v>
      </c>
      <c r="C74" s="123" t="s">
        <v>577</v>
      </c>
      <c r="D74" s="83">
        <v>6.5214924648704731E-3</v>
      </c>
      <c r="E74" s="271">
        <f t="shared" si="21"/>
        <v>855726.17105595744</v>
      </c>
      <c r="F74" s="271">
        <f t="shared" si="22"/>
        <v>3275.6791434790225</v>
      </c>
      <c r="G74" s="124">
        <f t="shared" si="23"/>
        <v>859001.85019943642</v>
      </c>
      <c r="H74" s="83"/>
      <c r="I74" s="271">
        <f t="shared" si="24"/>
        <v>0</v>
      </c>
      <c r="J74" s="271">
        <f t="shared" si="25"/>
        <v>0</v>
      </c>
      <c r="K74" s="124">
        <f t="shared" si="26"/>
        <v>0</v>
      </c>
      <c r="L74" s="200"/>
      <c r="M74" s="200"/>
    </row>
    <row r="75" spans="2:13" x14ac:dyDescent="0.2">
      <c r="B75" s="328" t="s">
        <v>742</v>
      </c>
      <c r="C75" s="123" t="s">
        <v>578</v>
      </c>
      <c r="D75" s="83">
        <v>6.6730434935030559E-4</v>
      </c>
      <c r="E75" s="271">
        <f t="shared" si="21"/>
        <v>87561.213767325185</v>
      </c>
      <c r="F75" s="271">
        <f t="shared" si="22"/>
        <v>335.1801679284851</v>
      </c>
      <c r="G75" s="124">
        <f t="shared" si="23"/>
        <v>87896.393935253669</v>
      </c>
      <c r="H75" s="83"/>
      <c r="I75" s="271">
        <f t="shared" si="24"/>
        <v>0</v>
      </c>
      <c r="J75" s="271">
        <f t="shared" si="25"/>
        <v>0</v>
      </c>
      <c r="K75" s="124">
        <f t="shared" si="26"/>
        <v>0</v>
      </c>
      <c r="L75" s="200"/>
      <c r="M75" s="200"/>
    </row>
    <row r="76" spans="2:13" x14ac:dyDescent="0.2">
      <c r="B76" s="328" t="s">
        <v>742</v>
      </c>
      <c r="C76" s="123" t="s">
        <v>579</v>
      </c>
      <c r="D76" s="83">
        <v>1.2404866866130633E-3</v>
      </c>
      <c r="E76" s="271">
        <f t="shared" si="21"/>
        <v>162772.08450356944</v>
      </c>
      <c r="F76" s="271">
        <f t="shared" si="22"/>
        <v>623.08380926458926</v>
      </c>
      <c r="G76" s="124">
        <f t="shared" si="23"/>
        <v>163395.16831283402</v>
      </c>
      <c r="H76" s="83"/>
      <c r="I76" s="271">
        <f t="shared" si="24"/>
        <v>0</v>
      </c>
      <c r="J76" s="271">
        <f t="shared" si="25"/>
        <v>0</v>
      </c>
      <c r="K76" s="124">
        <f t="shared" si="26"/>
        <v>0</v>
      </c>
      <c r="L76" s="200"/>
      <c r="M76" s="200"/>
    </row>
    <row r="77" spans="2:13" x14ac:dyDescent="0.2">
      <c r="B77" s="328" t="s">
        <v>742</v>
      </c>
      <c r="C77" s="123" t="s">
        <v>519</v>
      </c>
      <c r="D77" s="83">
        <v>3.2184830702388575E-2</v>
      </c>
      <c r="E77" s="271">
        <f t="shared" si="21"/>
        <v>4223174.6937372582</v>
      </c>
      <c r="F77" s="271">
        <f t="shared" si="22"/>
        <v>16166.112164680928</v>
      </c>
      <c r="G77" s="124">
        <f t="shared" si="23"/>
        <v>4239340.805901939</v>
      </c>
      <c r="H77" s="83"/>
      <c r="I77" s="271">
        <f t="shared" si="24"/>
        <v>0</v>
      </c>
      <c r="J77" s="271">
        <f t="shared" si="25"/>
        <v>0</v>
      </c>
      <c r="K77" s="124">
        <f t="shared" si="26"/>
        <v>0</v>
      </c>
      <c r="L77" s="200"/>
      <c r="M77" s="200"/>
    </row>
    <row r="78" spans="2:13" x14ac:dyDescent="0.2">
      <c r="B78" s="329"/>
      <c r="C78" s="195" t="s">
        <v>453</v>
      </c>
      <c r="D78" s="129">
        <f>SUM(D68:D77)</f>
        <v>0.99999999999999989</v>
      </c>
      <c r="E78" s="125">
        <f>'2.1 Profit &amp; Loss by component'!D26+'2.1 Profit &amp; Loss by component'!D37</f>
        <v>131216309.0988028</v>
      </c>
      <c r="F78" s="126">
        <f>'2.1 Profit &amp; Loss by component'!E26+'2.1 Profit &amp; Loss by component'!E37</f>
        <v>502289.79963163735</v>
      </c>
      <c r="G78" s="125">
        <f>SUM(G68:G77)</f>
        <v>131718598.89843443</v>
      </c>
      <c r="H78" s="129">
        <f>SUM(H68:H77)</f>
        <v>0</v>
      </c>
      <c r="I78" s="125">
        <f>'2.1 Profit &amp; Loss by component'!G26+'2.1 Profit &amp; Loss by component'!G37</f>
        <v>0</v>
      </c>
      <c r="J78" s="125">
        <f>'2.1 Profit &amp; Loss by component'!H26+'2.1 Profit &amp; Loss by component'!H37</f>
        <v>0</v>
      </c>
      <c r="K78" s="125">
        <f>SUM(K68:K77)</f>
        <v>0</v>
      </c>
      <c r="L78" s="200"/>
      <c r="M78" s="200"/>
    </row>
    <row r="79" spans="2:13" x14ac:dyDescent="0.2">
      <c r="B79" s="330"/>
      <c r="C79" s="270" t="s">
        <v>469</v>
      </c>
      <c r="D79" s="122"/>
      <c r="E79" s="122"/>
      <c r="F79" s="122"/>
      <c r="G79" s="122"/>
      <c r="H79" s="122"/>
      <c r="I79" s="122"/>
      <c r="J79" s="122"/>
      <c r="K79" s="122"/>
      <c r="L79" s="200"/>
      <c r="M79" s="200"/>
    </row>
    <row r="80" spans="2:13" x14ac:dyDescent="0.2">
      <c r="B80" s="328" t="s">
        <v>742</v>
      </c>
      <c r="C80" s="123" t="s">
        <v>571</v>
      </c>
      <c r="D80" s="83">
        <v>0.77574545308039278</v>
      </c>
      <c r="E80" s="271">
        <f t="shared" ref="E80:E89" si="27">D80*$E$90</f>
        <v>41047884.755263194</v>
      </c>
      <c r="F80" s="271">
        <f t="shared" ref="F80:F89" si="28">D80*$F$90</f>
        <v>0</v>
      </c>
      <c r="G80" s="124">
        <f t="shared" ref="G80:G89" si="29">SUM(E80:F80)</f>
        <v>41047884.755263194</v>
      </c>
      <c r="H80" s="83"/>
      <c r="I80" s="271">
        <f t="shared" ref="I80:I89" si="30">H80*$I$90</f>
        <v>0</v>
      </c>
      <c r="J80" s="271">
        <f t="shared" ref="J80:J89" si="31">H80*$J$90</f>
        <v>0</v>
      </c>
      <c r="K80" s="124">
        <f t="shared" ref="K80:K89" si="32">SUM(I80:J80)</f>
        <v>0</v>
      </c>
      <c r="L80" s="200"/>
      <c r="M80" s="200"/>
    </row>
    <row r="81" spans="2:13" x14ac:dyDescent="0.2">
      <c r="B81" s="328" t="s">
        <v>742</v>
      </c>
      <c r="C81" s="123" t="s">
        <v>661</v>
      </c>
      <c r="D81" s="83">
        <v>0</v>
      </c>
      <c r="E81" s="271">
        <f t="shared" si="27"/>
        <v>0</v>
      </c>
      <c r="F81" s="271">
        <f t="shared" si="28"/>
        <v>0</v>
      </c>
      <c r="G81" s="124">
        <f t="shared" si="29"/>
        <v>0</v>
      </c>
      <c r="H81" s="83"/>
      <c r="I81" s="271">
        <f t="shared" si="30"/>
        <v>0</v>
      </c>
      <c r="J81" s="271">
        <f t="shared" si="31"/>
        <v>0</v>
      </c>
      <c r="K81" s="124">
        <f t="shared" si="32"/>
        <v>0</v>
      </c>
      <c r="L81" s="200"/>
      <c r="M81" s="200"/>
    </row>
    <row r="82" spans="2:13" x14ac:dyDescent="0.2">
      <c r="B82" s="328" t="s">
        <v>742</v>
      </c>
      <c r="C82" s="123" t="s">
        <v>573</v>
      </c>
      <c r="D82" s="83">
        <v>2.8201443280035936E-3</v>
      </c>
      <c r="E82" s="271">
        <f t="shared" si="27"/>
        <v>149225.44361610847</v>
      </c>
      <c r="F82" s="271">
        <f t="shared" si="28"/>
        <v>0</v>
      </c>
      <c r="G82" s="124">
        <f t="shared" si="29"/>
        <v>149225.44361610847</v>
      </c>
      <c r="H82" s="83"/>
      <c r="I82" s="271">
        <f t="shared" si="30"/>
        <v>0</v>
      </c>
      <c r="J82" s="271">
        <f t="shared" si="31"/>
        <v>0</v>
      </c>
      <c r="K82" s="124">
        <f t="shared" si="32"/>
        <v>0</v>
      </c>
      <c r="L82" s="200"/>
      <c r="M82" s="200"/>
    </row>
    <row r="83" spans="2:13" x14ac:dyDescent="0.2">
      <c r="B83" s="328" t="s">
        <v>742</v>
      </c>
      <c r="C83" s="123" t="s">
        <v>574</v>
      </c>
      <c r="D83" s="83">
        <v>0.160577443962374</v>
      </c>
      <c r="E83" s="271">
        <f t="shared" si="27"/>
        <v>8496813.4687592927</v>
      </c>
      <c r="F83" s="271">
        <f t="shared" si="28"/>
        <v>0</v>
      </c>
      <c r="G83" s="124">
        <f t="shared" si="29"/>
        <v>8496813.4687592927</v>
      </c>
      <c r="H83" s="83"/>
      <c r="I83" s="271">
        <f t="shared" si="30"/>
        <v>0</v>
      </c>
      <c r="J83" s="271">
        <f t="shared" si="31"/>
        <v>0</v>
      </c>
      <c r="K83" s="124">
        <f t="shared" si="32"/>
        <v>0</v>
      </c>
      <c r="L83" s="200"/>
      <c r="M83" s="200"/>
    </row>
    <row r="84" spans="2:13" x14ac:dyDescent="0.2">
      <c r="B84" s="328" t="s">
        <v>742</v>
      </c>
      <c r="C84" s="203" t="s">
        <v>575</v>
      </c>
      <c r="D84" s="83">
        <v>1.1679608992112346E-3</v>
      </c>
      <c r="E84" s="271">
        <f t="shared" si="27"/>
        <v>61801.6183003111</v>
      </c>
      <c r="F84" s="271">
        <f t="shared" si="28"/>
        <v>0</v>
      </c>
      <c r="G84" s="124">
        <f t="shared" si="29"/>
        <v>61801.6183003111</v>
      </c>
      <c r="H84" s="83"/>
      <c r="I84" s="271">
        <f t="shared" si="30"/>
        <v>0</v>
      </c>
      <c r="J84" s="271">
        <f t="shared" si="31"/>
        <v>0</v>
      </c>
      <c r="K84" s="124">
        <f t="shared" si="32"/>
        <v>0</v>
      </c>
      <c r="L84" s="200"/>
      <c r="M84" s="200"/>
    </row>
    <row r="85" spans="2:13" x14ac:dyDescent="0.2">
      <c r="B85" s="328" t="s">
        <v>742</v>
      </c>
      <c r="C85" s="123" t="s">
        <v>662</v>
      </c>
      <c r="D85" s="83">
        <v>1.9074883526795993E-2</v>
      </c>
      <c r="E85" s="271">
        <f t="shared" si="27"/>
        <v>1009330.5962914196</v>
      </c>
      <c r="F85" s="271">
        <f t="shared" si="28"/>
        <v>0</v>
      </c>
      <c r="G85" s="124">
        <f t="shared" si="29"/>
        <v>1009330.5962914196</v>
      </c>
      <c r="H85" s="83"/>
      <c r="I85" s="271">
        <f t="shared" si="30"/>
        <v>0</v>
      </c>
      <c r="J85" s="271">
        <f t="shared" si="31"/>
        <v>0</v>
      </c>
      <c r="K85" s="124">
        <f t="shared" si="32"/>
        <v>0</v>
      </c>
      <c r="L85" s="200"/>
      <c r="M85" s="200"/>
    </row>
    <row r="86" spans="2:13" x14ac:dyDescent="0.2">
      <c r="B86" s="328" t="s">
        <v>742</v>
      </c>
      <c r="C86" s="123" t="s">
        <v>577</v>
      </c>
      <c r="D86" s="83">
        <v>6.5214924648704731E-3</v>
      </c>
      <c r="E86" s="271">
        <f t="shared" si="27"/>
        <v>345079.00764012424</v>
      </c>
      <c r="F86" s="271">
        <f t="shared" si="28"/>
        <v>0</v>
      </c>
      <c r="G86" s="124">
        <f t="shared" si="29"/>
        <v>345079.00764012424</v>
      </c>
      <c r="H86" s="83"/>
      <c r="I86" s="271">
        <f t="shared" si="30"/>
        <v>0</v>
      </c>
      <c r="J86" s="271">
        <f t="shared" si="31"/>
        <v>0</v>
      </c>
      <c r="K86" s="124">
        <f t="shared" si="32"/>
        <v>0</v>
      </c>
      <c r="L86" s="200"/>
      <c r="M86" s="200"/>
    </row>
    <row r="87" spans="2:13" x14ac:dyDescent="0.2">
      <c r="B87" s="328" t="s">
        <v>742</v>
      </c>
      <c r="C87" s="123" t="s">
        <v>578</v>
      </c>
      <c r="D87" s="83">
        <v>6.6730434935030559E-4</v>
      </c>
      <c r="E87" s="271">
        <f t="shared" si="27"/>
        <v>35309.819632263549</v>
      </c>
      <c r="F87" s="271">
        <f t="shared" si="28"/>
        <v>0</v>
      </c>
      <c r="G87" s="124">
        <f t="shared" si="29"/>
        <v>35309.819632263549</v>
      </c>
      <c r="H87" s="83"/>
      <c r="I87" s="271">
        <f t="shared" si="30"/>
        <v>0</v>
      </c>
      <c r="J87" s="271">
        <f t="shared" si="31"/>
        <v>0</v>
      </c>
      <c r="K87" s="124">
        <f t="shared" si="32"/>
        <v>0</v>
      </c>
      <c r="L87" s="200"/>
      <c r="M87" s="200"/>
    </row>
    <row r="88" spans="2:13" x14ac:dyDescent="0.2">
      <c r="B88" s="328" t="s">
        <v>742</v>
      </c>
      <c r="C88" s="123" t="s">
        <v>579</v>
      </c>
      <c r="D88" s="83">
        <v>1.2404866866130633E-3</v>
      </c>
      <c r="E88" s="271">
        <f t="shared" si="27"/>
        <v>65639.256215214191</v>
      </c>
      <c r="F88" s="271">
        <f t="shared" si="28"/>
        <v>0</v>
      </c>
      <c r="G88" s="124">
        <f t="shared" si="29"/>
        <v>65639.256215214191</v>
      </c>
      <c r="H88" s="83"/>
      <c r="I88" s="271">
        <f t="shared" si="30"/>
        <v>0</v>
      </c>
      <c r="J88" s="271">
        <f t="shared" si="31"/>
        <v>0</v>
      </c>
      <c r="K88" s="124">
        <f t="shared" si="32"/>
        <v>0</v>
      </c>
      <c r="L88" s="200"/>
      <c r="M88" s="200"/>
    </row>
    <row r="89" spans="2:13" x14ac:dyDescent="0.2">
      <c r="B89" s="328" t="s">
        <v>742</v>
      </c>
      <c r="C89" s="123" t="s">
        <v>519</v>
      </c>
      <c r="D89" s="83">
        <v>3.2184830702388575E-2</v>
      </c>
      <c r="E89" s="271">
        <f t="shared" si="27"/>
        <v>1703031.8596045852</v>
      </c>
      <c r="F89" s="271">
        <f t="shared" si="28"/>
        <v>0</v>
      </c>
      <c r="G89" s="124">
        <f t="shared" si="29"/>
        <v>1703031.8596045852</v>
      </c>
      <c r="H89" s="83"/>
      <c r="I89" s="271">
        <f t="shared" si="30"/>
        <v>0</v>
      </c>
      <c r="J89" s="271">
        <f t="shared" si="31"/>
        <v>0</v>
      </c>
      <c r="K89" s="124">
        <f t="shared" si="32"/>
        <v>0</v>
      </c>
      <c r="L89" s="200"/>
      <c r="M89" s="200"/>
    </row>
    <row r="90" spans="2:13" x14ac:dyDescent="0.2">
      <c r="B90" s="296"/>
      <c r="C90" s="195" t="s">
        <v>470</v>
      </c>
      <c r="D90" s="129">
        <f>SUM(D80:D89)</f>
        <v>0.99999999999999989</v>
      </c>
      <c r="E90" s="125">
        <f>'2.1 Profit &amp; Loss by component'!D43-'2.1 Profit &amp; Loss by component'!D37</f>
        <v>52914115.825322516</v>
      </c>
      <c r="F90" s="125">
        <f>'2.1 Profit &amp; Loss by component'!E43-'2.1 Profit &amp; Loss by component'!E37</f>
        <v>0</v>
      </c>
      <c r="G90" s="125">
        <f>SUM(G80:G89)</f>
        <v>52914115.825322509</v>
      </c>
      <c r="H90" s="129">
        <f>SUM(H80:H89)</f>
        <v>0</v>
      </c>
      <c r="I90" s="125">
        <f>'2.1 Profit &amp; Loss by component'!G43-'2.1 Profit &amp; Loss by component'!G37</f>
        <v>0</v>
      </c>
      <c r="J90" s="125">
        <f>'2.1 Profit &amp; Loss by component'!H43-'2.1 Profit &amp; Loss by component'!H37</f>
        <v>0</v>
      </c>
      <c r="K90" s="125">
        <f>SUM(K80:K89)</f>
        <v>0</v>
      </c>
      <c r="L90" s="200"/>
      <c r="M90" s="200"/>
    </row>
    <row r="91" spans="2:13" ht="14.25" x14ac:dyDescent="0.2">
      <c r="B91" s="296"/>
      <c r="C91" s="195" t="s">
        <v>465</v>
      </c>
      <c r="D91" s="273"/>
      <c r="E91" s="125">
        <f>E90+E78+E66</f>
        <v>250394148.91070318</v>
      </c>
      <c r="F91" s="125">
        <f>F90+F78+F66</f>
        <v>769475.22305377724</v>
      </c>
      <c r="G91" s="125">
        <f>G90+G78+G66</f>
        <v>251163624.13375694</v>
      </c>
      <c r="H91" s="273"/>
      <c r="I91" s="125">
        <f>I90+I78+I66</f>
        <v>0</v>
      </c>
      <c r="J91" s="125">
        <f>J90+J78+J66</f>
        <v>0</v>
      </c>
      <c r="K91" s="125">
        <f>K90+K78+K66</f>
        <v>0</v>
      </c>
      <c r="L91" s="200"/>
      <c r="M91" s="200"/>
    </row>
    <row r="92" spans="2:13" x14ac:dyDescent="0.2">
      <c r="B92" s="200"/>
      <c r="C92" s="200"/>
      <c r="D92" s="200"/>
      <c r="E92" s="200"/>
      <c r="F92" s="200"/>
      <c r="G92" s="200"/>
      <c r="H92" s="200"/>
      <c r="I92" s="200"/>
      <c r="J92" s="200"/>
      <c r="K92" s="200"/>
      <c r="L92" s="200"/>
      <c r="M92" s="200"/>
    </row>
    <row r="93" spans="2:13" x14ac:dyDescent="0.2">
      <c r="B93" s="200"/>
      <c r="C93" s="200"/>
      <c r="D93" s="200"/>
      <c r="E93" s="200"/>
      <c r="F93" s="200"/>
      <c r="G93" s="200"/>
      <c r="H93" s="200"/>
      <c r="I93" s="200"/>
      <c r="J93" s="200"/>
      <c r="K93" s="200"/>
      <c r="L93" s="200"/>
      <c r="M93" s="200"/>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&amp;C_x000D_&amp;1#&amp;"Aptos"&amp;10&amp;K008000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7E6D5-3B85-4E33-BB14-F8C2A6CB72B6}">
  <sheetPr codeName="Sheet8">
    <tabColor rgb="FF17415D"/>
  </sheetPr>
  <dimension ref="B1:J2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37.5703125" style="4" customWidth="1"/>
    <col min="3" max="3" width="42.7109375" style="4" customWidth="1"/>
    <col min="4" max="5" width="27.28515625" style="4" customWidth="1"/>
    <col min="6" max="6" width="18.42578125" style="4" customWidth="1"/>
    <col min="7" max="7" width="6.7109375" style="4" customWidth="1"/>
    <col min="8" max="10" width="19.7109375" style="4" customWidth="1"/>
    <col min="11" max="11" width="18.28515625" style="4" customWidth="1"/>
    <col min="12" max="16384" width="9.28515625" style="4"/>
  </cols>
  <sheetData>
    <row r="1" spans="2:10" ht="20.25" customHeight="1" x14ac:dyDescent="0.3">
      <c r="B1" s="145" t="s">
        <v>510</v>
      </c>
      <c r="C1" s="145"/>
      <c r="D1" s="213"/>
      <c r="E1" s="213"/>
      <c r="F1" s="213"/>
      <c r="G1" s="213"/>
      <c r="H1" s="213"/>
      <c r="I1" s="213"/>
      <c r="J1" s="213"/>
    </row>
    <row r="2" spans="2:10" ht="20.25" customHeight="1" x14ac:dyDescent="0.2">
      <c r="B2" s="145" t="str">
        <f>IF(Tradingname=0," ",Tradingname)</f>
        <v>EAST AUSTRALIAN PIPELINE PTY LIMITED</v>
      </c>
      <c r="C2" s="145"/>
    </row>
    <row r="3" spans="2:10" ht="20.25" customHeight="1" x14ac:dyDescent="0.45">
      <c r="B3" s="145" t="s">
        <v>110</v>
      </c>
      <c r="C3" s="110">
        <f>IF(Yearending=0, "01/01/2000", Yearending)</f>
        <v>45838</v>
      </c>
      <c r="F3" s="252"/>
    </row>
    <row r="4" spans="2:10" ht="20.25" x14ac:dyDescent="0.2">
      <c r="B4" s="102" t="s">
        <v>407</v>
      </c>
      <c r="C4" s="102"/>
    </row>
    <row r="6" spans="2:10" ht="20.25" x14ac:dyDescent="0.3">
      <c r="B6" s="253"/>
      <c r="G6" s="254"/>
      <c r="H6" s="255"/>
      <c r="I6" s="256"/>
      <c r="J6" s="256"/>
    </row>
    <row r="7" spans="2:10" ht="15.75" x14ac:dyDescent="0.25">
      <c r="B7" s="223" t="s">
        <v>476</v>
      </c>
    </row>
    <row r="8" spans="2:10" ht="13.9" customHeight="1" x14ac:dyDescent="0.2">
      <c r="B8" s="224"/>
      <c r="C8" s="225"/>
      <c r="D8" s="225"/>
      <c r="E8" s="225"/>
    </row>
    <row r="9" spans="2:10" ht="13.9" customHeight="1" x14ac:dyDescent="0.2">
      <c r="B9" s="46" t="s">
        <v>13</v>
      </c>
      <c r="C9" s="41" t="s">
        <v>41</v>
      </c>
      <c r="D9" s="41" t="s">
        <v>42</v>
      </c>
      <c r="E9" s="41" t="s">
        <v>18</v>
      </c>
      <c r="F9" s="225"/>
    </row>
    <row r="10" spans="2:10" ht="13.9" customHeight="1" x14ac:dyDescent="0.2">
      <c r="B10" s="40"/>
      <c r="C10" s="42" t="s">
        <v>111</v>
      </c>
      <c r="D10" s="42" t="s">
        <v>111</v>
      </c>
      <c r="E10" s="42" t="s">
        <v>111</v>
      </c>
    </row>
    <row r="11" spans="2:10" ht="13.9" customHeight="1" x14ac:dyDescent="0.2">
      <c r="B11" s="78" t="s">
        <v>758</v>
      </c>
      <c r="C11" s="79">
        <v>0</v>
      </c>
      <c r="D11" s="79"/>
      <c r="E11" s="22">
        <f t="shared" ref="E11:E17" si="0">SUM(C11:D11)</f>
        <v>0</v>
      </c>
    </row>
    <row r="12" spans="2:10" ht="13.9" customHeight="1" x14ac:dyDescent="0.2">
      <c r="B12" s="78"/>
      <c r="C12" s="79"/>
      <c r="D12" s="79"/>
      <c r="E12" s="22">
        <f t="shared" si="0"/>
        <v>0</v>
      </c>
    </row>
    <row r="13" spans="2:10" ht="13.9" customHeight="1" x14ac:dyDescent="0.2">
      <c r="B13" s="78"/>
      <c r="C13" s="79"/>
      <c r="D13" s="79"/>
      <c r="E13" s="22">
        <f t="shared" si="0"/>
        <v>0</v>
      </c>
    </row>
    <row r="14" spans="2:10" ht="13.9"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6" t="s">
        <v>18</v>
      </c>
      <c r="C17" s="22">
        <f>SUM(C11:C16)</f>
        <v>0</v>
      </c>
      <c r="D17" s="22">
        <f>SUM(D11:D16)</f>
        <v>0</v>
      </c>
      <c r="E17" s="22">
        <f t="shared" si="0"/>
        <v>0</v>
      </c>
    </row>
    <row r="18" spans="2:6" ht="19.5" customHeight="1" x14ac:dyDescent="0.2"/>
    <row r="19" spans="2:6" ht="15.75" x14ac:dyDescent="0.25">
      <c r="B19" s="223" t="s">
        <v>477</v>
      </c>
    </row>
    <row r="20" spans="2:6" x14ac:dyDescent="0.2">
      <c r="B20" s="224"/>
      <c r="C20" s="225"/>
      <c r="D20" s="225"/>
      <c r="E20" s="225"/>
    </row>
    <row r="21" spans="2:6" x14ac:dyDescent="0.2">
      <c r="B21" s="40" t="s">
        <v>83</v>
      </c>
      <c r="C21" s="47" t="s">
        <v>13</v>
      </c>
      <c r="D21" s="41" t="s">
        <v>18</v>
      </c>
      <c r="F21" s="225"/>
    </row>
    <row r="22" spans="2:6" x14ac:dyDescent="0.2">
      <c r="B22" s="40"/>
      <c r="C22" s="42"/>
      <c r="D22" s="42" t="s">
        <v>111</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15" t="s">
        <v>82</v>
      </c>
      <c r="C29" s="416"/>
      <c r="D29" s="22">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&amp;C_x000D_&amp;1#&amp;"Aptos"&amp;10&amp;K008000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C0C8-C16F-4536-A4A7-0F4FA2555FD2}">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2.42578125" style="214" customWidth="1"/>
    <col min="2" max="2" width="22.5703125" style="214" customWidth="1"/>
    <col min="3" max="3" width="42.28515625" style="214" customWidth="1"/>
    <col min="4" max="4" width="26.7109375" style="214" customWidth="1"/>
    <col min="5" max="5" width="22.5703125" style="214" customWidth="1"/>
    <col min="6" max="6" width="20.5703125" style="214" customWidth="1"/>
    <col min="7" max="8" width="22.5703125" style="214" customWidth="1"/>
    <col min="9" max="9" width="35.28515625" style="214" customWidth="1"/>
    <col min="10" max="10" width="25.28515625" style="214" customWidth="1"/>
    <col min="11" max="16384" width="9.28515625" style="214"/>
  </cols>
  <sheetData>
    <row r="1" spans="2:9" ht="20.25" customHeight="1" x14ac:dyDescent="0.3">
      <c r="B1" s="145" t="s">
        <v>510</v>
      </c>
      <c r="C1" s="145"/>
      <c r="D1" s="213"/>
      <c r="E1" s="213"/>
      <c r="F1" s="213"/>
      <c r="G1" s="213"/>
      <c r="H1" s="213"/>
    </row>
    <row r="2" spans="2:9" ht="20.25" customHeight="1" x14ac:dyDescent="0.3">
      <c r="B2" s="145" t="str">
        <f>IF(Tradingname=0," ",Tradingname)</f>
        <v>EAST AUSTRALIAN PIPELINE PTY LIMITED</v>
      </c>
      <c r="C2" s="145"/>
      <c r="H2" s="215"/>
    </row>
    <row r="3" spans="2:9" ht="20.25" customHeight="1" x14ac:dyDescent="0.3">
      <c r="B3" s="145" t="s">
        <v>110</v>
      </c>
      <c r="C3" s="110">
        <f>IF(Yearending=0, "01/01/2000", Yearending)</f>
        <v>45838</v>
      </c>
    </row>
    <row r="4" spans="2:9" ht="20.25" x14ac:dyDescent="0.2">
      <c r="B4" s="102" t="s">
        <v>116</v>
      </c>
      <c r="C4" s="102"/>
    </row>
    <row r="6" spans="2:9" x14ac:dyDescent="0.2">
      <c r="B6" s="417" t="s">
        <v>507</v>
      </c>
      <c r="C6" s="417"/>
      <c r="D6" s="417"/>
    </row>
    <row r="7" spans="2:9" ht="15.75" customHeight="1" x14ac:dyDescent="0.2">
      <c r="B7" s="417"/>
      <c r="C7" s="417"/>
      <c r="D7" s="417"/>
    </row>
    <row r="8" spans="2:9" ht="15.75" customHeight="1" x14ac:dyDescent="0.2">
      <c r="B8" s="417"/>
      <c r="C8" s="417"/>
      <c r="D8" s="417"/>
    </row>
    <row r="11" spans="2:9" s="274" customFormat="1" ht="15.75" x14ac:dyDescent="0.25">
      <c r="B11" s="216" t="s">
        <v>478</v>
      </c>
      <c r="C11" s="217"/>
      <c r="D11" s="217"/>
      <c r="E11" s="217"/>
      <c r="F11" s="220"/>
      <c r="G11" s="217"/>
      <c r="H11" s="217"/>
      <c r="I11" s="214"/>
    </row>
    <row r="12" spans="2:9" s="274" customFormat="1" ht="15.75" x14ac:dyDescent="0.25">
      <c r="B12" s="216"/>
      <c r="C12" s="217"/>
      <c r="D12" s="217"/>
      <c r="E12" s="217"/>
      <c r="F12" s="220"/>
      <c r="G12" s="217"/>
      <c r="H12" s="217"/>
      <c r="I12" s="214"/>
    </row>
    <row r="13" spans="2:9" ht="38.25" x14ac:dyDescent="0.2">
      <c r="B13" s="48" t="s">
        <v>515</v>
      </c>
      <c r="C13" s="48" t="s">
        <v>114</v>
      </c>
      <c r="D13" s="60" t="s">
        <v>128</v>
      </c>
      <c r="E13" s="60" t="s">
        <v>390</v>
      </c>
      <c r="F13" s="60" t="s">
        <v>47</v>
      </c>
      <c r="G13" s="60" t="s">
        <v>62</v>
      </c>
      <c r="H13" s="60" t="s">
        <v>63</v>
      </c>
      <c r="I13" s="60" t="s">
        <v>401</v>
      </c>
    </row>
    <row r="14" spans="2:9" x14ac:dyDescent="0.2">
      <c r="B14" s="100"/>
      <c r="C14" s="48" t="s">
        <v>115</v>
      </c>
      <c r="D14" s="64" t="s">
        <v>111</v>
      </c>
      <c r="E14" s="64" t="s">
        <v>111</v>
      </c>
      <c r="F14" s="64"/>
      <c r="G14" s="64" t="s">
        <v>111</v>
      </c>
      <c r="H14" s="64" t="s">
        <v>111</v>
      </c>
      <c r="I14" s="64" t="s">
        <v>111</v>
      </c>
    </row>
    <row r="15" spans="2:9" x14ac:dyDescent="0.2">
      <c r="B15" s="331" t="s">
        <v>743</v>
      </c>
      <c r="C15" s="81"/>
      <c r="D15" s="82">
        <v>0</v>
      </c>
      <c r="E15" s="82"/>
      <c r="F15" s="83"/>
      <c r="G15" s="21">
        <f>D15*F15</f>
        <v>0</v>
      </c>
      <c r="H15" s="21">
        <f t="shared" ref="H15:H41" si="0">E15*F15</f>
        <v>0</v>
      </c>
      <c r="I15" s="101">
        <f t="shared" ref="I15:I41" si="1">G15+H15</f>
        <v>0</v>
      </c>
    </row>
    <row r="16" spans="2:9" x14ac:dyDescent="0.2">
      <c r="B16" s="297"/>
      <c r="C16" s="81"/>
      <c r="D16" s="82"/>
      <c r="E16" s="82"/>
      <c r="F16" s="83"/>
      <c r="G16" s="21">
        <f>D16*F16</f>
        <v>0</v>
      </c>
      <c r="H16" s="21">
        <f t="shared" si="0"/>
        <v>0</v>
      </c>
      <c r="I16" s="101">
        <f t="shared" si="1"/>
        <v>0</v>
      </c>
    </row>
    <row r="17" spans="2:9" x14ac:dyDescent="0.2">
      <c r="B17" s="297"/>
      <c r="C17" s="81"/>
      <c r="D17" s="82"/>
      <c r="E17" s="82"/>
      <c r="F17" s="83"/>
      <c r="G17" s="21">
        <f>D17*F17</f>
        <v>0</v>
      </c>
      <c r="H17" s="21">
        <f t="shared" si="0"/>
        <v>0</v>
      </c>
      <c r="I17" s="101">
        <f t="shared" si="1"/>
        <v>0</v>
      </c>
    </row>
    <row r="18" spans="2:9" x14ac:dyDescent="0.2">
      <c r="B18" s="297"/>
      <c r="C18" s="81"/>
      <c r="D18" s="82"/>
      <c r="E18" s="82"/>
      <c r="F18" s="83"/>
      <c r="G18" s="21">
        <f>D18*F18</f>
        <v>0</v>
      </c>
      <c r="H18" s="101">
        <f t="shared" si="0"/>
        <v>0</v>
      </c>
      <c r="I18" s="101">
        <f t="shared" si="1"/>
        <v>0</v>
      </c>
    </row>
    <row r="19" spans="2:9" x14ac:dyDescent="0.2">
      <c r="B19" s="297"/>
      <c r="C19" s="81"/>
      <c r="D19" s="82"/>
      <c r="E19" s="82"/>
      <c r="F19" s="83"/>
      <c r="G19" s="21">
        <f t="shared" ref="G19:G41" si="2">D19*F19</f>
        <v>0</v>
      </c>
      <c r="H19" s="21">
        <f t="shared" si="0"/>
        <v>0</v>
      </c>
      <c r="I19" s="101">
        <f t="shared" si="1"/>
        <v>0</v>
      </c>
    </row>
    <row r="20" spans="2:9" x14ac:dyDescent="0.2">
      <c r="B20" s="297"/>
      <c r="C20" s="81"/>
      <c r="D20" s="82"/>
      <c r="E20" s="82"/>
      <c r="F20" s="83"/>
      <c r="G20" s="21">
        <f t="shared" si="2"/>
        <v>0</v>
      </c>
      <c r="H20" s="21">
        <f t="shared" si="0"/>
        <v>0</v>
      </c>
      <c r="I20" s="101">
        <f t="shared" si="1"/>
        <v>0</v>
      </c>
    </row>
    <row r="21" spans="2:9" x14ac:dyDescent="0.2">
      <c r="B21" s="297"/>
      <c r="C21" s="81"/>
      <c r="D21" s="82"/>
      <c r="E21" s="82"/>
      <c r="F21" s="83"/>
      <c r="G21" s="21">
        <f t="shared" si="2"/>
        <v>0</v>
      </c>
      <c r="H21" s="21">
        <f t="shared" si="0"/>
        <v>0</v>
      </c>
      <c r="I21" s="101">
        <f t="shared" si="1"/>
        <v>0</v>
      </c>
    </row>
    <row r="22" spans="2:9" x14ac:dyDescent="0.2">
      <c r="B22" s="297"/>
      <c r="C22" s="81"/>
      <c r="D22" s="82"/>
      <c r="E22" s="82"/>
      <c r="F22" s="83"/>
      <c r="G22" s="21">
        <f t="shared" si="2"/>
        <v>0</v>
      </c>
      <c r="H22" s="21">
        <f t="shared" si="0"/>
        <v>0</v>
      </c>
      <c r="I22" s="101">
        <f t="shared" si="1"/>
        <v>0</v>
      </c>
    </row>
    <row r="23" spans="2:9" x14ac:dyDescent="0.2">
      <c r="B23" s="297"/>
      <c r="C23" s="81"/>
      <c r="D23" s="82"/>
      <c r="E23" s="82"/>
      <c r="F23" s="83"/>
      <c r="G23" s="21">
        <f t="shared" si="2"/>
        <v>0</v>
      </c>
      <c r="H23" s="21">
        <f t="shared" si="0"/>
        <v>0</v>
      </c>
      <c r="I23" s="101">
        <f t="shared" si="1"/>
        <v>0</v>
      </c>
    </row>
    <row r="24" spans="2:9" x14ac:dyDescent="0.2">
      <c r="B24" s="297"/>
      <c r="C24" s="81"/>
      <c r="D24" s="82"/>
      <c r="E24" s="82"/>
      <c r="F24" s="83"/>
      <c r="G24" s="21">
        <f t="shared" si="2"/>
        <v>0</v>
      </c>
      <c r="H24" s="21">
        <f t="shared" si="0"/>
        <v>0</v>
      </c>
      <c r="I24" s="101">
        <f t="shared" si="1"/>
        <v>0</v>
      </c>
    </row>
    <row r="25" spans="2:9" x14ac:dyDescent="0.2">
      <c r="B25" s="297"/>
      <c r="C25" s="81"/>
      <c r="D25" s="82"/>
      <c r="E25" s="82"/>
      <c r="F25" s="83"/>
      <c r="G25" s="21">
        <f t="shared" si="2"/>
        <v>0</v>
      </c>
      <c r="H25" s="21">
        <f t="shared" si="0"/>
        <v>0</v>
      </c>
      <c r="I25" s="101">
        <f t="shared" si="1"/>
        <v>0</v>
      </c>
    </row>
    <row r="26" spans="2:9" x14ac:dyDescent="0.2">
      <c r="B26" s="297"/>
      <c r="C26" s="81"/>
      <c r="D26" s="82"/>
      <c r="E26" s="82"/>
      <c r="F26" s="83"/>
      <c r="G26" s="21">
        <f t="shared" si="2"/>
        <v>0</v>
      </c>
      <c r="H26" s="21">
        <f t="shared" si="0"/>
        <v>0</v>
      </c>
      <c r="I26" s="101">
        <f t="shared" si="1"/>
        <v>0</v>
      </c>
    </row>
    <row r="27" spans="2:9" x14ac:dyDescent="0.2">
      <c r="B27" s="297"/>
      <c r="C27" s="81"/>
      <c r="D27" s="82"/>
      <c r="E27" s="82"/>
      <c r="F27" s="83"/>
      <c r="G27" s="21">
        <f t="shared" si="2"/>
        <v>0</v>
      </c>
      <c r="H27" s="21">
        <f t="shared" si="0"/>
        <v>0</v>
      </c>
      <c r="I27" s="101">
        <f t="shared" si="1"/>
        <v>0</v>
      </c>
    </row>
    <row r="28" spans="2:9" x14ac:dyDescent="0.2">
      <c r="B28" s="297"/>
      <c r="C28" s="81"/>
      <c r="D28" s="82"/>
      <c r="E28" s="82"/>
      <c r="F28" s="83"/>
      <c r="G28" s="21">
        <f t="shared" si="2"/>
        <v>0</v>
      </c>
      <c r="H28" s="21">
        <f t="shared" si="0"/>
        <v>0</v>
      </c>
      <c r="I28" s="101">
        <f t="shared" si="1"/>
        <v>0</v>
      </c>
    </row>
    <row r="29" spans="2:9" x14ac:dyDescent="0.2">
      <c r="B29" s="297"/>
      <c r="C29" s="81"/>
      <c r="D29" s="82"/>
      <c r="E29" s="82"/>
      <c r="F29" s="83"/>
      <c r="G29" s="21">
        <f t="shared" si="2"/>
        <v>0</v>
      </c>
      <c r="H29" s="21">
        <f t="shared" si="0"/>
        <v>0</v>
      </c>
      <c r="I29" s="101">
        <f t="shared" si="1"/>
        <v>0</v>
      </c>
    </row>
    <row r="30" spans="2:9" x14ac:dyDescent="0.2">
      <c r="B30" s="297"/>
      <c r="C30" s="81"/>
      <c r="D30" s="82"/>
      <c r="E30" s="82"/>
      <c r="F30" s="83"/>
      <c r="G30" s="21">
        <f t="shared" si="2"/>
        <v>0</v>
      </c>
      <c r="H30" s="21">
        <f t="shared" si="0"/>
        <v>0</v>
      </c>
      <c r="I30" s="101">
        <f t="shared" si="1"/>
        <v>0</v>
      </c>
    </row>
    <row r="31" spans="2:9" x14ac:dyDescent="0.2">
      <c r="B31" s="297"/>
      <c r="C31" s="81"/>
      <c r="D31" s="82"/>
      <c r="E31" s="82"/>
      <c r="F31" s="83"/>
      <c r="G31" s="21">
        <f t="shared" si="2"/>
        <v>0</v>
      </c>
      <c r="H31" s="21">
        <f t="shared" si="0"/>
        <v>0</v>
      </c>
      <c r="I31" s="101">
        <f t="shared" si="1"/>
        <v>0</v>
      </c>
    </row>
    <row r="32" spans="2:9" x14ac:dyDescent="0.2">
      <c r="B32" s="297"/>
      <c r="C32" s="81"/>
      <c r="D32" s="82"/>
      <c r="E32" s="82"/>
      <c r="F32" s="83"/>
      <c r="G32" s="21">
        <f t="shared" si="2"/>
        <v>0</v>
      </c>
      <c r="H32" s="21">
        <f t="shared" si="0"/>
        <v>0</v>
      </c>
      <c r="I32" s="101">
        <f t="shared" si="1"/>
        <v>0</v>
      </c>
    </row>
    <row r="33" spans="2:9" x14ac:dyDescent="0.2">
      <c r="B33" s="297"/>
      <c r="C33" s="81"/>
      <c r="D33" s="82"/>
      <c r="E33" s="82"/>
      <c r="F33" s="83"/>
      <c r="G33" s="21">
        <f t="shared" si="2"/>
        <v>0</v>
      </c>
      <c r="H33" s="21">
        <f t="shared" si="0"/>
        <v>0</v>
      </c>
      <c r="I33" s="101">
        <f t="shared" si="1"/>
        <v>0</v>
      </c>
    </row>
    <row r="34" spans="2:9" x14ac:dyDescent="0.2">
      <c r="B34" s="297"/>
      <c r="C34" s="81"/>
      <c r="D34" s="82"/>
      <c r="E34" s="82"/>
      <c r="F34" s="83"/>
      <c r="G34" s="21">
        <f t="shared" si="2"/>
        <v>0</v>
      </c>
      <c r="H34" s="21">
        <f t="shared" si="0"/>
        <v>0</v>
      </c>
      <c r="I34" s="101">
        <f t="shared" si="1"/>
        <v>0</v>
      </c>
    </row>
    <row r="35" spans="2:9" x14ac:dyDescent="0.2">
      <c r="B35" s="297"/>
      <c r="C35" s="81"/>
      <c r="D35" s="82"/>
      <c r="E35" s="82"/>
      <c r="F35" s="83"/>
      <c r="G35" s="21">
        <f t="shared" si="2"/>
        <v>0</v>
      </c>
      <c r="H35" s="21">
        <f t="shared" si="0"/>
        <v>0</v>
      </c>
      <c r="I35" s="101">
        <f t="shared" si="1"/>
        <v>0</v>
      </c>
    </row>
    <row r="36" spans="2:9" x14ac:dyDescent="0.2">
      <c r="B36" s="297"/>
      <c r="C36" s="81"/>
      <c r="D36" s="82"/>
      <c r="E36" s="82"/>
      <c r="F36" s="83"/>
      <c r="G36" s="21">
        <f t="shared" si="2"/>
        <v>0</v>
      </c>
      <c r="H36" s="21">
        <f t="shared" si="0"/>
        <v>0</v>
      </c>
      <c r="I36" s="101">
        <f t="shared" si="1"/>
        <v>0</v>
      </c>
    </row>
    <row r="37" spans="2:9" x14ac:dyDescent="0.2">
      <c r="B37" s="297"/>
      <c r="C37" s="81"/>
      <c r="D37" s="82"/>
      <c r="E37" s="82"/>
      <c r="F37" s="83"/>
      <c r="G37" s="21">
        <f t="shared" si="2"/>
        <v>0</v>
      </c>
      <c r="H37" s="21">
        <f t="shared" si="0"/>
        <v>0</v>
      </c>
      <c r="I37" s="101">
        <f t="shared" si="1"/>
        <v>0</v>
      </c>
    </row>
    <row r="38" spans="2:9" x14ac:dyDescent="0.2">
      <c r="B38" s="297"/>
      <c r="C38" s="81"/>
      <c r="D38" s="82"/>
      <c r="E38" s="82"/>
      <c r="F38" s="83"/>
      <c r="G38" s="21">
        <f t="shared" si="2"/>
        <v>0</v>
      </c>
      <c r="H38" s="21">
        <f t="shared" si="0"/>
        <v>0</v>
      </c>
      <c r="I38" s="101">
        <f t="shared" si="1"/>
        <v>0</v>
      </c>
    </row>
    <row r="39" spans="2:9" x14ac:dyDescent="0.2">
      <c r="B39" s="297"/>
      <c r="C39" s="81"/>
      <c r="D39" s="82"/>
      <c r="E39" s="82"/>
      <c r="F39" s="83"/>
      <c r="G39" s="21">
        <f t="shared" si="2"/>
        <v>0</v>
      </c>
      <c r="H39" s="21">
        <f t="shared" si="0"/>
        <v>0</v>
      </c>
      <c r="I39" s="101">
        <f t="shared" si="1"/>
        <v>0</v>
      </c>
    </row>
    <row r="40" spans="2:9" x14ac:dyDescent="0.2">
      <c r="B40" s="297"/>
      <c r="C40" s="81"/>
      <c r="D40" s="82"/>
      <c r="E40" s="82"/>
      <c r="F40" s="83"/>
      <c r="G40" s="21">
        <f t="shared" si="2"/>
        <v>0</v>
      </c>
      <c r="H40" s="21">
        <f t="shared" si="0"/>
        <v>0</v>
      </c>
      <c r="I40" s="101">
        <f t="shared" si="1"/>
        <v>0</v>
      </c>
    </row>
    <row r="41" spans="2:9" x14ac:dyDescent="0.2">
      <c r="B41" s="297"/>
      <c r="C41" s="81"/>
      <c r="D41" s="82"/>
      <c r="E41" s="82"/>
      <c r="F41" s="83"/>
      <c r="G41" s="21">
        <f t="shared" si="2"/>
        <v>0</v>
      </c>
      <c r="H41" s="21">
        <f t="shared" si="0"/>
        <v>0</v>
      </c>
      <c r="I41" s="101">
        <f t="shared" si="1"/>
        <v>0</v>
      </c>
    </row>
    <row r="42" spans="2:9" x14ac:dyDescent="0.2">
      <c r="B42" s="298"/>
      <c r="C42" s="134" t="s">
        <v>18</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4807-0F34-44FE-96D4-450F756488FE}">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1.28515625" style="214" customWidth="1"/>
    <col min="2" max="2" width="21" style="214" customWidth="1"/>
    <col min="3" max="3" width="36.28515625" style="214" customWidth="1"/>
    <col min="4" max="4" width="26.7109375" style="214" customWidth="1"/>
    <col min="5" max="5" width="23.5703125" style="214" customWidth="1"/>
    <col min="6" max="6" width="22.5703125" style="214" customWidth="1"/>
    <col min="7" max="7" width="20.5703125" style="214" customWidth="1"/>
    <col min="8" max="9" width="22.5703125" style="214" customWidth="1"/>
    <col min="10" max="10" width="35.28515625" style="214" customWidth="1"/>
    <col min="11" max="11" width="25.28515625" style="214" customWidth="1"/>
    <col min="12" max="16384" width="9.28515625" style="214"/>
  </cols>
  <sheetData>
    <row r="1" spans="2:10" ht="20.25" customHeight="1" x14ac:dyDescent="0.3">
      <c r="B1" s="145" t="s">
        <v>510</v>
      </c>
      <c r="C1" s="145"/>
      <c r="D1" s="213"/>
      <c r="E1" s="213"/>
      <c r="F1" s="213"/>
      <c r="G1" s="213"/>
      <c r="H1" s="213"/>
      <c r="I1" s="213"/>
    </row>
    <row r="2" spans="2:10" ht="20.25" customHeight="1" x14ac:dyDescent="0.3">
      <c r="B2" s="145" t="str">
        <f>IF(Tradingname=0," ",Tradingname)</f>
        <v>EAST AUSTRALIAN PIPELINE PTY LIMITED</v>
      </c>
      <c r="C2" s="145"/>
      <c r="H2" s="215"/>
      <c r="I2" s="215"/>
    </row>
    <row r="3" spans="2:10" ht="20.25" customHeight="1" x14ac:dyDescent="0.3">
      <c r="B3" s="145" t="s">
        <v>110</v>
      </c>
      <c r="C3" s="110">
        <f>IF(Yearending=0, "01/01/2000", Yearending)</f>
        <v>45838</v>
      </c>
    </row>
    <row r="4" spans="2:10" ht="20.25" x14ac:dyDescent="0.2">
      <c r="B4" s="102" t="s">
        <v>463</v>
      </c>
      <c r="C4" s="102"/>
    </row>
    <row r="6" spans="2:10" x14ac:dyDescent="0.2">
      <c r="B6" s="417" t="s">
        <v>507</v>
      </c>
      <c r="C6" s="417"/>
      <c r="D6" s="417"/>
    </row>
    <row r="7" spans="2:10" ht="15.75" customHeight="1" x14ac:dyDescent="0.2">
      <c r="B7" s="417"/>
      <c r="C7" s="417"/>
      <c r="D7" s="417"/>
    </row>
    <row r="8" spans="2:10" ht="24" customHeight="1" x14ac:dyDescent="0.2">
      <c r="B8" s="417"/>
      <c r="C8" s="417"/>
      <c r="D8" s="417"/>
    </row>
    <row r="11" spans="2:10" ht="15.75" x14ac:dyDescent="0.25">
      <c r="B11" s="216" t="s">
        <v>479</v>
      </c>
      <c r="C11" s="217"/>
      <c r="D11" s="217"/>
      <c r="E11" s="217"/>
      <c r="F11" s="217"/>
      <c r="G11" s="220"/>
      <c r="H11" s="217"/>
      <c r="I11" s="217"/>
    </row>
    <row r="12" spans="2:10" ht="15.75" x14ac:dyDescent="0.25">
      <c r="B12" s="216"/>
      <c r="C12" s="217"/>
      <c r="D12" s="217"/>
      <c r="E12" s="217"/>
      <c r="F12" s="217"/>
      <c r="G12" s="220"/>
      <c r="H12" s="217"/>
      <c r="I12" s="217"/>
    </row>
    <row r="13" spans="2:10" ht="38.25" x14ac:dyDescent="0.2">
      <c r="B13" s="48" t="s">
        <v>515</v>
      </c>
      <c r="C13" s="48" t="s">
        <v>13</v>
      </c>
      <c r="D13" s="52" t="s">
        <v>48</v>
      </c>
      <c r="E13" s="49" t="s">
        <v>471</v>
      </c>
      <c r="F13" s="49" t="s">
        <v>472</v>
      </c>
      <c r="G13" s="49" t="s">
        <v>47</v>
      </c>
      <c r="H13" s="49" t="s">
        <v>62</v>
      </c>
      <c r="I13" s="49" t="s">
        <v>63</v>
      </c>
      <c r="J13" s="49" t="s">
        <v>401</v>
      </c>
    </row>
    <row r="14" spans="2:10" x14ac:dyDescent="0.2">
      <c r="B14" s="50"/>
      <c r="C14" s="50" t="s">
        <v>117</v>
      </c>
      <c r="D14" s="53"/>
      <c r="E14" s="51" t="s">
        <v>111</v>
      </c>
      <c r="F14" s="51" t="s">
        <v>111</v>
      </c>
      <c r="G14" s="51"/>
      <c r="H14" s="51" t="s">
        <v>111</v>
      </c>
      <c r="I14" s="51" t="s">
        <v>111</v>
      </c>
      <c r="J14" s="51" t="s">
        <v>111</v>
      </c>
    </row>
    <row r="15" spans="2:10" x14ac:dyDescent="0.2">
      <c r="B15" s="297"/>
      <c r="C15" s="45" t="s">
        <v>464</v>
      </c>
      <c r="D15" s="135"/>
      <c r="E15" s="82"/>
      <c r="F15" s="82"/>
      <c r="G15" s="83"/>
      <c r="H15" s="21">
        <f t="shared" ref="H15:H22" si="0">E15*G15</f>
        <v>0</v>
      </c>
      <c r="I15" s="21">
        <f t="shared" ref="I15:I22" si="1">F15*G15</f>
        <v>0</v>
      </c>
      <c r="J15" s="101">
        <f t="shared" ref="J15:J35" si="2">H15+I15</f>
        <v>0</v>
      </c>
    </row>
    <row r="16" spans="2:10" ht="25.5" x14ac:dyDescent="0.2">
      <c r="B16" s="297"/>
      <c r="C16" s="45" t="s">
        <v>43</v>
      </c>
      <c r="D16" s="135"/>
      <c r="E16" s="82"/>
      <c r="F16" s="82"/>
      <c r="G16" s="83"/>
      <c r="H16" s="21">
        <f t="shared" si="0"/>
        <v>0</v>
      </c>
      <c r="I16" s="21">
        <f t="shared" si="1"/>
        <v>0</v>
      </c>
      <c r="J16" s="101">
        <f t="shared" si="2"/>
        <v>0</v>
      </c>
    </row>
    <row r="17" spans="2:10" x14ac:dyDescent="0.2">
      <c r="B17" s="297"/>
      <c r="C17" s="54" t="s">
        <v>221</v>
      </c>
      <c r="D17" s="135"/>
      <c r="E17" s="82"/>
      <c r="F17" s="82"/>
      <c r="G17" s="83"/>
      <c r="H17" s="21">
        <f t="shared" si="0"/>
        <v>0</v>
      </c>
      <c r="I17" s="21">
        <f t="shared" si="1"/>
        <v>0</v>
      </c>
      <c r="J17" s="101">
        <f t="shared" si="2"/>
        <v>0</v>
      </c>
    </row>
    <row r="18" spans="2:10" x14ac:dyDescent="0.2">
      <c r="B18" s="338" t="s">
        <v>752</v>
      </c>
      <c r="C18" s="45" t="s">
        <v>39</v>
      </c>
      <c r="D18" s="135"/>
      <c r="E18" s="82">
        <v>55278031</v>
      </c>
      <c r="F18" s="82"/>
      <c r="G18" s="83">
        <v>0.2580465542239605</v>
      </c>
      <c r="H18" s="21">
        <f t="shared" si="0"/>
        <v>14264305.42383527</v>
      </c>
      <c r="I18" s="21">
        <f t="shared" si="1"/>
        <v>0</v>
      </c>
      <c r="J18" s="101">
        <f t="shared" si="2"/>
        <v>14264305.42383527</v>
      </c>
    </row>
    <row r="19" spans="2:10" x14ac:dyDescent="0.2">
      <c r="B19" s="331"/>
      <c r="C19" s="45" t="s">
        <v>44</v>
      </c>
      <c r="D19" s="135"/>
      <c r="E19" s="82"/>
      <c r="F19" s="82"/>
      <c r="G19" s="83"/>
      <c r="H19" s="21">
        <f t="shared" si="0"/>
        <v>0</v>
      </c>
      <c r="I19" s="21">
        <f t="shared" si="1"/>
        <v>0</v>
      </c>
      <c r="J19" s="101">
        <f t="shared" si="2"/>
        <v>0</v>
      </c>
    </row>
    <row r="20" spans="2:10" x14ac:dyDescent="0.2">
      <c r="B20" s="331"/>
      <c r="C20" s="54" t="s">
        <v>81</v>
      </c>
      <c r="D20" s="135"/>
      <c r="E20" s="82"/>
      <c r="F20" s="82"/>
      <c r="G20" s="83"/>
      <c r="H20" s="21">
        <f t="shared" si="0"/>
        <v>0</v>
      </c>
      <c r="I20" s="21">
        <f t="shared" si="1"/>
        <v>0</v>
      </c>
      <c r="J20" s="101">
        <f t="shared" si="2"/>
        <v>0</v>
      </c>
    </row>
    <row r="21" spans="2:10" x14ac:dyDescent="0.2">
      <c r="B21" s="331"/>
      <c r="C21" s="54" t="s">
        <v>40</v>
      </c>
      <c r="D21" s="135"/>
      <c r="E21" s="82"/>
      <c r="F21" s="82"/>
      <c r="G21" s="83"/>
      <c r="H21" s="21">
        <f t="shared" si="0"/>
        <v>0</v>
      </c>
      <c r="I21" s="21">
        <f t="shared" si="1"/>
        <v>0</v>
      </c>
      <c r="J21" s="101">
        <f t="shared" si="2"/>
        <v>0</v>
      </c>
    </row>
    <row r="22" spans="2:10" ht="25.5" x14ac:dyDescent="0.2">
      <c r="B22" s="331"/>
      <c r="C22" s="54" t="s">
        <v>222</v>
      </c>
      <c r="D22" s="135"/>
      <c r="E22" s="82"/>
      <c r="F22" s="82"/>
      <c r="G22" s="83"/>
      <c r="H22" s="21">
        <f t="shared" si="0"/>
        <v>0</v>
      </c>
      <c r="I22" s="21">
        <f t="shared" si="1"/>
        <v>0</v>
      </c>
      <c r="J22" s="101">
        <f t="shared" si="2"/>
        <v>0</v>
      </c>
    </row>
    <row r="23" spans="2:10" x14ac:dyDescent="0.2">
      <c r="B23" s="331"/>
      <c r="C23" s="45" t="s">
        <v>466</v>
      </c>
      <c r="D23" s="135"/>
      <c r="E23" s="136">
        <f>SUM(E24:E35)</f>
        <v>205056471.24199873</v>
      </c>
      <c r="F23" s="136">
        <f>SUM(F24:F35)</f>
        <v>0</v>
      </c>
      <c r="G23" s="137"/>
      <c r="H23" s="136">
        <f>SUM(H24:H35)</f>
        <v>52914115.825322524</v>
      </c>
      <c r="I23" s="136">
        <f>SUM(I24:I35)</f>
        <v>0</v>
      </c>
      <c r="J23" s="101">
        <f t="shared" si="2"/>
        <v>52914115.825322524</v>
      </c>
    </row>
    <row r="24" spans="2:10" x14ac:dyDescent="0.2">
      <c r="B24" s="338" t="s">
        <v>752</v>
      </c>
      <c r="C24" s="81" t="s">
        <v>702</v>
      </c>
      <c r="D24" s="135"/>
      <c r="E24" s="82">
        <v>190714348.27999875</v>
      </c>
      <c r="F24" s="82"/>
      <c r="G24" s="83">
        <v>0.258046554223961</v>
      </c>
      <c r="H24" s="21">
        <f t="shared" ref="H24:H35" si="3">E24*G24</f>
        <v>49213180.414722078</v>
      </c>
      <c r="I24" s="21">
        <f t="shared" ref="I24:I35" si="4">F24*G24</f>
        <v>0</v>
      </c>
      <c r="J24" s="101">
        <f t="shared" si="2"/>
        <v>49213180.414722078</v>
      </c>
    </row>
    <row r="25" spans="2:10" x14ac:dyDescent="0.2">
      <c r="B25" s="331" t="s">
        <v>752</v>
      </c>
      <c r="C25" s="81" t="s">
        <v>713</v>
      </c>
      <c r="D25" s="135"/>
      <c r="E25" s="82">
        <v>1942424.69</v>
      </c>
      <c r="F25" s="82"/>
      <c r="G25" s="83">
        <v>0.258046554223961</v>
      </c>
      <c r="H25" s="21">
        <f t="shared" si="3"/>
        <v>501235.99809404562</v>
      </c>
      <c r="I25" s="21">
        <f t="shared" si="4"/>
        <v>0</v>
      </c>
      <c r="J25" s="101">
        <f t="shared" si="2"/>
        <v>501235.99809404562</v>
      </c>
    </row>
    <row r="26" spans="2:10" x14ac:dyDescent="0.2">
      <c r="B26" s="331" t="s">
        <v>752</v>
      </c>
      <c r="C26" s="81" t="s">
        <v>714</v>
      </c>
      <c r="D26" s="135"/>
      <c r="E26" s="82">
        <v>12399698.271999989</v>
      </c>
      <c r="F26" s="82"/>
      <c r="G26" s="83">
        <v>0.258046554223961</v>
      </c>
      <c r="H26" s="21">
        <f t="shared" si="3"/>
        <v>3199699.4125064006</v>
      </c>
      <c r="I26" s="21">
        <f t="shared" si="4"/>
        <v>0</v>
      </c>
      <c r="J26" s="101">
        <f t="shared" si="2"/>
        <v>3199699.4125064006</v>
      </c>
    </row>
    <row r="27" spans="2:10" x14ac:dyDescent="0.2">
      <c r="B27" s="297"/>
      <c r="C27" s="81"/>
      <c r="D27" s="135"/>
      <c r="E27" s="82"/>
      <c r="F27" s="82"/>
      <c r="G27" s="83"/>
      <c r="H27" s="21">
        <f t="shared" si="3"/>
        <v>0</v>
      </c>
      <c r="I27" s="21">
        <f t="shared" si="4"/>
        <v>0</v>
      </c>
      <c r="J27" s="101">
        <f t="shared" si="2"/>
        <v>0</v>
      </c>
    </row>
    <row r="28" spans="2:10" x14ac:dyDescent="0.2">
      <c r="B28" s="297"/>
      <c r="C28" s="81"/>
      <c r="D28" s="135"/>
      <c r="E28" s="82"/>
      <c r="F28" s="82"/>
      <c r="G28" s="83"/>
      <c r="H28" s="21">
        <f t="shared" si="3"/>
        <v>0</v>
      </c>
      <c r="I28" s="21">
        <f t="shared" si="4"/>
        <v>0</v>
      </c>
      <c r="J28" s="101">
        <f t="shared" si="2"/>
        <v>0</v>
      </c>
    </row>
    <row r="29" spans="2:10" x14ac:dyDescent="0.2">
      <c r="B29" s="297"/>
      <c r="C29" s="81"/>
      <c r="D29" s="135"/>
      <c r="E29" s="82"/>
      <c r="F29" s="82"/>
      <c r="G29" s="83"/>
      <c r="H29" s="21">
        <f t="shared" si="3"/>
        <v>0</v>
      </c>
      <c r="I29" s="21">
        <f t="shared" si="4"/>
        <v>0</v>
      </c>
      <c r="J29" s="101">
        <f t="shared" si="2"/>
        <v>0</v>
      </c>
    </row>
    <row r="30" spans="2:10" x14ac:dyDescent="0.2">
      <c r="B30" s="297"/>
      <c r="C30" s="81"/>
      <c r="D30" s="135"/>
      <c r="E30" s="82"/>
      <c r="F30" s="82"/>
      <c r="G30" s="83"/>
      <c r="H30" s="21">
        <f t="shared" si="3"/>
        <v>0</v>
      </c>
      <c r="I30" s="21">
        <f t="shared" si="4"/>
        <v>0</v>
      </c>
      <c r="J30" s="101">
        <f t="shared" si="2"/>
        <v>0</v>
      </c>
    </row>
    <row r="31" spans="2:10" x14ac:dyDescent="0.2">
      <c r="B31" s="297"/>
      <c r="C31" s="81"/>
      <c r="D31" s="135"/>
      <c r="E31" s="82"/>
      <c r="F31" s="82"/>
      <c r="G31" s="83"/>
      <c r="H31" s="21">
        <f t="shared" si="3"/>
        <v>0</v>
      </c>
      <c r="I31" s="21">
        <f t="shared" si="4"/>
        <v>0</v>
      </c>
      <c r="J31" s="101">
        <f t="shared" si="2"/>
        <v>0</v>
      </c>
    </row>
    <row r="32" spans="2:10" x14ac:dyDescent="0.2">
      <c r="B32" s="297"/>
      <c r="C32" s="81"/>
      <c r="D32" s="135"/>
      <c r="E32" s="82"/>
      <c r="F32" s="82"/>
      <c r="G32" s="83"/>
      <c r="H32" s="21">
        <f t="shared" si="3"/>
        <v>0</v>
      </c>
      <c r="I32" s="21">
        <f t="shared" si="4"/>
        <v>0</v>
      </c>
      <c r="J32" s="101">
        <f t="shared" si="2"/>
        <v>0</v>
      </c>
    </row>
    <row r="33" spans="2:10" x14ac:dyDescent="0.2">
      <c r="B33" s="297"/>
      <c r="C33" s="81"/>
      <c r="D33" s="135"/>
      <c r="E33" s="82"/>
      <c r="F33" s="82"/>
      <c r="G33" s="83"/>
      <c r="H33" s="21">
        <f t="shared" si="3"/>
        <v>0</v>
      </c>
      <c r="I33" s="21">
        <f t="shared" si="4"/>
        <v>0</v>
      </c>
      <c r="J33" s="101">
        <f t="shared" si="2"/>
        <v>0</v>
      </c>
    </row>
    <row r="34" spans="2:10" x14ac:dyDescent="0.2">
      <c r="B34" s="297"/>
      <c r="C34" s="81"/>
      <c r="D34" s="135"/>
      <c r="E34" s="82"/>
      <c r="F34" s="82"/>
      <c r="G34" s="83"/>
      <c r="H34" s="21">
        <f t="shared" si="3"/>
        <v>0</v>
      </c>
      <c r="I34" s="21">
        <f t="shared" si="4"/>
        <v>0</v>
      </c>
      <c r="J34" s="101">
        <f t="shared" si="2"/>
        <v>0</v>
      </c>
    </row>
    <row r="35" spans="2:10" x14ac:dyDescent="0.2">
      <c r="B35" s="297"/>
      <c r="C35" s="81"/>
      <c r="D35" s="135"/>
      <c r="E35" s="82"/>
      <c r="F35" s="82"/>
      <c r="G35" s="83"/>
      <c r="H35" s="21">
        <f t="shared" si="3"/>
        <v>0</v>
      </c>
      <c r="I35" s="21">
        <f t="shared" si="4"/>
        <v>0</v>
      </c>
      <c r="J35" s="101">
        <f t="shared" si="2"/>
        <v>0</v>
      </c>
    </row>
    <row r="36" spans="2:10" x14ac:dyDescent="0.2">
      <c r="B36" s="298"/>
      <c r="C36" s="418" t="s">
        <v>82</v>
      </c>
      <c r="D36" s="419"/>
      <c r="E36" s="21">
        <f>SUM(E15:E23)</f>
        <v>260334502.24199873</v>
      </c>
      <c r="F36" s="21">
        <f>SUM(F15:F23)</f>
        <v>0</v>
      </c>
      <c r="G36" s="138"/>
      <c r="H36" s="21">
        <f>SUM(H15:H23)</f>
        <v>67178421.249157786</v>
      </c>
      <c r="I36" s="21">
        <f>SUM(I15:I23)</f>
        <v>0</v>
      </c>
      <c r="J36" s="101">
        <f>SUM(J15:J23)</f>
        <v>67178421.249157786</v>
      </c>
    </row>
  </sheetData>
  <sheetProtection sheet="1"/>
  <mergeCells count="2">
    <mergeCell ref="B6:D8"/>
    <mergeCell ref="C36:D36"/>
  </mergeCells>
  <phoneticPr fontId="31" type="noConversion"/>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0FFC1-9F4A-4C37-839A-2A4DA9D96296}">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28515625" defaultRowHeight="12.75" x14ac:dyDescent="0.2"/>
  <cols>
    <col min="1" max="1" width="12" style="4" customWidth="1"/>
    <col min="2" max="2" width="18.7109375" style="4" customWidth="1"/>
    <col min="3" max="3" width="67.28515625" style="4" customWidth="1"/>
    <col min="4" max="5" width="20.7109375" style="4" customWidth="1"/>
    <col min="6" max="6" width="9.28515625" style="4"/>
    <col min="7" max="7" width="13.42578125" style="4" customWidth="1"/>
    <col min="8" max="8" width="15.42578125" style="4" customWidth="1"/>
    <col min="9" max="16384" width="9.28515625" style="4"/>
  </cols>
  <sheetData>
    <row r="1" spans="2:6" ht="20.25" x14ac:dyDescent="0.2">
      <c r="B1" s="145" t="s">
        <v>510</v>
      </c>
      <c r="C1" s="145"/>
    </row>
    <row r="2" spans="2:6" ht="20.25" x14ac:dyDescent="0.2">
      <c r="B2" s="145" t="str">
        <f>IF(Tradingname=0," ",Tradingname)</f>
        <v>EAST AUSTRALIAN PIPELINE PTY LIMITED</v>
      </c>
      <c r="C2" s="145"/>
      <c r="E2" s="275"/>
    </row>
    <row r="3" spans="2:6" ht="20.25" x14ac:dyDescent="0.3">
      <c r="B3" s="145" t="s">
        <v>110</v>
      </c>
      <c r="C3" s="110">
        <f>IF(Yearending=0, "01/01/2000", Yearending)</f>
        <v>45838</v>
      </c>
    </row>
    <row r="4" spans="2:6" ht="45" customHeight="1" x14ac:dyDescent="0.2">
      <c r="B4" s="421" t="s">
        <v>655</v>
      </c>
      <c r="C4" s="421"/>
      <c r="D4" s="258"/>
    </row>
    <row r="5" spans="2:6" x14ac:dyDescent="0.2">
      <c r="D5" s="276"/>
    </row>
    <row r="6" spans="2:6" ht="12.75" customHeight="1" x14ac:dyDescent="0.2">
      <c r="B6" s="417" t="s">
        <v>684</v>
      </c>
      <c r="C6" s="417"/>
      <c r="D6" s="417"/>
      <c r="E6" s="417"/>
      <c r="F6" s="417"/>
    </row>
    <row r="7" spans="2:6" ht="12.75" customHeight="1" x14ac:dyDescent="0.2">
      <c r="B7" s="417"/>
      <c r="C7" s="417"/>
      <c r="D7" s="417"/>
      <c r="E7" s="417"/>
      <c r="F7" s="417"/>
    </row>
    <row r="8" spans="2:6" ht="12.75" customHeight="1" x14ac:dyDescent="0.2">
      <c r="B8" s="417"/>
      <c r="C8" s="417"/>
      <c r="D8" s="417"/>
      <c r="E8" s="417"/>
      <c r="F8" s="417"/>
    </row>
    <row r="9" spans="2:6" ht="12.75" customHeight="1" x14ac:dyDescent="0.2">
      <c r="B9" s="417"/>
      <c r="C9" s="417"/>
      <c r="D9" s="417"/>
      <c r="E9" s="417"/>
      <c r="F9" s="417"/>
    </row>
    <row r="10" spans="2:6" ht="12.75" customHeight="1" x14ac:dyDescent="0.2">
      <c r="B10" s="417"/>
      <c r="C10" s="417"/>
      <c r="D10" s="417"/>
      <c r="E10" s="417"/>
      <c r="F10" s="417"/>
    </row>
    <row r="11" spans="2:6" x14ac:dyDescent="0.2">
      <c r="D11" s="276"/>
    </row>
    <row r="12" spans="2:6" x14ac:dyDescent="0.2">
      <c r="D12" s="276"/>
    </row>
    <row r="13" spans="2:6" ht="15.75" x14ac:dyDescent="0.2">
      <c r="B13" s="420" t="s">
        <v>581</v>
      </c>
      <c r="C13" s="420"/>
      <c r="D13" s="276"/>
    </row>
    <row r="15" spans="2:6" ht="25.5" x14ac:dyDescent="0.2">
      <c r="B15" s="55" t="s">
        <v>515</v>
      </c>
      <c r="C15" s="56" t="s">
        <v>13</v>
      </c>
      <c r="D15" s="56" t="s">
        <v>130</v>
      </c>
      <c r="E15" s="229" t="s">
        <v>131</v>
      </c>
    </row>
    <row r="16" spans="2:6" x14ac:dyDescent="0.2">
      <c r="B16" s="55"/>
      <c r="C16" s="57" t="s">
        <v>46</v>
      </c>
      <c r="D16" s="229"/>
      <c r="E16" s="229"/>
    </row>
    <row r="17" spans="2:7" x14ac:dyDescent="0.2">
      <c r="B17" s="299"/>
      <c r="C17" s="59" t="s">
        <v>548</v>
      </c>
      <c r="D17" s="56"/>
      <c r="E17" s="229"/>
    </row>
    <row r="18" spans="2:7" x14ac:dyDescent="0.2">
      <c r="B18" s="332" t="s">
        <v>744</v>
      </c>
      <c r="C18" s="58" t="s">
        <v>585</v>
      </c>
      <c r="D18" s="139">
        <f>IF(Cover!C23="Scheme pipeline","-",SUMIF('3.5 Depreciation amortisation'!$D$15:$D$58,'3.1 Depreciated Book Value'!C17,'3.5 Depreciation amortisation'!$H$15:$H$58))</f>
        <v>2708133234.6099982</v>
      </c>
      <c r="E18" s="77"/>
    </row>
    <row r="19" spans="2:7" x14ac:dyDescent="0.2">
      <c r="B19" s="332" t="s">
        <v>744</v>
      </c>
      <c r="C19" s="58" t="s">
        <v>52</v>
      </c>
      <c r="D19" s="139">
        <f>IF(Cover!C23="Scheme pipeline","-",SUMIF('3.5 Depreciation amortisation'!$D$15:$D$58,'3.1 Depreciated Book Value'!C17,'3.5 Depreciation amortisation'!$I$15:$I$58))</f>
        <v>24624008.640000008</v>
      </c>
      <c r="E19" s="77"/>
    </row>
    <row r="20" spans="2:7" x14ac:dyDescent="0.2">
      <c r="B20" s="332" t="s">
        <v>744</v>
      </c>
      <c r="C20" s="58" t="s">
        <v>227</v>
      </c>
      <c r="D20" s="139">
        <f>IF(Cover!C23="Scheme pipeline","-",SUMIF('3.5 Depreciation amortisation'!$D$15:$D$58,'3.1 Depreciated Book Value'!C17,'3.5 Depreciation amortisation'!$J$15:$J$58))</f>
        <v>2635301.83</v>
      </c>
      <c r="E20" s="77"/>
    </row>
    <row r="21" spans="2:7" x14ac:dyDescent="0.2">
      <c r="B21" s="296"/>
      <c r="C21" s="95" t="s">
        <v>87</v>
      </c>
      <c r="D21" s="139">
        <f>IF(Cover!C23="Scheme pipeline","-",SUM(D18:D20))</f>
        <v>2735392545.079998</v>
      </c>
      <c r="E21" s="139">
        <f>SUM(E18:E20)</f>
        <v>0</v>
      </c>
    </row>
    <row r="22" spans="2:7" x14ac:dyDescent="0.2">
      <c r="B22" s="332" t="s">
        <v>744</v>
      </c>
      <c r="C22" s="58" t="s">
        <v>564</v>
      </c>
      <c r="D22" s="139">
        <f>IF(Cover!C23="Scheme pipeline","-",-ABS(SUMIF('3.5 Depreciation amortisation'!$D$15:$D$58,'3.1 Depreciated Book Value'!C17,'3.5 Depreciation amortisation'!$O$15:$O$58)+SUMIF('3.5 Depreciation amortisation'!$D$15:$D$58,'3.1 Depreciated Book Value'!C17,'3.5 Depreciation amortisation'!$P$15:$P$58))-D23)</f>
        <v>-864099152.82097387</v>
      </c>
      <c r="E22" s="77"/>
    </row>
    <row r="23" spans="2:7" x14ac:dyDescent="0.2">
      <c r="B23" s="332" t="s">
        <v>744</v>
      </c>
      <c r="C23" s="58" t="s">
        <v>565</v>
      </c>
      <c r="D23" s="139">
        <f>IF(Cover!C23="Scheme pipeline","-",-ABS(SUMIF('3.4 Asset impairment'!$C$10:$C$24,'3.1 Depreciated Book Value'!C17,'3.4 Asset impairment'!$D$10:$D$24))+SUMIF('3.4 Asset impairment'!$C$30:$C$56,'3.1 Depreciated Book Value'!C17,'3.4 Asset impairment'!$G$30:$G$56))</f>
        <v>0</v>
      </c>
      <c r="E23" s="77"/>
    </row>
    <row r="24" spans="2:7" x14ac:dyDescent="0.2">
      <c r="B24" s="332" t="s">
        <v>744</v>
      </c>
      <c r="C24" s="58" t="s">
        <v>236</v>
      </c>
      <c r="D24" s="139">
        <f>IF(Cover!C23="Scheme pipeline","-",SUMIF('3.5 Depreciation amortisation'!$D$15:$D$58,'3.1 Depreciated Book Value'!C17,'3.5 Depreciation amortisation'!$K$15:$K$58))</f>
        <v>0</v>
      </c>
      <c r="E24" s="77"/>
      <c r="F24" s="256"/>
    </row>
    <row r="25" spans="2:7" x14ac:dyDescent="0.2">
      <c r="B25" s="329"/>
      <c r="C25" s="95" t="s">
        <v>229</v>
      </c>
      <c r="D25" s="139">
        <f>IF(Cover!C23="Scheme pipeline","-",SUM(D21:D24))</f>
        <v>1871293392.2590241</v>
      </c>
      <c r="E25" s="139">
        <f>SUM(E21:E24)</f>
        <v>0</v>
      </c>
    </row>
    <row r="26" spans="2:7" x14ac:dyDescent="0.2">
      <c r="B26" s="329"/>
      <c r="C26" s="59" t="s">
        <v>549</v>
      </c>
      <c r="D26" s="140"/>
      <c r="E26" s="140"/>
      <c r="G26" s="169"/>
    </row>
    <row r="27" spans="2:7" x14ac:dyDescent="0.2">
      <c r="B27" s="332" t="s">
        <v>744</v>
      </c>
      <c r="C27" s="58" t="s">
        <v>585</v>
      </c>
      <c r="D27" s="139">
        <f>IF(Cover!C23="Scheme pipeline","-",SUMIF('3.5 Depreciation amortisation'!$D$15:$D$58,'3.1 Depreciated Book Value'!C26,'3.5 Depreciation amortisation'!$H$15:$H$58))</f>
        <v>940550359.58999908</v>
      </c>
      <c r="E27" s="77"/>
      <c r="G27" s="169"/>
    </row>
    <row r="28" spans="2:7" x14ac:dyDescent="0.2">
      <c r="B28" s="332" t="s">
        <v>744</v>
      </c>
      <c r="C28" s="58" t="s">
        <v>52</v>
      </c>
      <c r="D28" s="139">
        <f>IF(Cover!C23="Scheme pipeline","-",SUMIF('3.5 Depreciation amortisation'!$D$15:$D$58,'3.1 Depreciated Book Value'!C26,'3.5 Depreciation amortisation'!$I$15:$I$58))</f>
        <v>1179942.5400000887</v>
      </c>
      <c r="E28" s="77"/>
      <c r="G28" s="169"/>
    </row>
    <row r="29" spans="2:7" x14ac:dyDescent="0.2">
      <c r="B29" s="332" t="s">
        <v>744</v>
      </c>
      <c r="C29" s="58" t="s">
        <v>227</v>
      </c>
      <c r="D29" s="139">
        <f>IF(Cover!C23="Scheme pipeline","-",SUMIF('3.5 Depreciation amortisation'!$D$15:$D$58,'3.1 Depreciated Book Value'!C26,'3.5 Depreciation amortisation'!$J$15:$J$58))</f>
        <v>0</v>
      </c>
      <c r="E29" s="77"/>
      <c r="G29" s="169"/>
    </row>
    <row r="30" spans="2:7" x14ac:dyDescent="0.2">
      <c r="B30" s="332" t="s">
        <v>744</v>
      </c>
      <c r="C30" s="58" t="s">
        <v>564</v>
      </c>
      <c r="D30" s="139">
        <f>IF(Cover!C23="Scheme pipeline","-",-ABS(SUMIF('3.5 Depreciation amortisation'!$D$15:$D$58,'3.1 Depreciated Book Value'!C26,'3.5 Depreciation amortisation'!$O$15:$O$58)+SUMIF('3.5 Depreciation amortisation'!$D$15:$D$58,'3.1 Depreciated Book Value'!C26,'3.5 Depreciation amortisation'!$P$15:$P$58))-D31)</f>
        <v>-325729727.85440701</v>
      </c>
      <c r="E30" s="77"/>
      <c r="F30" s="256"/>
      <c r="G30" s="169"/>
    </row>
    <row r="31" spans="2:7" x14ac:dyDescent="0.2">
      <c r="B31" s="332" t="s">
        <v>744</v>
      </c>
      <c r="C31" s="58" t="s">
        <v>565</v>
      </c>
      <c r="D31" s="139">
        <f>IF(Cover!C23="Scheme pipeline","-",-ABS(SUMIF('3.4 Asset impairment'!$C$10:$C$24,'3.1 Depreciated Book Value'!C26,'3.4 Asset impairment'!$D$10:$D$24))+SUMIF('3.4 Asset impairment'!$C$30:$C$56,C26,'3.4 Asset impairment'!$G$30:$G$56))</f>
        <v>0</v>
      </c>
      <c r="E31" s="77"/>
      <c r="F31" s="256"/>
      <c r="G31" s="169"/>
    </row>
    <row r="32" spans="2:7" ht="11.25" customHeight="1" x14ac:dyDescent="0.2">
      <c r="B32" s="332" t="s">
        <v>744</v>
      </c>
      <c r="C32" s="58" t="s">
        <v>236</v>
      </c>
      <c r="D32" s="139">
        <f>IF(Cover!C23="Scheme pipeline","-",SUMIF('3.5 Depreciation amortisation'!$D$15:$D$58,'3.1 Depreciated Book Value'!C26,'3.5 Depreciation amortisation'!$K$15:$K$58))</f>
        <v>0</v>
      </c>
      <c r="E32" s="77"/>
      <c r="G32" s="169"/>
    </row>
    <row r="33" spans="2:7" x14ac:dyDescent="0.2">
      <c r="B33" s="329"/>
      <c r="C33" s="95" t="s">
        <v>60</v>
      </c>
      <c r="D33" s="139">
        <f>IF(Cover!C23="Scheme pipeline","-",SUM(D27:D32))</f>
        <v>616000574.27559209</v>
      </c>
      <c r="E33" s="139">
        <f>SUM(E27:E32)</f>
        <v>0</v>
      </c>
      <c r="G33" s="169"/>
    </row>
    <row r="34" spans="2:7" x14ac:dyDescent="0.2">
      <c r="B34" s="296"/>
      <c r="C34" s="59" t="s">
        <v>550</v>
      </c>
      <c r="D34" s="140"/>
      <c r="E34" s="140"/>
      <c r="G34" s="168"/>
    </row>
    <row r="35" spans="2:7" x14ac:dyDescent="0.2">
      <c r="B35" s="332" t="s">
        <v>744</v>
      </c>
      <c r="C35" s="58" t="s">
        <v>585</v>
      </c>
      <c r="D35" s="139">
        <f>IF(Cover!C23="Scheme pipeline","-",SUMIF('3.5 Depreciation amortisation'!$D$15:$D$58,'3.1 Depreciated Book Value'!C34,'3.5 Depreciation amortisation'!$H$15:$H$58))</f>
        <v>37925481.209999986</v>
      </c>
      <c r="E35" s="77"/>
    </row>
    <row r="36" spans="2:7" x14ac:dyDescent="0.2">
      <c r="B36" s="332" t="s">
        <v>744</v>
      </c>
      <c r="C36" s="58" t="s">
        <v>52</v>
      </c>
      <c r="D36" s="139">
        <f>IF(Cover!C23="Scheme pipeline","-",SUMIF('3.5 Depreciation amortisation'!$D$15:$D$58,'3.1 Depreciated Book Value'!C34,'3.5 Depreciation amortisation'!$I$15:$I$58))</f>
        <v>7853823.1099999994</v>
      </c>
      <c r="E36" s="77"/>
    </row>
    <row r="37" spans="2:7" x14ac:dyDescent="0.2">
      <c r="B37" s="332" t="s">
        <v>744</v>
      </c>
      <c r="C37" s="58" t="s">
        <v>227</v>
      </c>
      <c r="D37" s="139">
        <f>IF(Cover!C23="Scheme pipeline","-",SUMIF('3.5 Depreciation amortisation'!$D$15:$D$58,'3.1 Depreciated Book Value'!C34,'3.5 Depreciation amortisation'!$J$15:$J$58))</f>
        <v>0</v>
      </c>
      <c r="E37" s="77"/>
    </row>
    <row r="38" spans="2:7" x14ac:dyDescent="0.2">
      <c r="B38" s="332" t="s">
        <v>744</v>
      </c>
      <c r="C38" s="58" t="s">
        <v>564</v>
      </c>
      <c r="D38" s="139">
        <f>IF(Cover!C23="Scheme pipeline","-",-ABS(SUMIF('3.5 Depreciation amortisation'!$D$15:$D$58,'3.1 Depreciated Book Value'!C34,'3.5 Depreciation amortisation'!$O$15:$O$58)+SUMIF('3.5 Depreciation amortisation'!$D$15:$D$58,'3.1 Depreciated Book Value'!C34,'3.5 Depreciation amortisation'!$P$15:$P$58))-D39)</f>
        <v>-9776305.1870931871</v>
      </c>
      <c r="E38" s="77"/>
      <c r="F38" s="256"/>
    </row>
    <row r="39" spans="2:7" x14ac:dyDescent="0.2">
      <c r="B39" s="332" t="s">
        <v>744</v>
      </c>
      <c r="C39" s="58" t="s">
        <v>565</v>
      </c>
      <c r="D39" s="139">
        <f>IF(Cover!C23="Scheme pipeline","-",-ABS(SUMIF('3.4 Asset impairment'!$C$10:$C$24,'3.1 Depreciated Book Value'!C34,'3.4 Asset impairment'!$D$10:$D$24))+SUMIF('3.4 Asset impairment'!$C$30:$C$56,'3.1 Depreciated Book Value'!C34,'3.4 Asset impairment'!$G$30:$G$56))</f>
        <v>0</v>
      </c>
      <c r="E39" s="77"/>
      <c r="F39" s="256"/>
    </row>
    <row r="40" spans="2:7" ht="11.25" customHeight="1" x14ac:dyDescent="0.2">
      <c r="B40" s="332" t="s">
        <v>744</v>
      </c>
      <c r="C40" s="58" t="s">
        <v>236</v>
      </c>
      <c r="D40" s="139">
        <f>IF(Cover!C23="Scheme pipeline","-",SUMIF('3.5 Depreciation amortisation'!$D$15:$D$58,'3.1 Depreciated Book Value'!C34,'3.5 Depreciation amortisation'!$K$15:$K$58))</f>
        <v>0</v>
      </c>
      <c r="E40" s="77"/>
    </row>
    <row r="41" spans="2:7" x14ac:dyDescent="0.2">
      <c r="B41" s="296"/>
      <c r="C41" s="95" t="s">
        <v>88</v>
      </c>
      <c r="D41" s="139">
        <f>SUM(D35:D40)</f>
        <v>36002999.132906795</v>
      </c>
      <c r="E41" s="139">
        <f>SUM(E35:E40)</f>
        <v>0</v>
      </c>
    </row>
    <row r="42" spans="2:7" x14ac:dyDescent="0.2">
      <c r="B42" s="296"/>
      <c r="C42" s="59" t="s">
        <v>551</v>
      </c>
      <c r="D42" s="140"/>
      <c r="E42" s="140"/>
    </row>
    <row r="43" spans="2:7" x14ac:dyDescent="0.2">
      <c r="B43" s="332" t="s">
        <v>744</v>
      </c>
      <c r="C43" s="58" t="s">
        <v>585</v>
      </c>
      <c r="D43" s="139">
        <f>IF(Cover!C23="Scheme pipeline","-",SUMIF('3.5 Depreciation amortisation'!$D$15:$D$58,'3.1 Depreciated Book Value'!C42,'3.5 Depreciation amortisation'!$H$15:$H$58))</f>
        <v>13944998.95999999</v>
      </c>
      <c r="E43" s="77"/>
    </row>
    <row r="44" spans="2:7" x14ac:dyDescent="0.2">
      <c r="B44" s="332" t="s">
        <v>744</v>
      </c>
      <c r="C44" s="58" t="s">
        <v>230</v>
      </c>
      <c r="D44" s="139">
        <f>IF(Cover!C23="Scheme pipeline","-",SUMIF('3.5 Depreciation amortisation'!$D$15:$D$58,'3.1 Depreciated Book Value'!C42,'3.5 Depreciation amortisation'!$I$15:$I$58))</f>
        <v>6716244.5300000003</v>
      </c>
      <c r="E44" s="77"/>
    </row>
    <row r="45" spans="2:7" x14ac:dyDescent="0.2">
      <c r="B45" s="332" t="s">
        <v>744</v>
      </c>
      <c r="C45" s="58" t="s">
        <v>227</v>
      </c>
      <c r="D45" s="139">
        <f>IF(Cover!C23="Scheme pipeline","-",SUMIF('3.5 Depreciation amortisation'!$D$15:$D$58,'3.1 Depreciated Book Value'!C42,'3.5 Depreciation amortisation'!$J$15:$J$58))</f>
        <v>0</v>
      </c>
      <c r="E45" s="77"/>
    </row>
    <row r="46" spans="2:7" x14ac:dyDescent="0.2">
      <c r="B46" s="332" t="s">
        <v>744</v>
      </c>
      <c r="C46" s="58" t="s">
        <v>564</v>
      </c>
      <c r="D46" s="139">
        <f>IF(Cover!C23="Scheme pipeline","-",-ABS(SUMIF('3.5 Depreciation amortisation'!$D$15:$D$58,'3.1 Depreciated Book Value'!C42,'3.5 Depreciation amortisation'!$O$15:$O$58)+SUMIF('3.5 Depreciation amortisation'!$D$15:$D$58,'3.1 Depreciated Book Value'!C42,'3.5 Depreciation amortisation'!$P$15:$P$58))-D47)</f>
        <v>-6647950.6531285597</v>
      </c>
      <c r="E46" s="77"/>
      <c r="F46" s="256"/>
    </row>
    <row r="47" spans="2:7" x14ac:dyDescent="0.2">
      <c r="B47" s="332" t="s">
        <v>744</v>
      </c>
      <c r="C47" s="58" t="s">
        <v>565</v>
      </c>
      <c r="D47" s="139">
        <f>IF(Cover!C23="Scheme pipeline","-",-ABS(SUMIF('3.4 Asset impairment'!$C$10:$C$24,'3.1 Depreciated Book Value'!C42,'3.4 Asset impairment'!$D$10:$D$24))+SUMIF('3.4 Asset impairment'!$C$30:$C$56,'3.1 Depreciated Book Value'!C42,'3.4 Asset impairment'!$G$30:$G$56))</f>
        <v>0</v>
      </c>
      <c r="E47" s="77"/>
      <c r="F47" s="256"/>
    </row>
    <row r="48" spans="2:7" ht="11.25" customHeight="1" x14ac:dyDescent="0.2">
      <c r="B48" s="332" t="s">
        <v>744</v>
      </c>
      <c r="C48" s="58" t="s">
        <v>236</v>
      </c>
      <c r="D48" s="139">
        <f>IF(Cover!C23="Scheme pipeline","-",SUMIF('3.5 Depreciation amortisation'!$D$15:$D$58,'3.1 Depreciated Book Value'!C42,'3.5 Depreciation amortisation'!$K$15:$K$58))</f>
        <v>0</v>
      </c>
      <c r="E48" s="77"/>
    </row>
    <row r="49" spans="2:6" x14ac:dyDescent="0.2">
      <c r="B49" s="296"/>
      <c r="C49" s="95" t="s">
        <v>231</v>
      </c>
      <c r="D49" s="139">
        <f>SUM(D43:D48)</f>
        <v>14013292.83687143</v>
      </c>
      <c r="E49" s="139">
        <f>SUM(E43:E48)</f>
        <v>0</v>
      </c>
    </row>
    <row r="50" spans="2:6" x14ac:dyDescent="0.2">
      <c r="B50" s="296"/>
      <c r="C50" s="59" t="s">
        <v>552</v>
      </c>
      <c r="D50" s="140"/>
      <c r="E50" s="140"/>
    </row>
    <row r="51" spans="2:6" x14ac:dyDescent="0.2">
      <c r="B51" s="332" t="s">
        <v>744</v>
      </c>
      <c r="C51" s="58" t="s">
        <v>585</v>
      </c>
      <c r="D51" s="139">
        <f>IF(Cover!C23="Scheme pipeline","-",SUMIF('3.5 Depreciation amortisation'!$D$15:$D$58,'3.1 Depreciated Book Value'!C50,'3.5 Depreciation amortisation'!$H$15:$H$58))</f>
        <v>906504.53</v>
      </c>
      <c r="E51" s="77"/>
    </row>
    <row r="52" spans="2:6" x14ac:dyDescent="0.2">
      <c r="B52" s="332" t="s">
        <v>744</v>
      </c>
      <c r="C52" s="58" t="s">
        <v>52</v>
      </c>
      <c r="D52" s="139">
        <f>IF(Cover!C23="Scheme pipeline","-",SUMIF('3.5 Depreciation amortisation'!$D$15:$D$58,'3.1 Depreciated Book Value'!C50,'3.5 Depreciation amortisation'!$I$15:$I$58))</f>
        <v>2727179.3</v>
      </c>
      <c r="E52" s="77"/>
    </row>
    <row r="53" spans="2:6" x14ac:dyDescent="0.2">
      <c r="B53" s="332" t="s">
        <v>744</v>
      </c>
      <c r="C53" s="58" t="s">
        <v>227</v>
      </c>
      <c r="D53" s="139">
        <f>IF(Cover!C23="Scheme pipeline","-",SUMIF('3.5 Depreciation amortisation'!$D$15:$D$58,'3.1 Depreciated Book Value'!C50,'3.5 Depreciation amortisation'!$J$15:$J$58))</f>
        <v>0</v>
      </c>
      <c r="E53" s="77"/>
    </row>
    <row r="54" spans="2:6" x14ac:dyDescent="0.2">
      <c r="B54" s="332" t="s">
        <v>744</v>
      </c>
      <c r="C54" s="58" t="s">
        <v>564</v>
      </c>
      <c r="D54" s="139">
        <f>IF(Cover!C23="Scheme pipeline","-",-ABS(SUMIF('3.5 Depreciation amortisation'!$D$15:$D$58,'3.1 Depreciated Book Value'!C50,'3.5 Depreciation amortisation'!$O$15:$O$58)+SUMIF('3.5 Depreciation amortisation'!$D$15:$D$58,'3.1 Depreciated Book Value'!C50,'3.5 Depreciation amortisation'!$P$15:$P$58))-D55)</f>
        <v>-512428.81616438355</v>
      </c>
      <c r="E54" s="77"/>
      <c r="F54" s="256"/>
    </row>
    <row r="55" spans="2:6" x14ac:dyDescent="0.2">
      <c r="B55" s="332" t="s">
        <v>744</v>
      </c>
      <c r="C55" s="58" t="s">
        <v>565</v>
      </c>
      <c r="D55" s="139">
        <f>IF(Cover!C23="Scheme pipeline","-",-ABS(SUMIF('3.4 Asset impairment'!$C$10:$C$24,'3.1 Depreciated Book Value'!C50,'3.4 Asset impairment'!$D$10:$D$24))+SUMIF('3.4 Asset impairment'!$C$30:$C$56,'3.1 Depreciated Book Value'!C50,'3.4 Asset impairment'!$G$30:$G$56))</f>
        <v>0</v>
      </c>
      <c r="E55" s="77"/>
      <c r="F55" s="256"/>
    </row>
    <row r="56" spans="2:6" ht="11.25" customHeight="1" x14ac:dyDescent="0.2">
      <c r="B56" s="332" t="s">
        <v>744</v>
      </c>
      <c r="C56" s="58" t="s">
        <v>236</v>
      </c>
      <c r="D56" s="139">
        <f>IF(Cover!C23="Scheme pipeline","-",SUMIF('3.5 Depreciation amortisation'!$D$15:$D$58,'3.1 Depreciated Book Value'!C50,'3.5 Depreciation amortisation'!$K$15:$K$58))</f>
        <v>0</v>
      </c>
      <c r="E56" s="77"/>
    </row>
    <row r="57" spans="2:6" x14ac:dyDescent="0.2">
      <c r="B57" s="296"/>
      <c r="C57" s="95" t="s">
        <v>371</v>
      </c>
      <c r="D57" s="139">
        <f>SUM(D51:D56)</f>
        <v>3121255.0138356164</v>
      </c>
      <c r="E57" s="139">
        <f>SUM(E51:E56)</f>
        <v>0</v>
      </c>
    </row>
    <row r="58" spans="2:6" x14ac:dyDescent="0.2">
      <c r="B58" s="296"/>
      <c r="C58" s="59" t="s">
        <v>553</v>
      </c>
      <c r="D58" s="140"/>
      <c r="E58" s="140"/>
    </row>
    <row r="59" spans="2:6" x14ac:dyDescent="0.2">
      <c r="B59" s="332" t="s">
        <v>744</v>
      </c>
      <c r="C59" s="58" t="s">
        <v>585</v>
      </c>
      <c r="D59" s="139">
        <f>IF(Cover!C23="Scheme pipeline","-",SUMIF('3.5 Depreciation amortisation'!$D$15:$D$58,'3.1 Depreciated Book Value'!C58,'3.5 Depreciation amortisation'!$H$15:$H$58))</f>
        <v>13115410.889999997</v>
      </c>
      <c r="E59" s="77"/>
    </row>
    <row r="60" spans="2:6" x14ac:dyDescent="0.2">
      <c r="B60" s="332" t="s">
        <v>744</v>
      </c>
      <c r="C60" s="58" t="s">
        <v>52</v>
      </c>
      <c r="D60" s="139">
        <f>IF(Cover!C23="Scheme pipeline","-",SUMIF('3.5 Depreciation amortisation'!$D$15:$D$58,'3.1 Depreciated Book Value'!C58,'3.5 Depreciation amortisation'!$I$15:$I$58))</f>
        <v>-76608.819999999949</v>
      </c>
      <c r="E60" s="77"/>
    </row>
    <row r="61" spans="2:6" x14ac:dyDescent="0.2">
      <c r="B61" s="332" t="s">
        <v>744</v>
      </c>
      <c r="C61" s="58" t="s">
        <v>227</v>
      </c>
      <c r="D61" s="139">
        <f>IF(Cover!C23="Scheme pipeline","-",SUMIF('3.5 Depreciation amortisation'!$D$15:$D$58,'3.1 Depreciated Book Value'!C58,'3.5 Depreciation amortisation'!$J$15:$J$58))</f>
        <v>0</v>
      </c>
      <c r="E61" s="77"/>
    </row>
    <row r="62" spans="2:6" ht="11.25" customHeight="1" x14ac:dyDescent="0.2">
      <c r="B62" s="332" t="s">
        <v>744</v>
      </c>
      <c r="C62" s="58" t="s">
        <v>564</v>
      </c>
      <c r="D62" s="139">
        <f>IF(Cover!C23="Scheme pipeline","-",-ABS(SUMIF('3.5 Depreciation amortisation'!$D$15:$D$58,'3.1 Depreciated Book Value'!C58,'3.5 Depreciation amortisation'!$O$15:$O$58)+SUMIF('3.5 Depreciation amortisation'!$D$15:$D$58,'3.1 Depreciated Book Value'!C58,'3.5 Depreciation amortisation'!$P$15:$P$58))-D63)</f>
        <v>-8673651.7599999923</v>
      </c>
      <c r="E62" s="77"/>
      <c r="F62" s="256"/>
    </row>
    <row r="63" spans="2:6" ht="11.25" customHeight="1" x14ac:dyDescent="0.2">
      <c r="B63" s="332" t="s">
        <v>744</v>
      </c>
      <c r="C63" s="58" t="s">
        <v>565</v>
      </c>
      <c r="D63" s="139">
        <f>IF(Cover!C23="Scheme pipeline","-",-ABS(SUMIF('3.4 Asset impairment'!$C$10:$C$24,'3.1 Depreciated Book Value'!C58,'3.4 Asset impairment'!$D$10:$D$24))+SUMIF('3.4 Asset impairment'!$C$30:$C$56,'3.1 Depreciated Book Value'!C58,'3.4 Asset impairment'!$G$30:$G$56))</f>
        <v>0</v>
      </c>
      <c r="E63" s="77"/>
      <c r="F63" s="256"/>
    </row>
    <row r="64" spans="2:6" ht="11.25" customHeight="1" x14ac:dyDescent="0.2">
      <c r="B64" s="332" t="s">
        <v>744</v>
      </c>
      <c r="C64" s="58" t="s">
        <v>236</v>
      </c>
      <c r="D64" s="139">
        <f>IF(Cover!C23="Scheme pipeline","-",SUMIF('3.5 Depreciation amortisation'!$D$15:$D$58,'3.1 Depreciated Book Value'!C58,'3.5 Depreciation amortisation'!$K$15:$K$58))</f>
        <v>0</v>
      </c>
      <c r="E64" s="77"/>
    </row>
    <row r="65" spans="2:6" x14ac:dyDescent="0.2">
      <c r="B65" s="296"/>
      <c r="C65" s="95" t="s">
        <v>89</v>
      </c>
      <c r="D65" s="139">
        <f>SUM(D59:D64)</f>
        <v>4365150.3100000042</v>
      </c>
      <c r="E65" s="139">
        <f>SUM(E59:E64)</f>
        <v>0</v>
      </c>
    </row>
    <row r="66" spans="2:6" x14ac:dyDescent="0.2">
      <c r="B66" s="296"/>
      <c r="C66" s="59" t="s">
        <v>554</v>
      </c>
      <c r="D66" s="140"/>
      <c r="E66" s="140"/>
    </row>
    <row r="67" spans="2:6" x14ac:dyDescent="0.2">
      <c r="B67" s="332" t="s">
        <v>744</v>
      </c>
      <c r="C67" s="58" t="s">
        <v>585</v>
      </c>
      <c r="D67" s="139">
        <f>IF(Cover!C23="Scheme pipeline","-",SUMIF('3.5 Depreciation amortisation'!$D$15:$D$58,'3.1 Depreciated Book Value'!C66,'3.5 Depreciation amortisation'!$H$15:$H$58))</f>
        <v>8593060.1099999901</v>
      </c>
      <c r="E67" s="77"/>
    </row>
    <row r="68" spans="2:6" x14ac:dyDescent="0.2">
      <c r="B68" s="332" t="s">
        <v>744</v>
      </c>
      <c r="C68" s="58" t="s">
        <v>52</v>
      </c>
      <c r="D68" s="139">
        <f>IF(Cover!C23="Scheme pipeline","-",SUMIF('3.5 Depreciation amortisation'!$D$15:$D$58,'3.1 Depreciated Book Value'!C66,'3.5 Depreciation amortisation'!$I$15:$I$58))</f>
        <v>796737</v>
      </c>
      <c r="E68" s="77"/>
    </row>
    <row r="69" spans="2:6" x14ac:dyDescent="0.2">
      <c r="B69" s="332" t="s">
        <v>744</v>
      </c>
      <c r="C69" s="58" t="s">
        <v>227</v>
      </c>
      <c r="D69" s="139">
        <f>IF(Cover!C23="Scheme pipeline","-",SUMIF('3.5 Depreciation amortisation'!$D$15:$D$58,'3.1 Depreciated Book Value'!C66,'3.5 Depreciation amortisation'!$J$15:$J$58))</f>
        <v>0</v>
      </c>
      <c r="E69" s="77"/>
    </row>
    <row r="70" spans="2:6" x14ac:dyDescent="0.2">
      <c r="B70" s="332" t="s">
        <v>744</v>
      </c>
      <c r="C70" s="58" t="s">
        <v>564</v>
      </c>
      <c r="D70" s="139">
        <f>IF(Cover!C23="Scheme pipeline","-",-ABS(SUMIF('3.5 Depreciation amortisation'!$D$15:$D$58,'3.1 Depreciated Book Value'!C66,'3.5 Depreciation amortisation'!$O$15:$O$58)+SUMIF('3.5 Depreciation amortisation'!$D$15:$D$58,'3.1 Depreciated Book Value'!C66,'3.5 Depreciation amortisation'!$P$15:$P$58))-D71)</f>
        <v>-3052497.2514199312</v>
      </c>
      <c r="E70" s="77"/>
      <c r="F70" s="256"/>
    </row>
    <row r="71" spans="2:6" x14ac:dyDescent="0.2">
      <c r="B71" s="332" t="s">
        <v>744</v>
      </c>
      <c r="C71" s="58" t="s">
        <v>565</v>
      </c>
      <c r="D71" s="139">
        <f>IF(Cover!C23="Scheme pipeline","-",-ABS(SUMIF('3.4 Asset impairment'!$C$10:$C$24,'3.1 Depreciated Book Value'!C66,'3.4 Asset impairment'!$D$10:$D$24))+SUMIF('3.4 Asset impairment'!$C$30:$C$56,'3.1 Depreciated Book Value'!C66,'3.4 Asset impairment'!$G$30:$G$56))</f>
        <v>0</v>
      </c>
      <c r="E71" s="77"/>
      <c r="F71" s="256"/>
    </row>
    <row r="72" spans="2:6" ht="11.25" customHeight="1" x14ac:dyDescent="0.2">
      <c r="B72" s="332" t="s">
        <v>744</v>
      </c>
      <c r="C72" s="58" t="s">
        <v>236</v>
      </c>
      <c r="D72" s="139">
        <f>IF(Cover!C23="Scheme pipeline","-",SUMIF('3.5 Depreciation amortisation'!$D$15:$D$58,'3.1 Depreciated Book Value'!C66,'3.5 Depreciation amortisation'!$K$15:$K$58))</f>
        <v>0</v>
      </c>
      <c r="E72" s="77"/>
    </row>
    <row r="73" spans="2:6" x14ac:dyDescent="0.2">
      <c r="B73" s="296"/>
      <c r="C73" s="95" t="s">
        <v>61</v>
      </c>
      <c r="D73" s="139">
        <f>SUM(D67:D72)</f>
        <v>6337299.8585800584</v>
      </c>
      <c r="E73" s="139">
        <f>SUM(E67:E72)</f>
        <v>0</v>
      </c>
    </row>
    <row r="74" spans="2:6" x14ac:dyDescent="0.2">
      <c r="B74" s="296"/>
      <c r="C74" s="59" t="s">
        <v>90</v>
      </c>
      <c r="D74" s="140"/>
      <c r="E74" s="140"/>
    </row>
    <row r="75" spans="2:6" x14ac:dyDescent="0.2">
      <c r="B75" s="332" t="s">
        <v>744</v>
      </c>
      <c r="C75" s="58" t="s">
        <v>585</v>
      </c>
      <c r="D75" s="139">
        <f>IF(Cover!C23="Scheme pipeline","-",SUMIF('3.5 Depreciation amortisation'!$D$15:$D$58,'3.1 Depreciated Book Value'!C74,'3.5 Depreciation amortisation'!$H$15:$H$58))</f>
        <v>5091571.9600000009</v>
      </c>
      <c r="E75" s="77"/>
    </row>
    <row r="76" spans="2:6" x14ac:dyDescent="0.2">
      <c r="B76" s="332" t="s">
        <v>744</v>
      </c>
      <c r="C76" s="58" t="s">
        <v>52</v>
      </c>
      <c r="D76" s="139">
        <f>IF(Cover!C23="Scheme pipeline","-",SUMIF('3.5 Depreciation amortisation'!$D$15:$D$58,'3.1 Depreciated Book Value'!C74,'3.5 Depreciation amortisation'!$I$15:$I$58))</f>
        <v>6346459</v>
      </c>
      <c r="E76" s="77"/>
    </row>
    <row r="77" spans="2:6" x14ac:dyDescent="0.2">
      <c r="B77" s="332" t="s">
        <v>744</v>
      </c>
      <c r="C77" s="58" t="s">
        <v>227</v>
      </c>
      <c r="D77" s="139">
        <f>IF(Cover!C23="Scheme pipeline","-",SUMIF('3.5 Depreciation amortisation'!$D$15:$D$58,'3.1 Depreciated Book Value'!C74,'3.5 Depreciation amortisation'!$J$15:$J$58))</f>
        <v>0</v>
      </c>
      <c r="E77" s="77"/>
    </row>
    <row r="78" spans="2:6" x14ac:dyDescent="0.2">
      <c r="B78" s="332" t="s">
        <v>744</v>
      </c>
      <c r="C78" s="58" t="s">
        <v>565</v>
      </c>
      <c r="D78" s="139">
        <f>IF(Cover!C23="Scheme pipeline","-",-ABS(SUMIF('3.4 Asset impairment'!$C$10:$C$24,'3.1 Depreciated Book Value'!C74,'3.4 Asset impairment'!$D$10:$D$24))+SUMIF('3.4 Asset impairment'!$C$30:$C$56,'3.1 Depreciated Book Value'!C74,'3.4 Asset impairment'!$G$30:$G$56))</f>
        <v>0</v>
      </c>
      <c r="E78" s="77"/>
    </row>
    <row r="79" spans="2:6" ht="11.25" customHeight="1" x14ac:dyDescent="0.2">
      <c r="B79" s="332" t="s">
        <v>744</v>
      </c>
      <c r="C79" s="58" t="s">
        <v>236</v>
      </c>
      <c r="D79" s="139">
        <f>IF(Cover!C23="Scheme pipeline","-",SUMIF('3.5 Depreciation amortisation'!$D$15:$D$58,'3.1 Depreciated Book Value'!C74,'3.5 Depreciation amortisation'!$K$15:$K$58))</f>
        <v>0</v>
      </c>
      <c r="E79" s="77"/>
    </row>
    <row r="80" spans="2:6" x14ac:dyDescent="0.2">
      <c r="B80" s="296"/>
      <c r="C80" s="95" t="s">
        <v>91</v>
      </c>
      <c r="D80" s="139">
        <f>SUM(D75:D79)</f>
        <v>11438030.960000001</v>
      </c>
      <c r="E80" s="139">
        <f>SUM(E75:E79)</f>
        <v>0</v>
      </c>
    </row>
    <row r="81" spans="2:8" x14ac:dyDescent="0.2">
      <c r="B81" s="296"/>
      <c r="C81" s="59" t="s">
        <v>132</v>
      </c>
      <c r="D81" s="140"/>
      <c r="E81" s="140"/>
      <c r="G81" s="277"/>
      <c r="H81" s="277"/>
    </row>
    <row r="82" spans="2:8" s="277" customFormat="1" x14ac:dyDescent="0.2">
      <c r="B82" s="332" t="s">
        <v>744</v>
      </c>
      <c r="C82" s="58" t="s">
        <v>585</v>
      </c>
      <c r="D82" s="139">
        <f>IF(Cover!C23="Scheme pipeline","-",SUMIF('3.5 Depreciation amortisation'!$D$15:$D$58,'3.1 Depreciated Book Value'!C81,'3.5 Depreciation amortisation'!$H$15:$H$58))</f>
        <v>34518359.23999989</v>
      </c>
      <c r="E82" s="141"/>
      <c r="F82" s="278"/>
    </row>
    <row r="83" spans="2:8" s="277" customFormat="1" x14ac:dyDescent="0.2">
      <c r="B83" s="332" t="s">
        <v>744</v>
      </c>
      <c r="C83" s="58" t="s">
        <v>52</v>
      </c>
      <c r="D83" s="139">
        <f>IF(Cover!C23="Scheme pipeline","-",SUMIF('3.5 Depreciation amortisation'!$D$15:$D$58,'3.1 Depreciated Book Value'!C81,'3.5 Depreciation amortisation'!$I$15:$I$58))</f>
        <v>29459325.769999996</v>
      </c>
      <c r="E83" s="141"/>
      <c r="F83" s="278"/>
    </row>
    <row r="84" spans="2:8" s="277" customFormat="1" x14ac:dyDescent="0.2">
      <c r="B84" s="332" t="s">
        <v>744</v>
      </c>
      <c r="C84" s="58" t="s">
        <v>227</v>
      </c>
      <c r="D84" s="139">
        <f>IF(Cover!C23="Scheme pipeline","-",SUMIF('3.5 Depreciation amortisation'!$D$15:$D$58,'3.1 Depreciated Book Value'!C81,'3.5 Depreciation amortisation'!$J$15:$J$58))</f>
        <v>0</v>
      </c>
      <c r="E84" s="141"/>
      <c r="F84" s="278"/>
    </row>
    <row r="85" spans="2:8" s="277" customFormat="1" x14ac:dyDescent="0.2">
      <c r="B85" s="332" t="s">
        <v>744</v>
      </c>
      <c r="C85" s="58" t="s">
        <v>564</v>
      </c>
      <c r="D85" s="139">
        <f>IF(Cover!C23="Scheme pipeline","-",-ABS(SUMIF('3.5 Depreciation amortisation'!$D$15:$D$58,'3.1 Depreciated Book Value'!C81,'3.5 Depreciation amortisation'!$O$15:$O$58)+SUMIF('3.5 Depreciation amortisation'!$D$15:$D$58,'3.1 Depreciated Book Value'!C81,'3.5 Depreciation amortisation'!$P$15:$P$58))-D86)</f>
        <v>-28197202.591410238</v>
      </c>
      <c r="E85" s="141"/>
      <c r="F85" s="278"/>
    </row>
    <row r="86" spans="2:8" s="277" customFormat="1" x14ac:dyDescent="0.2">
      <c r="B86" s="332" t="s">
        <v>744</v>
      </c>
      <c r="C86" s="58" t="s">
        <v>565</v>
      </c>
      <c r="D86" s="139">
        <f>IF(Cover!C23="Scheme pipeline","-",-ABS(SUMIF('3.4 Asset impairment'!$C$10:$C$24,'3.1 Depreciated Book Value'!C81,'3.4 Asset impairment'!$D$10:$D$24))+SUMIF('3.4 Asset impairment'!$C$30:$C$56,'3.1 Depreciated Book Value'!C81,'3.4 Asset impairment'!$G$30:$G$56))</f>
        <v>0</v>
      </c>
      <c r="E86" s="141"/>
      <c r="F86" s="278"/>
    </row>
    <row r="87" spans="2:8" s="277" customFormat="1" x14ac:dyDescent="0.2">
      <c r="B87" s="332" t="s">
        <v>744</v>
      </c>
      <c r="C87" s="58" t="s">
        <v>236</v>
      </c>
      <c r="D87" s="139">
        <f>IF(Cover!C23="Scheme pipeline","-",SUMIF('3.5 Depreciation amortisation'!$D$15:$D$58,'3.1 Depreciated Book Value'!C81,'3.5 Depreciation amortisation'!$K$15:$K$58))</f>
        <v>-228209</v>
      </c>
      <c r="E87" s="141"/>
      <c r="G87" s="4"/>
      <c r="H87" s="4"/>
    </row>
    <row r="88" spans="2:8" x14ac:dyDescent="0.2">
      <c r="B88" s="296"/>
      <c r="C88" s="95" t="s">
        <v>133</v>
      </c>
      <c r="D88" s="139">
        <f>SUM(D82:D87)</f>
        <v>35552273.418589652</v>
      </c>
      <c r="E88" s="139">
        <f>SUM(E82:E87)</f>
        <v>0</v>
      </c>
    </row>
    <row r="89" spans="2:8" x14ac:dyDescent="0.2">
      <c r="B89" s="296"/>
      <c r="C89" s="59" t="s">
        <v>555</v>
      </c>
      <c r="D89" s="140"/>
      <c r="E89" s="140"/>
      <c r="F89" s="111"/>
    </row>
    <row r="90" spans="2:8" x14ac:dyDescent="0.2">
      <c r="B90" s="332" t="s">
        <v>744</v>
      </c>
      <c r="C90" s="58" t="s">
        <v>585</v>
      </c>
      <c r="D90" s="139">
        <f>IF(Cover!C23="Scheme pipeline","-",SUMIF('3.5 Depreciation amortisation'!$D$15:$D$58,'3.1 Depreciated Book Value'!C89,'3.5 Depreciation amortisation'!$H$15:$H$58))</f>
        <v>1093541.8299999998</v>
      </c>
      <c r="E90" s="77"/>
      <c r="F90" s="111"/>
    </row>
    <row r="91" spans="2:8" x14ac:dyDescent="0.2">
      <c r="B91" s="332" t="s">
        <v>744</v>
      </c>
      <c r="C91" s="58" t="s">
        <v>52</v>
      </c>
      <c r="D91" s="139">
        <f>IF(Cover!C23="Scheme pipeline","-",SUMIF('3.5 Depreciation amortisation'!$D$15:$D$58,'3.1 Depreciated Book Value'!C89,'3.5 Depreciation amortisation'!$I$15:$I$58))</f>
        <v>2299788.08</v>
      </c>
      <c r="E91" s="77"/>
      <c r="F91" s="111"/>
    </row>
    <row r="92" spans="2:8" x14ac:dyDescent="0.2">
      <c r="B92" s="332" t="s">
        <v>744</v>
      </c>
      <c r="C92" s="58" t="s">
        <v>227</v>
      </c>
      <c r="D92" s="139">
        <f>IF(Cover!C23="Scheme pipeline","-",SUMIF('3.5 Depreciation amortisation'!$D$15:$D$58,'3.1 Depreciated Book Value'!C89,'3.5 Depreciation amortisation'!$J$15:$J$58))</f>
        <v>0</v>
      </c>
      <c r="E92" s="77"/>
      <c r="F92" s="111"/>
    </row>
    <row r="93" spans="2:8" x14ac:dyDescent="0.2">
      <c r="B93" s="332" t="s">
        <v>744</v>
      </c>
      <c r="C93" s="58" t="s">
        <v>566</v>
      </c>
      <c r="D93" s="139">
        <f>IF(Cover!C23="Scheme pipeline","-",-ABS(SUMIF('3.5 Depreciation amortisation'!$D$15:$D$58,'3.1 Depreciated Book Value'!C89,'3.5 Depreciation amortisation'!$O$15:$O$58)+SUMIF('3.5 Depreciation amortisation'!$D$15:$D$58,'3.1 Depreciated Book Value'!C89,'3.5 Depreciation amortisation'!$P$15:$P$58))-D94)</f>
        <v>-1715782.1599999997</v>
      </c>
      <c r="E93" s="77"/>
      <c r="F93" s="111"/>
      <c r="G93" s="111"/>
    </row>
    <row r="94" spans="2:8" x14ac:dyDescent="0.2">
      <c r="B94" s="332" t="s">
        <v>744</v>
      </c>
      <c r="C94" s="58" t="s">
        <v>565</v>
      </c>
      <c r="D94" s="139">
        <f>IF(Cover!C23="Scheme pipeline","-",-ABS(SUMIF('3.4 Asset impairment'!$C$10:$C$24,'3.1 Depreciated Book Value'!C89,'3.4 Asset impairment'!$D$10:$D$24))+SUMIF('3.4 Asset impairment'!$C$30:$C$56,'3.1 Depreciated Book Value'!C89,'3.4 Asset impairment'!$G$30:$G$56))</f>
        <v>0</v>
      </c>
      <c r="E94" s="77"/>
      <c r="F94" s="111"/>
      <c r="G94" s="111"/>
    </row>
    <row r="95" spans="2:8" ht="11.25" customHeight="1" x14ac:dyDescent="0.2">
      <c r="B95" s="332" t="s">
        <v>744</v>
      </c>
      <c r="C95" s="58" t="s">
        <v>236</v>
      </c>
      <c r="D95" s="139">
        <f>IF(Cover!C23="Scheme pipeline","-",SUMIF('3.5 Depreciation amortisation'!$D$15:$D$58,'3.1 Depreciated Book Value'!C89,'3.5 Depreciation amortisation'!$K$15:$K$58))</f>
        <v>-93071.360000000001</v>
      </c>
      <c r="E95" s="77"/>
      <c r="F95" s="111"/>
    </row>
    <row r="96" spans="2:8" x14ac:dyDescent="0.2">
      <c r="B96" s="296"/>
      <c r="C96" s="95" t="s">
        <v>168</v>
      </c>
      <c r="D96" s="139">
        <f>SUM(D90:D95)</f>
        <v>1584476.3900000004</v>
      </c>
      <c r="E96" s="139">
        <f>SUM(E90:E95)</f>
        <v>0</v>
      </c>
      <c r="F96" s="111"/>
    </row>
    <row r="97" spans="2:7" x14ac:dyDescent="0.2">
      <c r="B97" s="332" t="s">
        <v>744</v>
      </c>
      <c r="C97" s="59" t="s">
        <v>92</v>
      </c>
      <c r="D97" s="140"/>
      <c r="E97" s="140"/>
    </row>
    <row r="98" spans="2:7" x14ac:dyDescent="0.2">
      <c r="B98" s="332" t="s">
        <v>744</v>
      </c>
      <c r="C98" s="58" t="s">
        <v>585</v>
      </c>
      <c r="D98" s="77"/>
      <c r="E98" s="77"/>
      <c r="F98" s="111"/>
    </row>
    <row r="99" spans="2:7" x14ac:dyDescent="0.2">
      <c r="B99" s="332" t="s">
        <v>744</v>
      </c>
      <c r="C99" s="58" t="s">
        <v>52</v>
      </c>
      <c r="D99" s="77"/>
      <c r="E99" s="77"/>
      <c r="F99" s="111"/>
    </row>
    <row r="100" spans="2:7" x14ac:dyDescent="0.2">
      <c r="B100" s="332" t="s">
        <v>744</v>
      </c>
      <c r="C100" s="58" t="s">
        <v>227</v>
      </c>
      <c r="D100" s="77"/>
      <c r="E100" s="77"/>
      <c r="F100" s="111"/>
    </row>
    <row r="101" spans="2:7" x14ac:dyDescent="0.2">
      <c r="B101" s="332" t="s">
        <v>744</v>
      </c>
      <c r="C101" s="58" t="s">
        <v>236</v>
      </c>
      <c r="D101" s="77"/>
      <c r="E101" s="77"/>
      <c r="F101" s="111"/>
      <c r="G101" s="111"/>
    </row>
    <row r="102" spans="2:7" x14ac:dyDescent="0.2">
      <c r="B102" s="296"/>
      <c r="C102" s="95" t="s">
        <v>562</v>
      </c>
      <c r="D102" s="139">
        <f>SUM(D98:D101)</f>
        <v>0</v>
      </c>
      <c r="E102" s="139">
        <f>SUM(E98:E101)</f>
        <v>0</v>
      </c>
      <c r="F102" s="111"/>
    </row>
    <row r="103" spans="2:7" x14ac:dyDescent="0.2">
      <c r="B103" s="296"/>
      <c r="C103" s="96" t="s">
        <v>56</v>
      </c>
      <c r="D103" s="139">
        <f>SUM(D25,D33,D41,D49,D57,D65,D73,D80,D88,D102,D96)</f>
        <v>2599708744.4554</v>
      </c>
      <c r="E103" s="139">
        <f>SUM(E25,E33,E41,E49,E57,E65,E73,E80,E88,E102,E96)</f>
        <v>0</v>
      </c>
      <c r="F103" s="111"/>
    </row>
    <row r="104" spans="2:7" x14ac:dyDescent="0.2">
      <c r="B104" s="296"/>
      <c r="C104" s="57" t="s">
        <v>232</v>
      </c>
      <c r="D104" s="140"/>
      <c r="E104" s="140"/>
    </row>
    <row r="105" spans="2:7" x14ac:dyDescent="0.2">
      <c r="B105" s="296"/>
      <c r="C105" s="59" t="s">
        <v>224</v>
      </c>
      <c r="D105" s="140"/>
      <c r="E105" s="140"/>
    </row>
    <row r="106" spans="2:7" x14ac:dyDescent="0.2">
      <c r="B106" s="332" t="s">
        <v>744</v>
      </c>
      <c r="C106" s="58" t="s">
        <v>585</v>
      </c>
      <c r="D106" s="139">
        <f>IF(Cover!C23="Scheme pipeline","-",SUMIF('3.5 Depreciation amortisation'!$D$66:$D$83,$C$105,'3.5 Depreciation amortisation'!$G$66:$G$83))</f>
        <v>123837515.15801202</v>
      </c>
      <c r="E106" s="77"/>
      <c r="F106" s="111"/>
    </row>
    <row r="107" spans="2:7" x14ac:dyDescent="0.2">
      <c r="B107" s="332" t="s">
        <v>744</v>
      </c>
      <c r="C107" s="58" t="s">
        <v>52</v>
      </c>
      <c r="D107" s="139">
        <f>IF(Cover!C23="Scheme pipeline","-",SUMIF('3.5 Depreciation amortisation'!$D$66:$D$83,$C$105,'3.5 Depreciation amortisation'!$H$66:$H$83))</f>
        <v>24996301.684496883</v>
      </c>
      <c r="E107" s="77"/>
      <c r="F107" s="111"/>
    </row>
    <row r="108" spans="2:7" x14ac:dyDescent="0.2">
      <c r="B108" s="332" t="s">
        <v>744</v>
      </c>
      <c r="C108" s="58" t="s">
        <v>227</v>
      </c>
      <c r="D108" s="139">
        <f>IF(Cover!C23="Scheme pipeline","-",SUMIF('3.5 Depreciation amortisation'!$D$66:$D$83,$C$105,'3.5 Depreciation amortisation'!$I$66:$I$83))</f>
        <v>0</v>
      </c>
      <c r="E108" s="77"/>
    </row>
    <row r="109" spans="2:7" x14ac:dyDescent="0.2">
      <c r="B109" s="332" t="s">
        <v>744</v>
      </c>
      <c r="C109" s="58" t="s">
        <v>564</v>
      </c>
      <c r="D109" s="139">
        <f>IF(Cover!C23="Scheme pipeline","-",-ABS(SUMIF('3.5 Depreciation amortisation'!$D$66:$D$83,$C$105,'3.5 Depreciation amortisation'!$N$66:$N$83)+SUMIF('3.5 Depreciation amortisation'!$D$66:$D$83,$C$105,'3.5 Depreciation amortisation'!$O$66:$O$83))-D110)</f>
        <v>-105022140.18569952</v>
      </c>
      <c r="E109" s="77"/>
      <c r="F109" s="111"/>
    </row>
    <row r="110" spans="2:7" x14ac:dyDescent="0.2">
      <c r="B110" s="332" t="s">
        <v>744</v>
      </c>
      <c r="C110" s="58" t="s">
        <v>565</v>
      </c>
      <c r="D110" s="139">
        <f>IF(Cover!C23="Scheme pipeline","-",-ABS(SUMIF('3.4 Asset impairment'!$C$10:$C$24,'3.1 Depreciated Book Value'!C105,'3.4 Asset impairment'!$D$10:$D$24))+SUMIF('3.4 Asset impairment'!$C$30:$C$56,'3.1 Depreciated Book Value'!C105,'3.4 Asset impairment'!$G$30:$G$56))</f>
        <v>0</v>
      </c>
      <c r="E110" s="77"/>
      <c r="F110" s="111"/>
    </row>
    <row r="111" spans="2:7" x14ac:dyDescent="0.2">
      <c r="B111" s="332" t="s">
        <v>744</v>
      </c>
      <c r="C111" s="58" t="s">
        <v>236</v>
      </c>
      <c r="D111" s="139">
        <f>IF(Cover!C23="Scheme pipeline","-",SUMIF('3.5 Depreciation amortisation'!$D$66:$D$83,$C$105,'3.5 Depreciation amortisation'!$J$66:$J$83))</f>
        <v>-274624.65962285374</v>
      </c>
      <c r="E111" s="77"/>
      <c r="F111" s="111"/>
    </row>
    <row r="112" spans="2:7" x14ac:dyDescent="0.2">
      <c r="B112" s="296"/>
      <c r="C112" s="95" t="s">
        <v>235</v>
      </c>
      <c r="D112" s="139">
        <f>SUM(D106:D111)</f>
        <v>43537051.997186534</v>
      </c>
      <c r="E112" s="139">
        <f>SUM(E106:E111)</f>
        <v>0</v>
      </c>
    </row>
    <row r="113" spans="2:7" x14ac:dyDescent="0.2">
      <c r="B113" s="296"/>
      <c r="C113" s="59" t="s">
        <v>199</v>
      </c>
      <c r="D113" s="140"/>
      <c r="E113" s="140"/>
      <c r="F113" s="111"/>
    </row>
    <row r="114" spans="2:7" x14ac:dyDescent="0.2">
      <c r="B114" s="332" t="s">
        <v>744</v>
      </c>
      <c r="C114" s="58" t="s">
        <v>585</v>
      </c>
      <c r="D114" s="139">
        <f>IF(Cover!C23="Scheme pipeline","-",SUMIF('3.5 Depreciation amortisation'!$D$66:$D$83,$C$113,'3.5 Depreciation amortisation'!$G$66:$G$83))</f>
        <v>20760993.494640227</v>
      </c>
      <c r="E114" s="77"/>
      <c r="F114" s="111"/>
    </row>
    <row r="115" spans="2:7" x14ac:dyDescent="0.2">
      <c r="B115" s="332" t="s">
        <v>744</v>
      </c>
      <c r="C115" s="58" t="s">
        <v>52</v>
      </c>
      <c r="D115" s="139">
        <f>IF(Cover!C23="Scheme pipeline","-",SUMIF('3.5 Depreciation amortisation'!$D$66:$D$83,$C$113,'3.5 Depreciation amortisation'!$H$66:$H$83))</f>
        <v>3355256.7295331676</v>
      </c>
      <c r="E115" s="77"/>
      <c r="F115" s="111"/>
    </row>
    <row r="116" spans="2:7" x14ac:dyDescent="0.2">
      <c r="B116" s="332" t="s">
        <v>744</v>
      </c>
      <c r="C116" s="58" t="s">
        <v>227</v>
      </c>
      <c r="D116" s="139">
        <f>IF(Cover!C23="Scheme pipeline","-",SUMIF('3.5 Depreciation amortisation'!$D$66:$D$83,$C$113,'3.5 Depreciation amortisation'!$I$66:$I$83))</f>
        <v>0</v>
      </c>
      <c r="E116" s="77"/>
      <c r="F116" s="111"/>
    </row>
    <row r="117" spans="2:7" x14ac:dyDescent="0.2">
      <c r="B117" s="332" t="s">
        <v>744</v>
      </c>
      <c r="C117" s="58" t="s">
        <v>566</v>
      </c>
      <c r="D117" s="139">
        <f>IF(Cover!C23="Scheme pipeline","-",-ABS(SUMIF('3.5 Depreciation amortisation'!$D$66:$D$83,$C$113,'3.5 Depreciation amortisation'!$N$66:$N$83)+SUMIF('3.5 Depreciation amortisation'!$D$66:$D$83,$C$113,'3.5 Depreciation amortisation'!$O$66:$O$83))-D118)</f>
        <v>-13564274.454445992</v>
      </c>
      <c r="E117" s="77"/>
      <c r="F117" s="111"/>
      <c r="G117" s="111"/>
    </row>
    <row r="118" spans="2:7" x14ac:dyDescent="0.2">
      <c r="B118" s="332" t="s">
        <v>744</v>
      </c>
      <c r="C118" s="58" t="s">
        <v>565</v>
      </c>
      <c r="D118" s="139">
        <f>IF(Cover!C23="Scheme pipeline","-",-ABS(SUMIF('3.4 Asset impairment'!$C$10:$C$24,'3.1 Depreciated Book Value'!C113,'3.4 Asset impairment'!$D$10:$D$24))+SUMIF('3.4 Asset impairment'!$C$30:$C$56,'3.1 Depreciated Book Value'!C113,'3.4 Asset impairment'!$G$30:$G$56))</f>
        <v>0</v>
      </c>
      <c r="E118" s="77"/>
      <c r="F118" s="111"/>
      <c r="G118" s="111"/>
    </row>
    <row r="119" spans="2:7" ht="11.25" customHeight="1" x14ac:dyDescent="0.2">
      <c r="B119" s="332" t="s">
        <v>744</v>
      </c>
      <c r="C119" s="58" t="s">
        <v>236</v>
      </c>
      <c r="D119" s="139">
        <f>IF(Cover!C23="Scheme pipeline","-",SUMIF('3.5 Depreciation amortisation'!$D$66:$D$83,$C$113,'3.5 Depreciation amortisation'!$J$66:$J$83))</f>
        <v>-75811.324274266197</v>
      </c>
      <c r="E119" s="77"/>
      <c r="F119" s="111"/>
    </row>
    <row r="120" spans="2:7" x14ac:dyDescent="0.2">
      <c r="B120" s="296"/>
      <c r="C120" s="95" t="s">
        <v>234</v>
      </c>
      <c r="D120" s="139">
        <f>SUM(D114:D119)</f>
        <v>10476164.445453139</v>
      </c>
      <c r="E120" s="139">
        <f>SUM(E114:E119)</f>
        <v>0</v>
      </c>
      <c r="F120" s="111"/>
    </row>
    <row r="121" spans="2:7" x14ac:dyDescent="0.2">
      <c r="B121" s="332" t="s">
        <v>744</v>
      </c>
      <c r="C121" s="59" t="s">
        <v>70</v>
      </c>
      <c r="D121" s="77">
        <v>14230218.859999999</v>
      </c>
      <c r="E121" s="77"/>
      <c r="F121" s="111"/>
    </row>
    <row r="122" spans="2:7" x14ac:dyDescent="0.2">
      <c r="B122" s="332" t="s">
        <v>744</v>
      </c>
      <c r="C122" s="59" t="s">
        <v>71</v>
      </c>
      <c r="D122" s="77">
        <v>0</v>
      </c>
      <c r="E122" s="77"/>
    </row>
    <row r="123" spans="2:7" x14ac:dyDescent="0.2">
      <c r="B123" s="332" t="s">
        <v>744</v>
      </c>
      <c r="C123" s="59" t="s">
        <v>241</v>
      </c>
      <c r="D123" s="77">
        <v>1087575145.6699998</v>
      </c>
      <c r="E123" s="77"/>
    </row>
    <row r="124" spans="2:7" x14ac:dyDescent="0.2">
      <c r="B124" s="296"/>
      <c r="C124" s="97" t="s">
        <v>233</v>
      </c>
      <c r="D124" s="139">
        <f>SUM(D112,D120:D123)</f>
        <v>1155818580.9726396</v>
      </c>
      <c r="E124" s="139">
        <f>SUM(E112,E120:E123)</f>
        <v>0</v>
      </c>
      <c r="F124" s="111"/>
    </row>
    <row r="125" spans="2:7" ht="12.75" customHeight="1" x14ac:dyDescent="0.2">
      <c r="B125" s="296"/>
      <c r="C125" s="97" t="s">
        <v>17</v>
      </c>
      <c r="D125" s="142">
        <f>SUM(D103,D124)</f>
        <v>3755527325.4280396</v>
      </c>
      <c r="E125" s="142">
        <f>SUM(E103,E124)</f>
        <v>0</v>
      </c>
    </row>
    <row r="128" spans="2:7" ht="15.75" x14ac:dyDescent="0.25">
      <c r="B128" s="223" t="s">
        <v>683</v>
      </c>
    </row>
    <row r="129" spans="2:4" ht="12.75" customHeight="1" x14ac:dyDescent="0.25">
      <c r="B129" s="223"/>
    </row>
    <row r="130" spans="2:4" ht="25.5" x14ac:dyDescent="0.2">
      <c r="B130" s="55" t="s">
        <v>515</v>
      </c>
      <c r="C130" s="56" t="s">
        <v>13</v>
      </c>
      <c r="D130" s="229" t="str">
        <f>IFERROR(VLOOKUP(C132,rInitialyears,2,FALSE),"")</f>
        <v>Acquisition year</v>
      </c>
    </row>
    <row r="131" spans="2:4" x14ac:dyDescent="0.2">
      <c r="B131" s="55"/>
      <c r="C131" s="97" t="s">
        <v>17</v>
      </c>
      <c r="D131" s="229"/>
    </row>
    <row r="132" spans="2:4" x14ac:dyDescent="0.2">
      <c r="B132" s="332" t="s">
        <v>744</v>
      </c>
      <c r="C132" s="307" t="s">
        <v>679</v>
      </c>
      <c r="D132" s="308">
        <v>2870593645.4270339</v>
      </c>
    </row>
  </sheetData>
  <sheetProtection sheet="1"/>
  <mergeCells count="3">
    <mergeCell ref="B13:C13"/>
    <mergeCell ref="B4:C4"/>
    <mergeCell ref="B6:F10"/>
  </mergeCells>
  <phoneticPr fontId="31" type="noConversion"/>
  <dataValidations disablePrompts="1" count="1">
    <dataValidation type="list" allowBlank="1" showInputMessage="1" showErrorMessage="1" sqref="C132" xr:uid="{0B5FD9E3-BE28-488A-A82B-2174A3553289}">
      <formula1>rInitialcosts</formula1>
    </dataValidation>
  </dataValidations>
  <pageMargins left="0.75" right="0.75" top="1" bottom="1" header="0.5" footer="0.5"/>
  <pageSetup paperSize="9" scale="27" orientation="landscape" verticalDpi="2" r:id="rId1"/>
  <headerFooter alignWithMargins="0">
    <oddFooter>&amp;C_x000D_&amp;1#&amp;"Aptos"&amp;10&amp;K008000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C4F8A-C237-4718-BF8C-7ECB83838570}">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x14ac:dyDescent="0.2"/>
  <cols>
    <col min="1" max="1" width="12" style="4" customWidth="1"/>
    <col min="2" max="2" width="34.5703125" style="4" customWidth="1"/>
    <col min="3" max="3" width="70.7109375" style="4" customWidth="1"/>
    <col min="4" max="8" width="20.7109375" style="4" customWidth="1"/>
    <col min="9" max="16384" width="9.28515625" style="4"/>
  </cols>
  <sheetData>
    <row r="1" spans="2:8" ht="20.25" x14ac:dyDescent="0.2">
      <c r="B1" s="145" t="s">
        <v>510</v>
      </c>
      <c r="C1" s="145"/>
    </row>
    <row r="2" spans="2:8" ht="20.25" x14ac:dyDescent="0.2">
      <c r="B2" s="145" t="str">
        <f>IF(Tradingname=0," ",Tradingname)</f>
        <v>EAST AUSTRALIAN PIPELINE PTY LIMITED</v>
      </c>
      <c r="C2" s="145"/>
      <c r="E2" s="275"/>
    </row>
    <row r="3" spans="2:8" ht="20.25" x14ac:dyDescent="0.3">
      <c r="B3" s="145" t="s">
        <v>110</v>
      </c>
      <c r="C3" s="110">
        <f>IF(Yearending=0, "01/01/2000", Yearending)</f>
        <v>45838</v>
      </c>
    </row>
    <row r="4" spans="2:8" ht="20.25" x14ac:dyDescent="0.3">
      <c r="B4" s="145" t="s">
        <v>590</v>
      </c>
      <c r="C4" s="110">
        <f>'1. Pipeline information'!C15</f>
        <v>0</v>
      </c>
    </row>
    <row r="5" spans="2:8" ht="20.25" x14ac:dyDescent="0.2">
      <c r="B5" s="102" t="s">
        <v>656</v>
      </c>
      <c r="C5" s="102"/>
      <c r="D5" s="258"/>
    </row>
    <row r="6" spans="2:8" x14ac:dyDescent="0.2">
      <c r="D6" s="276"/>
    </row>
    <row r="7" spans="2:8" x14ac:dyDescent="0.2">
      <c r="B7" s="417" t="s">
        <v>667</v>
      </c>
      <c r="C7" s="417"/>
      <c r="D7" s="417"/>
    </row>
    <row r="8" spans="2:8" x14ac:dyDescent="0.2">
      <c r="B8" s="417"/>
      <c r="C8" s="417"/>
      <c r="D8" s="417"/>
    </row>
    <row r="9" spans="2:8" x14ac:dyDescent="0.2">
      <c r="B9" s="417"/>
      <c r="C9" s="417"/>
      <c r="D9" s="417"/>
    </row>
    <row r="12" spans="2:8" ht="15.75" x14ac:dyDescent="0.2">
      <c r="B12" s="420" t="s">
        <v>582</v>
      </c>
      <c r="C12" s="420"/>
      <c r="D12" s="276"/>
    </row>
    <row r="14" spans="2:8" x14ac:dyDescent="0.2">
      <c r="B14" s="276"/>
      <c r="C14" s="276"/>
      <c r="D14" s="422" t="s">
        <v>58</v>
      </c>
      <c r="E14" s="422"/>
      <c r="F14" s="422"/>
      <c r="G14" s="422"/>
      <c r="H14" s="422"/>
    </row>
    <row r="15" spans="2:8" x14ac:dyDescent="0.2">
      <c r="B15" s="55" t="s">
        <v>515</v>
      </c>
      <c r="C15" s="229" t="s">
        <v>13</v>
      </c>
      <c r="D15" s="229" t="str">
        <f>YEAR(Yearstart)-4&amp;"-"&amp;RIGHT(YEAR(Yearstart)-3,2)</f>
        <v>2020-21</v>
      </c>
      <c r="E15" s="229" t="str">
        <f>YEAR(Yearstart)-3&amp;"-"&amp;RIGHT(YEAR(Yearstart)-2,2)</f>
        <v>2021-22</v>
      </c>
      <c r="F15" s="56" t="str">
        <f>YEAR(Yearstart)-2&amp;"-"&amp;RIGHT(YEAR(Yearstart)-1,2)</f>
        <v>2022-23</v>
      </c>
      <c r="G15" s="56" t="str">
        <f>YEAR(Yearstart)-1&amp;"-"&amp;RIGHT(YEAR(Yearstart),2)</f>
        <v>2023-24</v>
      </c>
      <c r="H15" s="229" t="str">
        <f>YEAR(Yearstart)&amp;"-"&amp;RIGHT(YEAR(Yearstart)+1,2)</f>
        <v>2024-25</v>
      </c>
    </row>
    <row r="16" spans="2:8" x14ac:dyDescent="0.2">
      <c r="B16" s="300"/>
      <c r="C16" s="56"/>
      <c r="D16" s="56"/>
      <c r="E16" s="56"/>
      <c r="F16" s="56"/>
      <c r="G16" s="56"/>
      <c r="H16" s="229"/>
    </row>
    <row r="17" spans="2:12" x14ac:dyDescent="0.2">
      <c r="B17" s="299"/>
      <c r="C17" s="59" t="s">
        <v>591</v>
      </c>
      <c r="D17" s="171" t="s">
        <v>589</v>
      </c>
      <c r="E17" s="171" t="s">
        <v>589</v>
      </c>
      <c r="F17" s="171" t="s">
        <v>589</v>
      </c>
      <c r="G17" s="171" t="s">
        <v>589</v>
      </c>
      <c r="H17" s="171" t="s">
        <v>589</v>
      </c>
    </row>
    <row r="18" spans="2:12" x14ac:dyDescent="0.2">
      <c r="B18" s="327" t="s">
        <v>757</v>
      </c>
      <c r="C18" s="172" t="s">
        <v>592</v>
      </c>
      <c r="D18" s="77"/>
      <c r="E18" s="139">
        <f>D23</f>
        <v>0</v>
      </c>
      <c r="F18" s="139">
        <f>E23</f>
        <v>0</v>
      </c>
      <c r="G18" s="139">
        <f>F23</f>
        <v>0</v>
      </c>
      <c r="H18" s="139">
        <f>G23</f>
        <v>0</v>
      </c>
    </row>
    <row r="19" spans="2:12" x14ac:dyDescent="0.2">
      <c r="B19" s="327" t="s">
        <v>757</v>
      </c>
      <c r="C19" s="172" t="s">
        <v>593</v>
      </c>
      <c r="D19" s="77"/>
      <c r="E19" s="77"/>
      <c r="F19" s="77"/>
      <c r="G19" s="77"/>
      <c r="H19" s="77"/>
    </row>
    <row r="20" spans="2:12" x14ac:dyDescent="0.2">
      <c r="B20" s="299"/>
      <c r="C20" s="95" t="s">
        <v>594</v>
      </c>
      <c r="D20" s="139">
        <f>SUM(D18:D19)</f>
        <v>0</v>
      </c>
      <c r="E20" s="139">
        <f>SUM(E18:E19)</f>
        <v>0</v>
      </c>
      <c r="F20" s="139">
        <f>SUM(F18:F19)</f>
        <v>0</v>
      </c>
      <c r="G20" s="139">
        <f>SUM(G18:G19)</f>
        <v>0</v>
      </c>
      <c r="H20" s="139">
        <f>SUM(H18:H19)</f>
        <v>0</v>
      </c>
    </row>
    <row r="21" spans="2:12" x14ac:dyDescent="0.2">
      <c r="B21" s="327" t="s">
        <v>757</v>
      </c>
      <c r="C21" s="172" t="s">
        <v>595</v>
      </c>
      <c r="D21" s="77"/>
      <c r="E21" s="77"/>
      <c r="F21" s="77"/>
      <c r="G21" s="77"/>
      <c r="H21" s="77"/>
    </row>
    <row r="22" spans="2:12" x14ac:dyDescent="0.2">
      <c r="B22" s="327" t="s">
        <v>757</v>
      </c>
      <c r="C22" s="172" t="s">
        <v>596</v>
      </c>
      <c r="D22" s="77"/>
      <c r="E22" s="77"/>
      <c r="F22" s="77"/>
      <c r="G22" s="77"/>
      <c r="H22" s="77"/>
      <c r="L22" s="20"/>
    </row>
    <row r="23" spans="2:12" x14ac:dyDescent="0.2">
      <c r="B23" s="299"/>
      <c r="C23" s="95" t="s">
        <v>597</v>
      </c>
      <c r="D23" s="139">
        <f>SUM(D20:D22)</f>
        <v>0</v>
      </c>
      <c r="E23" s="139">
        <f>SUM(E20:E22)</f>
        <v>0</v>
      </c>
      <c r="F23" s="139">
        <f>SUM(F20:F22)</f>
        <v>0</v>
      </c>
      <c r="G23" s="139">
        <f>SUM(G20:G22)</f>
        <v>0</v>
      </c>
      <c r="H23" s="139">
        <f>SUM(H20:H22)</f>
        <v>0</v>
      </c>
    </row>
    <row r="24" spans="2:12" x14ac:dyDescent="0.2">
      <c r="B24" s="299"/>
      <c r="C24" s="59" t="s">
        <v>598</v>
      </c>
      <c r="D24" s="229"/>
      <c r="E24" s="229"/>
      <c r="F24" s="229"/>
      <c r="G24" s="229"/>
      <c r="H24" s="229"/>
    </row>
    <row r="25" spans="2:12" x14ac:dyDescent="0.2">
      <c r="B25" s="327" t="s">
        <v>757</v>
      </c>
      <c r="C25" s="172" t="s">
        <v>592</v>
      </c>
      <c r="D25" s="77"/>
      <c r="E25" s="139">
        <f>D29</f>
        <v>0</v>
      </c>
      <c r="F25" s="139">
        <f>E29</f>
        <v>0</v>
      </c>
      <c r="G25" s="139">
        <f>F29</f>
        <v>0</v>
      </c>
      <c r="H25" s="139">
        <f>G29</f>
        <v>0</v>
      </c>
    </row>
    <row r="26" spans="2:12" x14ac:dyDescent="0.2">
      <c r="B26" s="327" t="s">
        <v>757</v>
      </c>
      <c r="C26" s="172" t="s">
        <v>599</v>
      </c>
      <c r="D26" s="77"/>
      <c r="E26" s="77"/>
      <c r="F26" s="77"/>
      <c r="G26" s="77"/>
      <c r="H26" s="77"/>
    </row>
    <row r="27" spans="2:12" x14ac:dyDescent="0.2">
      <c r="B27" s="327" t="s">
        <v>757</v>
      </c>
      <c r="C27" s="172" t="s">
        <v>600</v>
      </c>
      <c r="D27" s="77"/>
      <c r="E27" s="77"/>
      <c r="F27" s="77"/>
      <c r="G27" s="77"/>
      <c r="H27" s="77"/>
    </row>
    <row r="28" spans="2:12" x14ac:dyDescent="0.2">
      <c r="B28" s="327" t="s">
        <v>757</v>
      </c>
      <c r="C28" s="172" t="s">
        <v>601</v>
      </c>
      <c r="D28" s="77"/>
      <c r="E28" s="77"/>
      <c r="F28" s="77"/>
      <c r="G28" s="77"/>
      <c r="H28" s="77"/>
    </row>
    <row r="29" spans="2:12" x14ac:dyDescent="0.2">
      <c r="B29" s="299"/>
      <c r="C29" s="95" t="s">
        <v>602</v>
      </c>
      <c r="D29" s="139">
        <f>SUM(D25:D28)</f>
        <v>0</v>
      </c>
      <c r="E29" s="139">
        <f>SUM(E25:E28)</f>
        <v>0</v>
      </c>
      <c r="F29" s="139">
        <f>SUM(F25:F28)</f>
        <v>0</v>
      </c>
      <c r="G29" s="139">
        <f>SUM(G25:G28)</f>
        <v>0</v>
      </c>
      <c r="H29" s="139">
        <f>SUM(H25:H28)</f>
        <v>0</v>
      </c>
    </row>
    <row r="30" spans="2:12" x14ac:dyDescent="0.2">
      <c r="B30" s="299"/>
      <c r="C30" s="59" t="s">
        <v>603</v>
      </c>
      <c r="D30" s="229"/>
      <c r="E30" s="229"/>
      <c r="F30" s="229"/>
      <c r="G30" s="229"/>
      <c r="H30" s="229"/>
    </row>
    <row r="31" spans="2:12" x14ac:dyDescent="0.2">
      <c r="B31" s="327" t="s">
        <v>757</v>
      </c>
      <c r="C31" s="172" t="s">
        <v>592</v>
      </c>
      <c r="D31" s="77"/>
      <c r="E31" s="139">
        <f>D35</f>
        <v>0</v>
      </c>
      <c r="F31" s="139">
        <f>E35</f>
        <v>0</v>
      </c>
      <c r="G31" s="139">
        <f>F35</f>
        <v>0</v>
      </c>
      <c r="H31" s="139">
        <f>G35</f>
        <v>0</v>
      </c>
    </row>
    <row r="32" spans="2:12" x14ac:dyDescent="0.2">
      <c r="B32" s="327" t="s">
        <v>757</v>
      </c>
      <c r="C32" s="172" t="s">
        <v>604</v>
      </c>
      <c r="D32" s="77"/>
      <c r="E32" s="77"/>
      <c r="F32" s="77"/>
      <c r="G32" s="77"/>
      <c r="H32" s="77"/>
    </row>
    <row r="33" spans="2:8" ht="11.25" customHeight="1" x14ac:dyDescent="0.2">
      <c r="B33" s="327" t="s">
        <v>757</v>
      </c>
      <c r="C33" s="172" t="s">
        <v>605</v>
      </c>
      <c r="D33" s="77"/>
      <c r="E33" s="77"/>
      <c r="F33" s="77"/>
      <c r="G33" s="77"/>
      <c r="H33" s="77"/>
    </row>
    <row r="34" spans="2:8" x14ac:dyDescent="0.2">
      <c r="B34" s="327" t="s">
        <v>757</v>
      </c>
      <c r="C34" s="172" t="s">
        <v>601</v>
      </c>
      <c r="D34" s="77"/>
      <c r="E34" s="77"/>
      <c r="F34" s="77"/>
      <c r="G34" s="77"/>
      <c r="H34" s="77"/>
    </row>
    <row r="35" spans="2:8" x14ac:dyDescent="0.2">
      <c r="B35" s="299"/>
      <c r="C35" s="95" t="s">
        <v>606</v>
      </c>
      <c r="D35" s="139">
        <f>SUM(D31:D34)</f>
        <v>0</v>
      </c>
      <c r="E35" s="139">
        <f>SUM(E31:E34)</f>
        <v>0</v>
      </c>
      <c r="F35" s="139">
        <f>SUM(F31:F34)</f>
        <v>0</v>
      </c>
      <c r="G35" s="139">
        <f>SUM(G31:G34)</f>
        <v>0</v>
      </c>
      <c r="H35" s="139">
        <f>SUM(H31:H34)</f>
        <v>0</v>
      </c>
    </row>
    <row r="36" spans="2:8" x14ac:dyDescent="0.2">
      <c r="B36" s="299"/>
      <c r="C36" s="59" t="s">
        <v>607</v>
      </c>
      <c r="D36" s="229"/>
      <c r="E36" s="229"/>
      <c r="F36" s="229"/>
      <c r="G36" s="229"/>
      <c r="H36" s="229"/>
    </row>
    <row r="37" spans="2:8" x14ac:dyDescent="0.2">
      <c r="B37" s="327" t="s">
        <v>757</v>
      </c>
      <c r="C37" s="172" t="s">
        <v>592</v>
      </c>
      <c r="D37" s="77"/>
      <c r="E37" s="139">
        <f>D41</f>
        <v>0</v>
      </c>
      <c r="F37" s="139">
        <f>E41</f>
        <v>0</v>
      </c>
      <c r="G37" s="139">
        <f>F41</f>
        <v>0</v>
      </c>
      <c r="H37" s="139">
        <f>G41</f>
        <v>0</v>
      </c>
    </row>
    <row r="38" spans="2:8" x14ac:dyDescent="0.2">
      <c r="B38" s="327" t="s">
        <v>757</v>
      </c>
      <c r="C38" s="172" t="s">
        <v>599</v>
      </c>
      <c r="D38" s="77"/>
      <c r="E38" s="77"/>
      <c r="F38" s="77"/>
      <c r="G38" s="77"/>
      <c r="H38" s="77"/>
    </row>
    <row r="39" spans="2:8" x14ac:dyDescent="0.2">
      <c r="B39" s="327" t="s">
        <v>757</v>
      </c>
      <c r="C39" s="172" t="s">
        <v>608</v>
      </c>
      <c r="D39" s="77"/>
      <c r="E39" s="77"/>
      <c r="F39" s="77"/>
      <c r="G39" s="77"/>
      <c r="H39" s="77"/>
    </row>
    <row r="40" spans="2:8" x14ac:dyDescent="0.2">
      <c r="B40" s="327" t="s">
        <v>757</v>
      </c>
      <c r="C40" s="172" t="s">
        <v>601</v>
      </c>
      <c r="D40" s="77"/>
      <c r="E40" s="77"/>
      <c r="F40" s="77"/>
      <c r="G40" s="77"/>
      <c r="H40" s="77"/>
    </row>
    <row r="41" spans="2:8" ht="11.25" customHeight="1" x14ac:dyDescent="0.2">
      <c r="B41" s="299"/>
      <c r="C41" s="95" t="s">
        <v>609</v>
      </c>
      <c r="D41" s="139">
        <f>SUM(D37:D40)</f>
        <v>0</v>
      </c>
      <c r="E41" s="139">
        <f>SUM(E37:E40)</f>
        <v>0</v>
      </c>
      <c r="F41" s="139">
        <f>SUM(F37:F40)</f>
        <v>0</v>
      </c>
      <c r="G41" s="139">
        <f>SUM(G37:G40)</f>
        <v>0</v>
      </c>
      <c r="H41" s="139">
        <f>SUM(H37:H40)</f>
        <v>0</v>
      </c>
    </row>
    <row r="42" spans="2:8" x14ac:dyDescent="0.2">
      <c r="B42" s="299"/>
      <c r="C42" s="59" t="s">
        <v>637</v>
      </c>
      <c r="D42" s="229"/>
      <c r="E42" s="229"/>
      <c r="F42" s="229"/>
      <c r="G42" s="229"/>
      <c r="H42" s="229"/>
    </row>
    <row r="43" spans="2:8" x14ac:dyDescent="0.2">
      <c r="B43" s="327" t="s">
        <v>757</v>
      </c>
      <c r="C43" s="172" t="s">
        <v>592</v>
      </c>
      <c r="D43" s="77"/>
      <c r="E43" s="139">
        <f>D47</f>
        <v>0</v>
      </c>
      <c r="F43" s="139">
        <f>E47</f>
        <v>0</v>
      </c>
      <c r="G43" s="139">
        <f>F47</f>
        <v>0</v>
      </c>
      <c r="H43" s="139">
        <f>G47</f>
        <v>0</v>
      </c>
    </row>
    <row r="44" spans="2:8" x14ac:dyDescent="0.2">
      <c r="B44" s="327" t="s">
        <v>757</v>
      </c>
      <c r="C44" s="172" t="s">
        <v>599</v>
      </c>
      <c r="D44" s="77"/>
      <c r="E44" s="77"/>
      <c r="F44" s="77"/>
      <c r="G44" s="77"/>
      <c r="H44" s="77"/>
    </row>
    <row r="45" spans="2:8" x14ac:dyDescent="0.2">
      <c r="B45" s="327" t="s">
        <v>757</v>
      </c>
      <c r="C45" s="172" t="s">
        <v>610</v>
      </c>
      <c r="D45" s="77"/>
      <c r="E45" s="77"/>
      <c r="F45" s="77"/>
      <c r="G45" s="77"/>
      <c r="H45" s="77"/>
    </row>
    <row r="46" spans="2:8" x14ac:dyDescent="0.2">
      <c r="B46" s="327" t="s">
        <v>757</v>
      </c>
      <c r="C46" s="172" t="s">
        <v>601</v>
      </c>
      <c r="D46" s="77"/>
      <c r="E46" s="77"/>
      <c r="F46" s="77"/>
      <c r="G46" s="77"/>
      <c r="H46" s="77"/>
    </row>
    <row r="47" spans="2:8" x14ac:dyDescent="0.2">
      <c r="B47" s="299"/>
      <c r="C47" s="95" t="s">
        <v>611</v>
      </c>
      <c r="D47" s="139">
        <f>SUM(D43:D46)</f>
        <v>0</v>
      </c>
      <c r="E47" s="139">
        <f>SUM(E43:E46)</f>
        <v>0</v>
      </c>
      <c r="F47" s="139">
        <f>SUM(F43:F46)</f>
        <v>0</v>
      </c>
      <c r="G47" s="139">
        <f>SUM(G43:G46)</f>
        <v>0</v>
      </c>
      <c r="H47" s="139">
        <f>SUM(H43:H46)</f>
        <v>0</v>
      </c>
    </row>
    <row r="48" spans="2:8" x14ac:dyDescent="0.2">
      <c r="B48" s="299"/>
      <c r="C48" s="59" t="s">
        <v>612</v>
      </c>
      <c r="D48" s="229"/>
      <c r="E48" s="229"/>
      <c r="F48" s="229"/>
      <c r="G48" s="229"/>
      <c r="H48" s="229"/>
    </row>
    <row r="49" spans="2:8" ht="11.25" customHeight="1" x14ac:dyDescent="0.2">
      <c r="B49" s="327" t="s">
        <v>757</v>
      </c>
      <c r="C49" s="172" t="s">
        <v>592</v>
      </c>
      <c r="D49" s="77"/>
      <c r="E49" s="139">
        <f>D53</f>
        <v>0</v>
      </c>
      <c r="F49" s="139">
        <f>E53</f>
        <v>0</v>
      </c>
      <c r="G49" s="139">
        <f>F53</f>
        <v>0</v>
      </c>
      <c r="H49" s="139">
        <f>G53</f>
        <v>0</v>
      </c>
    </row>
    <row r="50" spans="2:8" x14ac:dyDescent="0.2">
      <c r="B50" s="327" t="s">
        <v>757</v>
      </c>
      <c r="C50" s="172" t="s">
        <v>599</v>
      </c>
      <c r="D50" s="77"/>
      <c r="E50" s="77"/>
      <c r="F50" s="77"/>
      <c r="G50" s="77"/>
      <c r="H50" s="77"/>
    </row>
    <row r="51" spans="2:8" x14ac:dyDescent="0.2">
      <c r="B51" s="327" t="s">
        <v>757</v>
      </c>
      <c r="C51" s="172" t="s">
        <v>613</v>
      </c>
      <c r="D51" s="77"/>
      <c r="E51" s="77"/>
      <c r="F51" s="77"/>
      <c r="G51" s="77"/>
      <c r="H51" s="77"/>
    </row>
    <row r="52" spans="2:8" x14ac:dyDescent="0.2">
      <c r="B52" s="327" t="s">
        <v>757</v>
      </c>
      <c r="C52" s="172" t="s">
        <v>601</v>
      </c>
      <c r="D52" s="77"/>
      <c r="E52" s="77"/>
      <c r="F52" s="77"/>
      <c r="G52" s="77"/>
      <c r="H52" s="77"/>
    </row>
    <row r="53" spans="2:8" x14ac:dyDescent="0.2">
      <c r="B53" s="299"/>
      <c r="C53" s="95" t="s">
        <v>614</v>
      </c>
      <c r="D53" s="139">
        <f>SUM(D49:D52)</f>
        <v>0</v>
      </c>
      <c r="E53" s="139">
        <f>SUM(E49:E52)</f>
        <v>0</v>
      </c>
      <c r="F53" s="139">
        <f>SUM(F49:F52)</f>
        <v>0</v>
      </c>
      <c r="G53" s="139">
        <f>SUM(G49:G52)</f>
        <v>0</v>
      </c>
      <c r="H53" s="139">
        <f>SUM(H49:H52)</f>
        <v>0</v>
      </c>
    </row>
    <row r="54" spans="2:8" x14ac:dyDescent="0.2">
      <c r="B54" s="299"/>
      <c r="C54" s="59" t="s">
        <v>615</v>
      </c>
      <c r="D54" s="229"/>
      <c r="E54" s="229"/>
      <c r="F54" s="229"/>
      <c r="G54" s="229"/>
      <c r="H54" s="229"/>
    </row>
    <row r="55" spans="2:8" x14ac:dyDescent="0.2">
      <c r="B55" s="327" t="s">
        <v>757</v>
      </c>
      <c r="C55" s="172" t="s">
        <v>592</v>
      </c>
      <c r="D55" s="77"/>
      <c r="E55" s="139">
        <f>D59</f>
        <v>0</v>
      </c>
      <c r="F55" s="139">
        <f>E59</f>
        <v>0</v>
      </c>
      <c r="G55" s="139">
        <f>F59</f>
        <v>0</v>
      </c>
      <c r="H55" s="139">
        <f>G59</f>
        <v>0</v>
      </c>
    </row>
    <row r="56" spans="2:8" x14ac:dyDescent="0.2">
      <c r="B56" s="327" t="s">
        <v>757</v>
      </c>
      <c r="C56" s="172" t="s">
        <v>599</v>
      </c>
      <c r="D56" s="77"/>
      <c r="E56" s="77"/>
      <c r="F56" s="77"/>
      <c r="G56" s="77"/>
      <c r="H56" s="77"/>
    </row>
    <row r="57" spans="2:8" ht="11.25" customHeight="1" x14ac:dyDescent="0.2">
      <c r="B57" s="327" t="s">
        <v>757</v>
      </c>
      <c r="C57" s="172" t="s">
        <v>616</v>
      </c>
      <c r="D57" s="77"/>
      <c r="E57" s="77"/>
      <c r="F57" s="77"/>
      <c r="G57" s="77"/>
      <c r="H57" s="77"/>
    </row>
    <row r="58" spans="2:8" x14ac:dyDescent="0.2">
      <c r="B58" s="327" t="s">
        <v>757</v>
      </c>
      <c r="C58" s="172" t="s">
        <v>601</v>
      </c>
      <c r="D58" s="77"/>
      <c r="E58" s="77"/>
      <c r="F58" s="77"/>
      <c r="G58" s="77"/>
      <c r="H58" s="77"/>
    </row>
    <row r="59" spans="2:8" x14ac:dyDescent="0.2">
      <c r="B59" s="299"/>
      <c r="C59" s="95" t="s">
        <v>617</v>
      </c>
      <c r="D59" s="139">
        <f>SUM(D55:D58)</f>
        <v>0</v>
      </c>
      <c r="E59" s="139">
        <f>SUM(E55:E58)</f>
        <v>0</v>
      </c>
      <c r="F59" s="139">
        <f>SUM(F55:F58)</f>
        <v>0</v>
      </c>
      <c r="G59" s="139">
        <f>SUM(G55:G58)</f>
        <v>0</v>
      </c>
      <c r="H59" s="139">
        <f>SUM(H55:H58)</f>
        <v>0</v>
      </c>
    </row>
    <row r="60" spans="2:8" x14ac:dyDescent="0.2">
      <c r="B60" s="299"/>
      <c r="C60" s="59" t="s">
        <v>618</v>
      </c>
      <c r="D60" s="229"/>
      <c r="E60" s="229"/>
      <c r="F60" s="229"/>
      <c r="G60" s="229"/>
      <c r="H60" s="229"/>
    </row>
    <row r="61" spans="2:8" x14ac:dyDescent="0.2">
      <c r="B61" s="327" t="s">
        <v>757</v>
      </c>
      <c r="C61" s="172" t="s">
        <v>592</v>
      </c>
      <c r="D61" s="77"/>
      <c r="E61" s="139">
        <f>D65</f>
        <v>0</v>
      </c>
      <c r="F61" s="139">
        <f>E65</f>
        <v>0</v>
      </c>
      <c r="G61" s="139">
        <f>F65</f>
        <v>0</v>
      </c>
      <c r="H61" s="139">
        <f>G65</f>
        <v>0</v>
      </c>
    </row>
    <row r="62" spans="2:8" x14ac:dyDescent="0.2">
      <c r="B62" s="327" t="s">
        <v>757</v>
      </c>
      <c r="C62" s="172" t="s">
        <v>599</v>
      </c>
      <c r="D62" s="77"/>
      <c r="E62" s="77"/>
      <c r="F62" s="77"/>
      <c r="G62" s="77"/>
      <c r="H62" s="77"/>
    </row>
    <row r="63" spans="2:8" ht="11.25" customHeight="1" x14ac:dyDescent="0.2">
      <c r="B63" s="327" t="s">
        <v>757</v>
      </c>
      <c r="C63" s="172" t="s">
        <v>619</v>
      </c>
      <c r="D63" s="77"/>
      <c r="E63" s="77"/>
      <c r="F63" s="77"/>
      <c r="G63" s="77"/>
      <c r="H63" s="77"/>
    </row>
    <row r="64" spans="2:8" ht="11.25" customHeight="1" x14ac:dyDescent="0.2">
      <c r="B64" s="327" t="s">
        <v>757</v>
      </c>
      <c r="C64" s="172" t="s">
        <v>601</v>
      </c>
      <c r="D64" s="77"/>
      <c r="E64" s="77"/>
      <c r="F64" s="77"/>
      <c r="G64" s="77"/>
      <c r="H64" s="77"/>
    </row>
    <row r="65" spans="2:8" ht="11.25" customHeight="1" x14ac:dyDescent="0.2">
      <c r="B65" s="299"/>
      <c r="C65" s="95" t="s">
        <v>620</v>
      </c>
      <c r="D65" s="139">
        <f>SUM(D61:D64)</f>
        <v>0</v>
      </c>
      <c r="E65" s="139">
        <f>SUM(E61:E64)</f>
        <v>0</v>
      </c>
      <c r="F65" s="139">
        <f>SUM(F61:F64)</f>
        <v>0</v>
      </c>
      <c r="G65" s="139">
        <f>SUM(G61:G64)</f>
        <v>0</v>
      </c>
      <c r="H65" s="139">
        <f>SUM(H61:H64)</f>
        <v>0</v>
      </c>
    </row>
    <row r="66" spans="2:8" x14ac:dyDescent="0.2">
      <c r="B66" s="299"/>
      <c r="C66" s="59" t="s">
        <v>621</v>
      </c>
      <c r="D66" s="229"/>
      <c r="E66" s="229"/>
      <c r="F66" s="229"/>
      <c r="G66" s="229"/>
      <c r="H66" s="229"/>
    </row>
    <row r="67" spans="2:8" x14ac:dyDescent="0.2">
      <c r="B67" s="327" t="s">
        <v>757</v>
      </c>
      <c r="C67" s="172" t="s">
        <v>592</v>
      </c>
      <c r="D67" s="77"/>
      <c r="E67" s="139">
        <f>D71</f>
        <v>0</v>
      </c>
      <c r="F67" s="139">
        <f>E71</f>
        <v>0</v>
      </c>
      <c r="G67" s="139">
        <f>F71</f>
        <v>0</v>
      </c>
      <c r="H67" s="139">
        <f>G71</f>
        <v>0</v>
      </c>
    </row>
    <row r="68" spans="2:8" x14ac:dyDescent="0.2">
      <c r="B68" s="327" t="s">
        <v>757</v>
      </c>
      <c r="C68" s="172" t="s">
        <v>599</v>
      </c>
      <c r="D68" s="77"/>
      <c r="E68" s="77"/>
      <c r="F68" s="77"/>
      <c r="G68" s="77"/>
      <c r="H68" s="77"/>
    </row>
    <row r="69" spans="2:8" x14ac:dyDescent="0.2">
      <c r="B69" s="327" t="s">
        <v>757</v>
      </c>
      <c r="C69" s="172" t="s">
        <v>622</v>
      </c>
      <c r="D69" s="77"/>
      <c r="E69" s="77"/>
      <c r="F69" s="77"/>
      <c r="G69" s="77"/>
      <c r="H69" s="77"/>
    </row>
    <row r="70" spans="2:8" x14ac:dyDescent="0.2">
      <c r="B70" s="327" t="s">
        <v>757</v>
      </c>
      <c r="C70" s="172" t="s">
        <v>601</v>
      </c>
      <c r="D70" s="77"/>
      <c r="E70" s="77"/>
      <c r="F70" s="77"/>
      <c r="G70" s="77"/>
      <c r="H70" s="77"/>
    </row>
    <row r="71" spans="2:8" x14ac:dyDescent="0.2">
      <c r="B71" s="299"/>
      <c r="C71" s="95" t="s">
        <v>623</v>
      </c>
      <c r="D71" s="139">
        <f>SUM(D67:D70)</f>
        <v>0</v>
      </c>
      <c r="E71" s="139">
        <f>SUM(E67:E70)</f>
        <v>0</v>
      </c>
      <c r="F71" s="139">
        <f>SUM(F67:F70)</f>
        <v>0</v>
      </c>
      <c r="G71" s="139">
        <f>SUM(G67:G70)</f>
        <v>0</v>
      </c>
      <c r="H71" s="139">
        <f>SUM(H67:H70)</f>
        <v>0</v>
      </c>
    </row>
    <row r="72" spans="2:8" x14ac:dyDescent="0.2">
      <c r="B72" s="299"/>
      <c r="C72" s="59" t="s">
        <v>624</v>
      </c>
      <c r="D72" s="229"/>
      <c r="E72" s="229"/>
      <c r="F72" s="229"/>
      <c r="G72" s="229"/>
      <c r="H72" s="229"/>
    </row>
    <row r="73" spans="2:8" ht="11.25" customHeight="1" x14ac:dyDescent="0.2">
      <c r="B73" s="327" t="s">
        <v>757</v>
      </c>
      <c r="C73" s="172" t="s">
        <v>592</v>
      </c>
      <c r="D73" s="77"/>
      <c r="E73" s="139">
        <f>D77</f>
        <v>0</v>
      </c>
      <c r="F73" s="139">
        <f>E77</f>
        <v>0</v>
      </c>
      <c r="G73" s="139">
        <f>F77</f>
        <v>0</v>
      </c>
      <c r="H73" s="139">
        <f>G77</f>
        <v>0</v>
      </c>
    </row>
    <row r="74" spans="2:8" x14ac:dyDescent="0.2">
      <c r="B74" s="327" t="s">
        <v>757</v>
      </c>
      <c r="C74" s="172" t="s">
        <v>599</v>
      </c>
      <c r="D74" s="77"/>
      <c r="E74" s="77"/>
      <c r="F74" s="77"/>
      <c r="G74" s="77"/>
      <c r="H74" s="77"/>
    </row>
    <row r="75" spans="2:8" x14ac:dyDescent="0.2">
      <c r="B75" s="327" t="s">
        <v>757</v>
      </c>
      <c r="C75" s="172" t="s">
        <v>622</v>
      </c>
      <c r="D75" s="77"/>
      <c r="E75" s="77"/>
      <c r="F75" s="77"/>
      <c r="G75" s="77"/>
      <c r="H75" s="77"/>
    </row>
    <row r="76" spans="2:8" x14ac:dyDescent="0.2">
      <c r="B76" s="327" t="s">
        <v>757</v>
      </c>
      <c r="C76" s="172" t="s">
        <v>601</v>
      </c>
      <c r="D76" s="77"/>
      <c r="E76" s="77"/>
      <c r="F76" s="77"/>
      <c r="G76" s="77"/>
      <c r="H76" s="77"/>
    </row>
    <row r="77" spans="2:8" x14ac:dyDescent="0.2">
      <c r="B77" s="299"/>
      <c r="C77" s="95" t="s">
        <v>625</v>
      </c>
      <c r="D77" s="139">
        <f>SUM(D73:D76)</f>
        <v>0</v>
      </c>
      <c r="E77" s="139">
        <f>SUM(E73:E76)</f>
        <v>0</v>
      </c>
      <c r="F77" s="139">
        <f>SUM(F73:F76)</f>
        <v>0</v>
      </c>
      <c r="G77" s="139">
        <f>SUM(G73:G76)</f>
        <v>0</v>
      </c>
      <c r="H77" s="139">
        <f>SUM(H73:H76)</f>
        <v>0</v>
      </c>
    </row>
    <row r="78" spans="2:8" x14ac:dyDescent="0.2">
      <c r="B78" s="299"/>
      <c r="C78" s="95" t="s">
        <v>626</v>
      </c>
      <c r="D78" s="139">
        <f>SUM(D23,D29,D35,D41,D47,D53,D59,D65,D71,D77)</f>
        <v>0</v>
      </c>
      <c r="E78" s="139">
        <f>SUM(E23,E29,E35,E41,E47,E53,E59,E65,E71,E77)</f>
        <v>0</v>
      </c>
      <c r="F78" s="139">
        <f>SUM(F23,F29,F35,F41,F47,F53,F59,F65,F71,F77)</f>
        <v>0</v>
      </c>
      <c r="G78" s="139">
        <f>SUM(G23,G29,G35,G41,G47,G53,G59,G65,G71,G77)</f>
        <v>0</v>
      </c>
      <c r="H78" s="139">
        <f>SUM(H23,H29,H35,H41,H47,H53,H59,H65,H71,H77)</f>
        <v>0</v>
      </c>
    </row>
    <row r="79" spans="2:8" x14ac:dyDescent="0.2">
      <c r="B79" s="299"/>
      <c r="C79" s="59" t="s">
        <v>669</v>
      </c>
      <c r="D79" s="229"/>
      <c r="E79" s="229"/>
      <c r="F79" s="229"/>
      <c r="G79" s="229"/>
      <c r="H79" s="229"/>
    </row>
    <row r="80" spans="2:8" ht="11.25" customHeight="1" x14ac:dyDescent="0.2">
      <c r="B80" s="327" t="s">
        <v>757</v>
      </c>
      <c r="C80" s="172" t="s">
        <v>592</v>
      </c>
      <c r="D80" s="77"/>
      <c r="E80" s="139">
        <f>D84</f>
        <v>0</v>
      </c>
      <c r="F80" s="139">
        <f>E84</f>
        <v>0</v>
      </c>
      <c r="G80" s="139">
        <f>F84</f>
        <v>0</v>
      </c>
      <c r="H80" s="139">
        <f>G84</f>
        <v>0</v>
      </c>
    </row>
    <row r="81" spans="2:8" x14ac:dyDescent="0.2">
      <c r="B81" s="327" t="s">
        <v>757</v>
      </c>
      <c r="C81" s="172" t="s">
        <v>599</v>
      </c>
      <c r="D81" s="77"/>
      <c r="E81" s="77"/>
      <c r="F81" s="77"/>
      <c r="G81" s="77"/>
      <c r="H81" s="77"/>
    </row>
    <row r="82" spans="2:8" x14ac:dyDescent="0.2">
      <c r="B82" s="327" t="s">
        <v>757</v>
      </c>
      <c r="C82" s="172" t="s">
        <v>627</v>
      </c>
      <c r="D82" s="77"/>
      <c r="E82" s="77"/>
      <c r="F82" s="77"/>
      <c r="G82" s="77"/>
      <c r="H82" s="77"/>
    </row>
    <row r="83" spans="2:8" s="277" customFormat="1" x14ac:dyDescent="0.2">
      <c r="B83" s="327" t="s">
        <v>757</v>
      </c>
      <c r="C83" s="172" t="s">
        <v>628</v>
      </c>
      <c r="D83" s="77"/>
      <c r="E83" s="77"/>
      <c r="F83" s="77"/>
      <c r="G83" s="77"/>
      <c r="H83" s="77"/>
    </row>
    <row r="84" spans="2:8" s="277" customFormat="1" x14ac:dyDescent="0.2">
      <c r="B84" s="299"/>
      <c r="C84" s="95" t="s">
        <v>629</v>
      </c>
      <c r="D84" s="139">
        <f>SUM(D80:D83)</f>
        <v>0</v>
      </c>
      <c r="E84" s="139">
        <f>SUM(E80:E83)</f>
        <v>0</v>
      </c>
      <c r="F84" s="139">
        <f>SUM(F80:F83)</f>
        <v>0</v>
      </c>
      <c r="G84" s="139">
        <f>SUM(G80:G83)</f>
        <v>0</v>
      </c>
      <c r="H84" s="139">
        <f>SUM(H80:H83)</f>
        <v>0</v>
      </c>
    </row>
    <row r="85" spans="2:8" s="277" customFormat="1" x14ac:dyDescent="0.2">
      <c r="B85" s="299"/>
      <c r="C85" s="59" t="s">
        <v>630</v>
      </c>
      <c r="D85" s="229"/>
      <c r="E85" s="229"/>
      <c r="F85" s="229"/>
      <c r="G85" s="229"/>
      <c r="H85" s="229"/>
    </row>
    <row r="86" spans="2:8" s="277" customFormat="1" x14ac:dyDescent="0.2">
      <c r="B86" s="327" t="s">
        <v>757</v>
      </c>
      <c r="C86" s="172" t="s">
        <v>592</v>
      </c>
      <c r="D86" s="77"/>
      <c r="E86" s="139">
        <f>D90</f>
        <v>0</v>
      </c>
      <c r="F86" s="139">
        <f>E90</f>
        <v>0</v>
      </c>
      <c r="G86" s="139">
        <f>F90</f>
        <v>0</v>
      </c>
      <c r="H86" s="139">
        <f>G90</f>
        <v>0</v>
      </c>
    </row>
    <row r="87" spans="2:8" s="277" customFormat="1" x14ac:dyDescent="0.2">
      <c r="B87" s="327" t="s">
        <v>757</v>
      </c>
      <c r="C87" s="172" t="s">
        <v>599</v>
      </c>
      <c r="D87" s="77"/>
      <c r="E87" s="77"/>
      <c r="F87" s="77"/>
      <c r="G87" s="77"/>
      <c r="H87" s="77"/>
    </row>
    <row r="88" spans="2:8" s="277" customFormat="1" x14ac:dyDescent="0.2">
      <c r="B88" s="327" t="s">
        <v>757</v>
      </c>
      <c r="C88" s="172" t="s">
        <v>622</v>
      </c>
      <c r="D88" s="77"/>
      <c r="E88" s="77"/>
      <c r="F88" s="77"/>
      <c r="G88" s="77"/>
      <c r="H88" s="77"/>
    </row>
    <row r="89" spans="2:8" x14ac:dyDescent="0.2">
      <c r="B89" s="327" t="s">
        <v>757</v>
      </c>
      <c r="C89" s="172" t="s">
        <v>601</v>
      </c>
      <c r="D89" s="77"/>
      <c r="E89" s="77"/>
      <c r="F89" s="77"/>
      <c r="G89" s="77"/>
      <c r="H89" s="77"/>
    </row>
    <row r="90" spans="2:8" x14ac:dyDescent="0.2">
      <c r="B90" s="299"/>
      <c r="C90" s="95" t="s">
        <v>631</v>
      </c>
      <c r="D90" s="139">
        <f>SUM(D86:D89)</f>
        <v>0</v>
      </c>
      <c r="E90" s="139">
        <f>SUM(E86:E89)</f>
        <v>0</v>
      </c>
      <c r="F90" s="139">
        <f>SUM(F86:F89)</f>
        <v>0</v>
      </c>
      <c r="G90" s="139">
        <f>SUM(G86:G89)</f>
        <v>0</v>
      </c>
      <c r="H90" s="139">
        <f>SUM(H86:H89)</f>
        <v>0</v>
      </c>
    </row>
    <row r="91" spans="2:8" x14ac:dyDescent="0.2">
      <c r="B91" s="327" t="s">
        <v>757</v>
      </c>
      <c r="C91" s="172" t="s">
        <v>632</v>
      </c>
      <c r="D91" s="77"/>
      <c r="E91" s="139">
        <f>D93</f>
        <v>0</v>
      </c>
      <c r="F91" s="139">
        <f>E93</f>
        <v>0</v>
      </c>
      <c r="G91" s="139">
        <f>F93</f>
        <v>0</v>
      </c>
      <c r="H91" s="139">
        <f>G93</f>
        <v>0</v>
      </c>
    </row>
    <row r="92" spans="2:8" x14ac:dyDescent="0.2">
      <c r="B92" s="327" t="s">
        <v>757</v>
      </c>
      <c r="C92" s="172" t="s">
        <v>633</v>
      </c>
      <c r="D92" s="77"/>
      <c r="E92" s="77"/>
      <c r="F92" s="77"/>
      <c r="G92" s="77"/>
      <c r="H92" s="77"/>
    </row>
    <row r="93" spans="2:8" x14ac:dyDescent="0.2">
      <c r="B93" s="299"/>
      <c r="C93" s="95" t="s">
        <v>634</v>
      </c>
      <c r="D93" s="139">
        <f>SUM(D91:D92)</f>
        <v>0</v>
      </c>
      <c r="E93" s="139">
        <f>SUM(E91:E92)</f>
        <v>0</v>
      </c>
      <c r="F93" s="139">
        <f>SUM(F91:F92)</f>
        <v>0</v>
      </c>
      <c r="G93" s="139">
        <f>SUM(G91:G92)</f>
        <v>0</v>
      </c>
      <c r="H93" s="139">
        <f>SUM(H91:H92)</f>
        <v>0</v>
      </c>
    </row>
    <row r="94" spans="2:8" x14ac:dyDescent="0.2">
      <c r="B94" s="299"/>
      <c r="C94" s="95" t="s">
        <v>635</v>
      </c>
      <c r="D94" s="139">
        <f>SUM(D84,D90,D93)</f>
        <v>0</v>
      </c>
      <c r="E94" s="139">
        <f>SUM(E84,E90,E93)</f>
        <v>0</v>
      </c>
      <c r="F94" s="139">
        <f>SUM(F84,F90,F93)</f>
        <v>0</v>
      </c>
      <c r="G94" s="139">
        <f>SUM(G84,G90,G93)</f>
        <v>0</v>
      </c>
      <c r="H94" s="139">
        <f>SUM(H84,H90,H93)</f>
        <v>0</v>
      </c>
    </row>
    <row r="95" spans="2:8" x14ac:dyDescent="0.2">
      <c r="B95" s="299"/>
      <c r="C95" s="95" t="s">
        <v>636</v>
      </c>
      <c r="D95" s="139">
        <f>D78+D94</f>
        <v>0</v>
      </c>
      <c r="E95" s="139">
        <f>E78+E94</f>
        <v>0</v>
      </c>
      <c r="F95" s="139">
        <f>F78+F94</f>
        <v>0</v>
      </c>
      <c r="G95" s="139">
        <f>G78+G94</f>
        <v>0</v>
      </c>
      <c r="H95" s="139">
        <f>H78+H94</f>
        <v>0</v>
      </c>
    </row>
    <row r="119" spans="3:3" x14ac:dyDescent="0.2">
      <c r="C119" s="279"/>
    </row>
  </sheetData>
  <mergeCells count="3">
    <mergeCell ref="B12:C12"/>
    <mergeCell ref="D14:H14"/>
    <mergeCell ref="B7:D9"/>
  </mergeCells>
  <pageMargins left="0.75" right="0.75" top="1" bottom="1" header="0.5" footer="0.5"/>
  <pageSetup paperSize="9" scale="47" orientation="landscape" verticalDpi="2" r:id="rId1"/>
  <headerFooter alignWithMargins="0">
    <oddFooter>&amp;C_x000D_&amp;1#&amp;"Aptos"&amp;10&amp;K008000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E24FA-54FC-47D2-AE91-1D241232671E}">
  <sheetPr codeName="Sheet12">
    <tabColor rgb="FF17415D"/>
  </sheetPr>
  <dimension ref="B1:G3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28515625" style="214" customWidth="1"/>
    <col min="2" max="2" width="21" style="214" customWidth="1"/>
    <col min="3" max="6" width="42.28515625" style="214" customWidth="1"/>
    <col min="7" max="7" width="9.42578125" style="214" customWidth="1"/>
    <col min="8" max="8" width="25.28515625" style="214" customWidth="1"/>
    <col min="9" max="16384" width="9.28515625" style="214"/>
  </cols>
  <sheetData>
    <row r="1" spans="2:6" ht="20.25" customHeight="1" x14ac:dyDescent="0.2">
      <c r="B1" s="145" t="s">
        <v>510</v>
      </c>
      <c r="C1" s="145"/>
    </row>
    <row r="2" spans="2:6" ht="20.25" x14ac:dyDescent="0.2">
      <c r="B2" s="145" t="str">
        <f>IF(Tradingname=0," ",Tradingname)</f>
        <v>EAST AUSTRALIAN PIPELINE PTY LIMITED</v>
      </c>
      <c r="C2" s="145"/>
    </row>
    <row r="3" spans="2:6" ht="20.25" x14ac:dyDescent="0.3">
      <c r="B3" s="145" t="s">
        <v>110</v>
      </c>
      <c r="C3" s="110">
        <f>IF(Yearending=0, "01/01/2000", Yearending)</f>
        <v>45838</v>
      </c>
    </row>
    <row r="4" spans="2:6" ht="20.25" x14ac:dyDescent="0.2">
      <c r="B4" s="102" t="s">
        <v>86</v>
      </c>
      <c r="C4" s="102"/>
    </row>
    <row r="7" spans="2:6" ht="15.75" x14ac:dyDescent="0.25">
      <c r="B7" s="216" t="s">
        <v>641</v>
      </c>
      <c r="C7" s="217"/>
      <c r="D7" s="217"/>
      <c r="E7" s="217"/>
    </row>
    <row r="8" spans="2:6" ht="15.75" x14ac:dyDescent="0.25">
      <c r="B8" s="216"/>
      <c r="C8" s="217"/>
      <c r="D8" s="217"/>
      <c r="E8" s="217"/>
    </row>
    <row r="9" spans="2:6" ht="25.5" x14ac:dyDescent="0.2">
      <c r="B9" s="48" t="s">
        <v>515</v>
      </c>
      <c r="C9" s="48" t="s">
        <v>73</v>
      </c>
      <c r="D9" s="48" t="s">
        <v>456</v>
      </c>
      <c r="E9" s="48" t="s">
        <v>74</v>
      </c>
      <c r="F9" s="60" t="s">
        <v>76</v>
      </c>
    </row>
    <row r="10" spans="2:6" x14ac:dyDescent="0.2">
      <c r="B10" s="50"/>
      <c r="C10" s="50"/>
      <c r="D10" s="53"/>
      <c r="E10" s="280" t="s">
        <v>75</v>
      </c>
      <c r="F10" s="281"/>
    </row>
    <row r="11" spans="2:6" ht="25.5" x14ac:dyDescent="0.2">
      <c r="B11" s="331" t="s">
        <v>745</v>
      </c>
      <c r="C11" s="24" t="str">
        <f>'3.1 Depreciated Book Value'!C17</f>
        <v xml:space="preserve">Pipelines </v>
      </c>
      <c r="D11" s="319" t="s">
        <v>792</v>
      </c>
      <c r="E11" s="143">
        <v>43.81254011214542</v>
      </c>
      <c r="F11" s="323" t="s">
        <v>755</v>
      </c>
    </row>
    <row r="12" spans="2:6" ht="25.5" x14ac:dyDescent="0.2">
      <c r="B12" s="331" t="s">
        <v>745</v>
      </c>
      <c r="C12" s="24" t="str">
        <f>'3.1 Depreciated Book Value'!C26</f>
        <v xml:space="preserve">Compressors </v>
      </c>
      <c r="D12" s="85" t="s">
        <v>792</v>
      </c>
      <c r="E12" s="143">
        <v>23.598152853216192</v>
      </c>
      <c r="F12" s="144" t="s">
        <v>755</v>
      </c>
    </row>
    <row r="13" spans="2:6" ht="25.5" x14ac:dyDescent="0.2">
      <c r="B13" s="331" t="s">
        <v>745</v>
      </c>
      <c r="C13" s="24" t="str">
        <f>'3.1 Depreciated Book Value'!C34</f>
        <v xml:space="preserve">City Gates, supply regulators and valve stations </v>
      </c>
      <c r="D13" s="85" t="s">
        <v>793</v>
      </c>
      <c r="E13" s="143">
        <v>28.873579757334547</v>
      </c>
      <c r="F13" s="144" t="s">
        <v>755</v>
      </c>
    </row>
    <row r="14" spans="2:6" ht="25.5" x14ac:dyDescent="0.2">
      <c r="B14" s="331" t="s">
        <v>745</v>
      </c>
      <c r="C14" s="24" t="str">
        <f>'3.1 Depreciated Book Value'!C42</f>
        <v xml:space="preserve">Metering </v>
      </c>
      <c r="D14" s="85" t="s">
        <v>794</v>
      </c>
      <c r="E14" s="143">
        <v>18.83731347573606</v>
      </c>
      <c r="F14" s="144" t="s">
        <v>755</v>
      </c>
    </row>
    <row r="15" spans="2:6" ht="25.5" x14ac:dyDescent="0.2">
      <c r="B15" s="331" t="s">
        <v>745</v>
      </c>
      <c r="C15" s="24" t="str">
        <f>'3.1 Depreciated Book Value'!C50</f>
        <v xml:space="preserve">Odorant plants </v>
      </c>
      <c r="D15" s="85" t="s">
        <v>795</v>
      </c>
      <c r="E15" s="143">
        <v>19.999999999999996</v>
      </c>
      <c r="F15" s="144" t="s">
        <v>755</v>
      </c>
    </row>
    <row r="16" spans="2:6" ht="25.5" x14ac:dyDescent="0.2">
      <c r="B16" s="331" t="s">
        <v>745</v>
      </c>
      <c r="C16" s="24" t="str">
        <f>'3.1 Depreciated Book Value'!C58</f>
        <v xml:space="preserve">SCADA (Communications) </v>
      </c>
      <c r="D16" s="85" t="s">
        <v>796</v>
      </c>
      <c r="E16" s="143">
        <v>7.7698471750663307</v>
      </c>
      <c r="F16" s="144" t="s">
        <v>755</v>
      </c>
    </row>
    <row r="17" spans="2:7" ht="25.5" x14ac:dyDescent="0.2">
      <c r="B17" s="331" t="s">
        <v>745</v>
      </c>
      <c r="C17" s="24" t="str">
        <f>'3.1 Depreciated Book Value'!C66</f>
        <v xml:space="preserve">Buildings </v>
      </c>
      <c r="D17" s="85" t="s">
        <v>792</v>
      </c>
      <c r="E17" s="143">
        <v>27.836865785955254</v>
      </c>
      <c r="F17" s="144" t="s">
        <v>755</v>
      </c>
    </row>
    <row r="18" spans="2:7" ht="25.5" x14ac:dyDescent="0.2">
      <c r="B18" s="331" t="s">
        <v>745</v>
      </c>
      <c r="C18" s="24" t="str">
        <f>'3.1 Depreciated Book Value'!C81</f>
        <v>Other depreciable pipeline assets</v>
      </c>
      <c r="D18" s="85" t="s">
        <v>792</v>
      </c>
      <c r="E18" s="143">
        <v>13.592213588367853</v>
      </c>
      <c r="F18" s="144" t="s">
        <v>755</v>
      </c>
    </row>
    <row r="19" spans="2:7" x14ac:dyDescent="0.2">
      <c r="B19" s="331"/>
      <c r="C19" s="84" t="str">
        <f>'3.1 Depreciated Book Value'!C74</f>
        <v>Land and easements</v>
      </c>
      <c r="D19" s="85" t="s">
        <v>792</v>
      </c>
      <c r="E19" s="143" t="s">
        <v>698</v>
      </c>
      <c r="F19" s="144" t="s">
        <v>722</v>
      </c>
    </row>
    <row r="20" spans="2:7" x14ac:dyDescent="0.2">
      <c r="B20" s="331"/>
      <c r="C20" s="84" t="s">
        <v>125</v>
      </c>
      <c r="D20" s="85"/>
      <c r="E20" s="143"/>
      <c r="F20" s="144"/>
    </row>
    <row r="21" spans="2:7" x14ac:dyDescent="0.2">
      <c r="B21" s="331"/>
      <c r="C21" s="84" t="s">
        <v>125</v>
      </c>
      <c r="D21" s="85"/>
      <c r="E21" s="143"/>
      <c r="F21" s="144"/>
      <c r="G21" s="282"/>
    </row>
    <row r="22" spans="2:7" x14ac:dyDescent="0.2">
      <c r="B22" s="331"/>
      <c r="C22" s="84" t="s">
        <v>125</v>
      </c>
      <c r="D22" s="85"/>
      <c r="E22" s="143"/>
      <c r="F22" s="144"/>
      <c r="G22" s="282"/>
    </row>
    <row r="23" spans="2:7" x14ac:dyDescent="0.2">
      <c r="B23" s="331" t="s">
        <v>745</v>
      </c>
      <c r="C23" s="24" t="str">
        <f>'3.1 Depreciated Book Value'!C89</f>
        <v xml:space="preserve">Leased assets </v>
      </c>
      <c r="D23" s="85" t="s">
        <v>797</v>
      </c>
      <c r="E23" s="143" t="s">
        <v>716</v>
      </c>
      <c r="F23" s="323" t="s">
        <v>735</v>
      </c>
      <c r="G23" s="282"/>
    </row>
    <row r="24" spans="2:7" x14ac:dyDescent="0.2">
      <c r="B24" s="331"/>
      <c r="C24" s="84" t="s">
        <v>125</v>
      </c>
      <c r="D24" s="85"/>
      <c r="E24" s="143"/>
      <c r="F24" s="144"/>
      <c r="G24" s="282"/>
    </row>
    <row r="25" spans="2:7" x14ac:dyDescent="0.2">
      <c r="B25" s="331"/>
      <c r="C25" s="84" t="s">
        <v>125</v>
      </c>
      <c r="D25" s="85"/>
      <c r="E25" s="143"/>
      <c r="F25" s="144"/>
      <c r="G25" s="282"/>
    </row>
    <row r="26" spans="2:7" x14ac:dyDescent="0.2">
      <c r="B26" s="331"/>
      <c r="C26" s="84" t="s">
        <v>125</v>
      </c>
      <c r="D26" s="85"/>
      <c r="E26" s="143"/>
      <c r="F26" s="144"/>
    </row>
    <row r="27" spans="2:7" x14ac:dyDescent="0.2">
      <c r="B27" s="331"/>
      <c r="C27" s="84" t="s">
        <v>125</v>
      </c>
      <c r="D27" s="85"/>
      <c r="E27" s="143"/>
      <c r="F27" s="144"/>
    </row>
    <row r="28" spans="2:7" ht="25.5" x14ac:dyDescent="0.2">
      <c r="B28" s="331" t="s">
        <v>745</v>
      </c>
      <c r="C28" s="24" t="str">
        <f>'3.1 Depreciated Book Value'!C105</f>
        <v>Shared property, plant and equipment</v>
      </c>
      <c r="D28" s="85" t="s">
        <v>792</v>
      </c>
      <c r="E28" s="143">
        <v>3.4323791017076388</v>
      </c>
      <c r="F28" s="144" t="s">
        <v>755</v>
      </c>
    </row>
    <row r="29" spans="2:7" x14ac:dyDescent="0.2">
      <c r="B29" s="331"/>
      <c r="C29" s="84" t="s">
        <v>125</v>
      </c>
      <c r="D29" s="85"/>
      <c r="E29" s="143"/>
      <c r="F29" s="144"/>
    </row>
    <row r="30" spans="2:7" x14ac:dyDescent="0.2">
      <c r="B30" s="331"/>
      <c r="C30" s="84" t="s">
        <v>125</v>
      </c>
      <c r="D30" s="85"/>
      <c r="E30" s="143"/>
      <c r="F30" s="144"/>
    </row>
    <row r="31" spans="2:7" x14ac:dyDescent="0.2">
      <c r="B31" s="331"/>
      <c r="C31" s="84" t="s">
        <v>125</v>
      </c>
      <c r="D31" s="85"/>
      <c r="E31" s="143"/>
      <c r="F31" s="144"/>
    </row>
    <row r="32" spans="2:7" x14ac:dyDescent="0.2">
      <c r="B32" s="331"/>
      <c r="C32" s="84" t="s">
        <v>125</v>
      </c>
      <c r="D32" s="85"/>
      <c r="E32" s="143"/>
      <c r="F32" s="144"/>
      <c r="G32" s="282"/>
    </row>
    <row r="33" spans="2:7" x14ac:dyDescent="0.2">
      <c r="B33" s="331"/>
      <c r="C33" s="84" t="s">
        <v>125</v>
      </c>
      <c r="D33" s="85"/>
      <c r="E33" s="143"/>
      <c r="F33" s="144"/>
      <c r="G33" s="282"/>
    </row>
    <row r="34" spans="2:7" x14ac:dyDescent="0.2">
      <c r="B34" s="331" t="s">
        <v>745</v>
      </c>
      <c r="C34" s="24" t="str">
        <f>'3.1 Depreciated Book Value'!C113</f>
        <v>Shared leased assets</v>
      </c>
      <c r="D34" s="319" t="s">
        <v>797</v>
      </c>
      <c r="E34" s="143" t="s">
        <v>716</v>
      </c>
      <c r="F34" s="144" t="s">
        <v>735</v>
      </c>
      <c r="G34" s="282"/>
    </row>
    <row r="35" spans="2:7" x14ac:dyDescent="0.2">
      <c r="B35" s="297"/>
      <c r="C35" s="84" t="s">
        <v>125</v>
      </c>
      <c r="D35" s="85"/>
      <c r="E35" s="143"/>
      <c r="F35" s="144"/>
      <c r="G35" s="282"/>
    </row>
    <row r="36" spans="2:7" x14ac:dyDescent="0.2">
      <c r="B36" s="297"/>
      <c r="C36" s="84" t="s">
        <v>125</v>
      </c>
      <c r="D36" s="85"/>
      <c r="E36" s="143"/>
      <c r="F36" s="144"/>
      <c r="G36" s="282"/>
    </row>
    <row r="37" spans="2:7" x14ac:dyDescent="0.2">
      <c r="B37" s="297"/>
      <c r="C37" s="84" t="s">
        <v>125</v>
      </c>
      <c r="D37" s="85"/>
      <c r="E37" s="143"/>
      <c r="F37" s="144"/>
      <c r="G37" s="282"/>
    </row>
    <row r="38" spans="2:7" x14ac:dyDescent="0.2">
      <c r="B38" s="297"/>
      <c r="C38" s="84" t="s">
        <v>125</v>
      </c>
      <c r="D38" s="85"/>
      <c r="E38" s="143"/>
      <c r="F38" s="144"/>
    </row>
    <row r="39" spans="2:7" x14ac:dyDescent="0.2">
      <c r="B39" s="297"/>
      <c r="C39" s="84" t="s">
        <v>125</v>
      </c>
      <c r="D39" s="85"/>
      <c r="E39" s="143"/>
      <c r="F39" s="144"/>
    </row>
  </sheetData>
  <sheetProtection sheet="1" insertRows="0" autoFilter="0"/>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359C7-2FE5-494C-A509-B18357CBB86B}">
  <sheetPr codeName="Sheet13">
    <tabColor rgb="FF17415D"/>
  </sheetPr>
  <dimension ref="B1:J56"/>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x14ac:dyDescent="0.2"/>
  <cols>
    <col min="1" max="1" width="12" style="4" customWidth="1"/>
    <col min="2" max="2" width="31.7109375" style="4" customWidth="1"/>
    <col min="3" max="3" width="41.7109375" style="4" bestFit="1" customWidth="1"/>
    <col min="4" max="4" width="27.28515625" style="4" customWidth="1"/>
    <col min="5" max="5" width="32.7109375" style="4" customWidth="1"/>
    <col min="6" max="6" width="21.7109375" style="4" customWidth="1"/>
    <col min="7" max="7" width="24.42578125" style="4" customWidth="1"/>
    <col min="8" max="8" width="45" style="4" customWidth="1"/>
    <col min="9" max="10" width="19.7109375" style="4" customWidth="1"/>
    <col min="11" max="11" width="18.28515625" style="4" customWidth="1"/>
    <col min="12" max="16384" width="9.28515625" style="4"/>
  </cols>
  <sheetData>
    <row r="1" spans="2:10" ht="20.25" x14ac:dyDescent="0.3">
      <c r="B1" s="145" t="s">
        <v>510</v>
      </c>
      <c r="C1" s="145"/>
      <c r="D1" s="213"/>
      <c r="E1" s="213"/>
      <c r="F1" s="213"/>
      <c r="G1" s="213"/>
      <c r="H1" s="213"/>
      <c r="I1" s="213"/>
      <c r="J1" s="213"/>
    </row>
    <row r="2" spans="2:10" ht="20.25" x14ac:dyDescent="0.2">
      <c r="B2" s="145" t="str">
        <f>IF(Tradingname=0," ",Tradingname)</f>
        <v>EAST AUSTRALIAN PIPELINE PTY LIMITED</v>
      </c>
      <c r="C2" s="145"/>
    </row>
    <row r="3" spans="2:10" ht="18" customHeight="1" x14ac:dyDescent="0.45">
      <c r="B3" s="145" t="s">
        <v>110</v>
      </c>
      <c r="C3" s="110">
        <f>IF(Yearending=0, "01/01/2000", Yearending)</f>
        <v>45838</v>
      </c>
      <c r="F3" s="252"/>
    </row>
    <row r="4" spans="2:10" ht="20.25" x14ac:dyDescent="0.2">
      <c r="B4" s="102" t="s">
        <v>94</v>
      </c>
      <c r="C4" s="102"/>
    </row>
    <row r="6" spans="2:10" ht="15.75" x14ac:dyDescent="0.25">
      <c r="B6" s="223"/>
    </row>
    <row r="7" spans="2:10" ht="15.75" x14ac:dyDescent="0.25">
      <c r="B7" s="223" t="s">
        <v>642</v>
      </c>
    </row>
    <row r="8" spans="2:10" x14ac:dyDescent="0.2">
      <c r="B8" s="224"/>
      <c r="C8" s="225"/>
      <c r="D8" s="225"/>
      <c r="E8" s="225"/>
      <c r="F8" s="225"/>
      <c r="G8" s="254"/>
      <c r="H8" s="255"/>
      <c r="I8" s="256"/>
      <c r="J8" s="256"/>
    </row>
    <row r="9" spans="2:10" ht="31.9" customHeight="1" x14ac:dyDescent="0.2">
      <c r="B9" s="41" t="s">
        <v>59</v>
      </c>
      <c r="C9" s="62" t="s">
        <v>0</v>
      </c>
      <c r="D9" s="41" t="s">
        <v>121</v>
      </c>
      <c r="E9" s="41" t="s">
        <v>95</v>
      </c>
      <c r="F9" s="41" t="s">
        <v>96</v>
      </c>
    </row>
    <row r="10" spans="2:10" ht="13.9" customHeight="1" x14ac:dyDescent="0.2">
      <c r="B10" s="75"/>
      <c r="C10" s="335"/>
      <c r="D10" s="79"/>
      <c r="E10" s="334"/>
      <c r="F10" s="333"/>
    </row>
    <row r="11" spans="2:10" ht="13.9" customHeight="1" x14ac:dyDescent="0.2">
      <c r="B11" s="75"/>
      <c r="C11" s="335"/>
      <c r="D11" s="79"/>
      <c r="E11" s="334"/>
      <c r="F11" s="333"/>
    </row>
    <row r="12" spans="2:10" ht="13.9" customHeight="1" x14ac:dyDescent="0.2">
      <c r="B12" s="75"/>
      <c r="C12" s="335"/>
      <c r="D12" s="79"/>
      <c r="E12" s="334"/>
      <c r="F12" s="333"/>
    </row>
    <row r="13" spans="2:10" ht="13.9" customHeight="1" x14ac:dyDescent="0.2">
      <c r="B13" s="75"/>
      <c r="C13" s="87"/>
      <c r="D13" s="79"/>
      <c r="E13" s="86"/>
      <c r="F13" s="80"/>
    </row>
    <row r="14" spans="2:10" ht="13.9" customHeight="1" x14ac:dyDescent="0.2">
      <c r="B14" s="75"/>
      <c r="C14" s="87"/>
      <c r="D14" s="79"/>
      <c r="E14" s="86"/>
      <c r="F14" s="80"/>
    </row>
    <row r="15" spans="2:10" ht="13.9" customHeight="1" x14ac:dyDescent="0.2">
      <c r="B15" s="75"/>
      <c r="C15" s="87"/>
      <c r="D15" s="79"/>
      <c r="E15" s="86"/>
      <c r="F15" s="80"/>
    </row>
    <row r="16" spans="2:10" ht="13.9" customHeight="1" x14ac:dyDescent="0.2">
      <c r="B16" s="75"/>
      <c r="C16" s="87"/>
      <c r="D16" s="79"/>
      <c r="E16" s="86"/>
      <c r="F16" s="80"/>
    </row>
    <row r="17" spans="2:9" ht="13.9" customHeight="1" x14ac:dyDescent="0.2">
      <c r="B17" s="75"/>
      <c r="C17" s="87"/>
      <c r="D17" s="79"/>
      <c r="E17" s="86"/>
      <c r="F17" s="80"/>
    </row>
    <row r="18" spans="2:9" ht="13.9" customHeight="1" x14ac:dyDescent="0.2">
      <c r="B18" s="75"/>
      <c r="C18" s="87"/>
      <c r="D18" s="79"/>
      <c r="E18" s="86"/>
      <c r="F18" s="80"/>
    </row>
    <row r="19" spans="2:9" ht="13.9" customHeight="1" x14ac:dyDescent="0.2">
      <c r="B19" s="75"/>
      <c r="C19" s="87"/>
      <c r="D19" s="79"/>
      <c r="E19" s="86"/>
      <c r="F19" s="80"/>
    </row>
    <row r="20" spans="2:9" ht="13.9" customHeight="1" x14ac:dyDescent="0.2">
      <c r="B20" s="75"/>
      <c r="C20" s="87"/>
      <c r="D20" s="79"/>
      <c r="E20" s="86"/>
      <c r="F20" s="80"/>
    </row>
    <row r="21" spans="2:9" ht="13.9" customHeight="1" x14ac:dyDescent="0.2">
      <c r="B21" s="78"/>
      <c r="C21" s="87"/>
      <c r="D21" s="79"/>
      <c r="E21" s="86"/>
      <c r="F21" s="80"/>
    </row>
    <row r="22" spans="2:9" ht="13.9" customHeight="1" x14ac:dyDescent="0.2">
      <c r="B22" s="78"/>
      <c r="C22" s="87"/>
      <c r="D22" s="79"/>
      <c r="E22" s="86"/>
      <c r="F22" s="80"/>
    </row>
    <row r="23" spans="2:9" ht="13.9" customHeight="1" x14ac:dyDescent="0.2">
      <c r="B23" s="78"/>
      <c r="C23" s="87"/>
      <c r="D23" s="79"/>
      <c r="E23" s="86"/>
      <c r="F23" s="80"/>
    </row>
    <row r="24" spans="2:9" ht="13.9" customHeight="1" x14ac:dyDescent="0.2">
      <c r="B24" s="78"/>
      <c r="C24" s="87"/>
      <c r="D24" s="79"/>
      <c r="E24" s="86"/>
      <c r="F24" s="80"/>
    </row>
    <row r="27" spans="2:9" ht="15.75" x14ac:dyDescent="0.25">
      <c r="B27" s="223" t="s">
        <v>643</v>
      </c>
    </row>
    <row r="28" spans="2:9" x14ac:dyDescent="0.2">
      <c r="B28" s="224"/>
      <c r="C28" s="225"/>
      <c r="D28" s="225"/>
      <c r="E28" s="225"/>
    </row>
    <row r="29" spans="2:9" ht="37.15" customHeight="1" x14ac:dyDescent="0.2">
      <c r="B29" s="41" t="s">
        <v>59</v>
      </c>
      <c r="C29" s="62" t="s">
        <v>0</v>
      </c>
      <c r="D29" s="41" t="s">
        <v>122</v>
      </c>
      <c r="E29" s="41" t="s">
        <v>95</v>
      </c>
      <c r="F29" s="41" t="s">
        <v>96</v>
      </c>
      <c r="G29" s="41" t="s">
        <v>123</v>
      </c>
      <c r="H29" s="41" t="s">
        <v>103</v>
      </c>
      <c r="I29" s="41" t="s">
        <v>104</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count="1">
    <dataValidation type="list" allowBlank="1" showInputMessage="1" showErrorMessage="1" sqref="C10:C24 C30:C56" xr:uid="{92B7608E-0C39-4C79-9C93-BD0AACAB4101}">
      <formula1>rAllAssets</formula1>
    </dataValidation>
  </dataValidations>
  <pageMargins left="0.25" right="0.25" top="0.75" bottom="0.75" header="0.3" footer="0.3"/>
  <pageSetup paperSize="9" scale="59" orientation="landscape" r:id="rId1"/>
  <headerFooter alignWithMargins="0">
    <oddFooter>&amp;C_x000D_&amp;1#&amp;"Aptos"&amp;10&amp;K008000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4B51D-7280-4D52-98BF-E8E908F4E4FF}">
  <sheetPr codeName="Sheet14">
    <tabColor rgb="FF17415D"/>
  </sheetPr>
  <dimension ref="B1:Q84"/>
  <sheetViews>
    <sheetView showGridLines="0" zoomScaleNormal="100" workbookViewId="0">
      <pane xSplit="1" ySplit="8" topLeftCell="B11" activePane="bottomRight" state="frozen"/>
      <selection pane="topRight" activeCell="B1" sqref="B1"/>
      <selection pane="bottomLeft" activeCell="A9" sqref="A9"/>
      <selection pane="bottomRight"/>
    </sheetView>
  </sheetViews>
  <sheetFormatPr defaultColWidth="8.7109375" defaultRowHeight="12.75" x14ac:dyDescent="0.2"/>
  <cols>
    <col min="1" max="1" width="11.42578125" customWidth="1"/>
    <col min="2" max="2" width="32.42578125" customWidth="1"/>
    <col min="3" max="3" width="40.7109375" customWidth="1"/>
    <col min="4" max="4" width="41.7109375" bestFit="1" customWidth="1"/>
    <col min="5"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45" t="s">
        <v>510</v>
      </c>
      <c r="C1" s="145"/>
    </row>
    <row r="2" spans="2:17" ht="20.25" x14ac:dyDescent="0.2">
      <c r="B2" s="145" t="str">
        <f>IF(Tradingname=0," ",Tradingname)</f>
        <v>EAST AUSTRALIAN PIPELINE PTY LIMITED</v>
      </c>
      <c r="C2" s="145"/>
    </row>
    <row r="3" spans="2:17" ht="20.25" customHeight="1" x14ac:dyDescent="0.3">
      <c r="B3" s="145" t="s">
        <v>110</v>
      </c>
      <c r="C3" s="110">
        <f>IF(Yearending=0, "01/01/2000", Yearending)</f>
        <v>45838</v>
      </c>
    </row>
    <row r="4" spans="2:17" ht="20.25" x14ac:dyDescent="0.2">
      <c r="B4" s="102" t="s">
        <v>408</v>
      </c>
      <c r="C4" s="102"/>
    </row>
    <row r="5" spans="2:17" ht="12.75" customHeight="1" x14ac:dyDescent="0.2"/>
    <row r="6" spans="2:17" x14ac:dyDescent="0.2">
      <c r="B6" s="423" t="s">
        <v>588</v>
      </c>
      <c r="C6" s="423"/>
      <c r="D6" s="423"/>
      <c r="E6" s="423"/>
    </row>
    <row r="7" spans="2:17" ht="15.75" customHeight="1" x14ac:dyDescent="0.2">
      <c r="B7" s="423"/>
      <c r="C7" s="423"/>
      <c r="D7" s="423"/>
      <c r="E7" s="423"/>
      <c r="G7" s="169"/>
    </row>
    <row r="8" spans="2:17" ht="15.75" customHeight="1" x14ac:dyDescent="0.2">
      <c r="B8" s="423"/>
      <c r="C8" s="423"/>
      <c r="D8" s="423"/>
      <c r="E8" s="423"/>
      <c r="G8" s="169"/>
    </row>
    <row r="9" spans="2:17" x14ac:dyDescent="0.2">
      <c r="G9" s="169"/>
    </row>
    <row r="11" spans="2:17" ht="15.75" x14ac:dyDescent="0.25">
      <c r="B11" s="206" t="s">
        <v>644</v>
      </c>
    </row>
    <row r="13" spans="2:17" ht="45" customHeight="1" x14ac:dyDescent="0.2">
      <c r="B13" s="61" t="s">
        <v>515</v>
      </c>
      <c r="C13" s="62" t="s">
        <v>13</v>
      </c>
      <c r="D13" s="62" t="s">
        <v>0</v>
      </c>
      <c r="E13" s="62" t="s">
        <v>389</v>
      </c>
      <c r="F13" s="62" t="s">
        <v>50</v>
      </c>
      <c r="G13" s="62" t="s">
        <v>93</v>
      </c>
      <c r="H13" s="63" t="s">
        <v>585</v>
      </c>
      <c r="I13" s="63" t="s">
        <v>586</v>
      </c>
      <c r="J13" s="63" t="s">
        <v>658</v>
      </c>
      <c r="K13" s="63" t="s">
        <v>587</v>
      </c>
      <c r="L13" s="62" t="s">
        <v>53</v>
      </c>
      <c r="M13" s="62" t="s">
        <v>399</v>
      </c>
      <c r="N13" s="62" t="s">
        <v>400</v>
      </c>
      <c r="O13" s="62" t="s">
        <v>155</v>
      </c>
      <c r="P13" s="62" t="s">
        <v>223</v>
      </c>
      <c r="Q13" s="41" t="s">
        <v>54</v>
      </c>
    </row>
    <row r="14" spans="2:17" x14ac:dyDescent="0.2">
      <c r="B14" s="301"/>
      <c r="C14" s="64"/>
      <c r="D14" s="64"/>
      <c r="E14" s="64"/>
      <c r="F14" s="64" t="s">
        <v>55</v>
      </c>
      <c r="G14" s="64" t="s">
        <v>111</v>
      </c>
      <c r="H14" s="65" t="s">
        <v>111</v>
      </c>
      <c r="I14" s="65" t="s">
        <v>111</v>
      </c>
      <c r="J14" s="65" t="s">
        <v>111</v>
      </c>
      <c r="K14" s="65" t="s">
        <v>111</v>
      </c>
      <c r="L14" s="64" t="s">
        <v>111</v>
      </c>
      <c r="M14" s="64"/>
      <c r="N14" s="64" t="s">
        <v>111</v>
      </c>
      <c r="O14" s="64" t="s">
        <v>111</v>
      </c>
      <c r="P14" s="64" t="s">
        <v>111</v>
      </c>
      <c r="Q14" s="64" t="s">
        <v>111</v>
      </c>
    </row>
    <row r="15" spans="2:17" x14ac:dyDescent="0.2">
      <c r="B15" s="336" t="s">
        <v>746</v>
      </c>
      <c r="C15" s="87"/>
      <c r="D15" s="284" t="s">
        <v>548</v>
      </c>
      <c r="E15" s="89" t="str">
        <f>'3.3 Asset useful life'!D11</f>
        <v>1/6/2000 to 30/6/2025</v>
      </c>
      <c r="F15" s="89">
        <f>'3.3 Asset useful life'!E11</f>
        <v>43.81254011214542</v>
      </c>
      <c r="G15" s="90"/>
      <c r="H15" s="90">
        <v>2708133234.6099982</v>
      </c>
      <c r="I15" s="90">
        <v>24624008.640000008</v>
      </c>
      <c r="J15" s="90">
        <v>2635301.83</v>
      </c>
      <c r="K15" s="90">
        <v>0</v>
      </c>
      <c r="L15" s="25">
        <f>SUM(H15:K15)</f>
        <v>2735392545.079998</v>
      </c>
      <c r="M15" s="83">
        <v>1</v>
      </c>
      <c r="N15" s="101">
        <f>L15*M15</f>
        <v>2735392545.079998</v>
      </c>
      <c r="O15" s="90">
        <v>-798121004.64999795</v>
      </c>
      <c r="P15" s="90">
        <v>-65978148.170975879</v>
      </c>
      <c r="Q15" s="21">
        <f>SUM(N15:P15)</f>
        <v>1871293392.2590241</v>
      </c>
    </row>
    <row r="16" spans="2:17" x14ac:dyDescent="0.2">
      <c r="B16" s="336" t="s">
        <v>746</v>
      </c>
      <c r="C16" s="87"/>
      <c r="D16" s="284" t="s">
        <v>549</v>
      </c>
      <c r="E16" s="89" t="str">
        <f>'3.3 Asset useful life'!D12</f>
        <v>1/6/2000 to 30/6/2025</v>
      </c>
      <c r="F16" s="89">
        <f>'3.3 Asset useful life'!E12</f>
        <v>23.598152853216192</v>
      </c>
      <c r="G16" s="90"/>
      <c r="H16" s="90">
        <v>940550359.58999908</v>
      </c>
      <c r="I16" s="90">
        <v>1179942.5400000887</v>
      </c>
      <c r="J16" s="90">
        <v>0</v>
      </c>
      <c r="K16" s="90">
        <v>0</v>
      </c>
      <c r="L16" s="25">
        <f>SUM(H16:K16)</f>
        <v>941730302.12999916</v>
      </c>
      <c r="M16" s="83">
        <v>1</v>
      </c>
      <c r="N16" s="101">
        <f t="shared" ref="N16:N58" si="0">L16*M16</f>
        <v>941730302.12999916</v>
      </c>
      <c r="O16" s="90">
        <v>-284559912.97000003</v>
      </c>
      <c r="P16" s="90">
        <v>-41169814.884407006</v>
      </c>
      <c r="Q16" s="21">
        <f t="shared" ref="Q16:Q58" si="1">SUM(N16:P16)</f>
        <v>616000574.27559209</v>
      </c>
    </row>
    <row r="17" spans="2:17" x14ac:dyDescent="0.2">
      <c r="B17" s="336" t="s">
        <v>746</v>
      </c>
      <c r="C17" s="87"/>
      <c r="D17" s="284" t="s">
        <v>550</v>
      </c>
      <c r="E17" s="89" t="str">
        <f>'3.3 Asset useful life'!D13</f>
        <v>9/10/2012 to 30/6/2025</v>
      </c>
      <c r="F17" s="89">
        <f>'3.3 Asset useful life'!E13</f>
        <v>28.873579757334547</v>
      </c>
      <c r="G17" s="90"/>
      <c r="H17" s="90">
        <v>37925481.209999986</v>
      </c>
      <c r="I17" s="90">
        <v>7853823.1099999994</v>
      </c>
      <c r="J17" s="90">
        <v>0</v>
      </c>
      <c r="K17" s="90">
        <v>0</v>
      </c>
      <c r="L17" s="25">
        <f t="shared" ref="L17:L58" si="2">SUM(H17:K17)</f>
        <v>45779304.319999985</v>
      </c>
      <c r="M17" s="83">
        <v>1</v>
      </c>
      <c r="N17" s="101">
        <f t="shared" si="0"/>
        <v>45779304.319999985</v>
      </c>
      <c r="O17" s="90">
        <v>-7624411.4600000009</v>
      </c>
      <c r="P17" s="90">
        <v>-2151893.7270931867</v>
      </c>
      <c r="Q17" s="21">
        <f t="shared" si="1"/>
        <v>36002999.132906795</v>
      </c>
    </row>
    <row r="18" spans="2:17" x14ac:dyDescent="0.2">
      <c r="B18" s="336" t="s">
        <v>746</v>
      </c>
      <c r="C18" s="87"/>
      <c r="D18" s="284" t="s">
        <v>551</v>
      </c>
      <c r="E18" s="89" t="str">
        <f>'3.3 Asset useful life'!D14</f>
        <v>1/10/2001 to 30/6/2025</v>
      </c>
      <c r="F18" s="89">
        <f>'3.3 Asset useful life'!E14</f>
        <v>18.83731347573606</v>
      </c>
      <c r="G18" s="90"/>
      <c r="H18" s="90">
        <v>13944998.95999999</v>
      </c>
      <c r="I18" s="90">
        <v>6716244.5300000003</v>
      </c>
      <c r="J18" s="90">
        <v>0</v>
      </c>
      <c r="K18" s="90">
        <v>0</v>
      </c>
      <c r="L18" s="25">
        <f t="shared" si="2"/>
        <v>20661243.489999991</v>
      </c>
      <c r="M18" s="83">
        <v>1</v>
      </c>
      <c r="N18" s="101">
        <f t="shared" si="0"/>
        <v>20661243.489999991</v>
      </c>
      <c r="O18" s="90">
        <v>-5886000.2299999986</v>
      </c>
      <c r="P18" s="90">
        <v>-761950.42312856112</v>
      </c>
      <c r="Q18" s="21">
        <f t="shared" si="1"/>
        <v>14013292.83687143</v>
      </c>
    </row>
    <row r="19" spans="2:17" x14ac:dyDescent="0.2">
      <c r="B19" s="336" t="s">
        <v>746</v>
      </c>
      <c r="C19" s="87"/>
      <c r="D19" s="284" t="s">
        <v>552</v>
      </c>
      <c r="E19" s="89" t="str">
        <f>'3.3 Asset useful life'!D15</f>
        <v>1/7/2010 to 30/6/2025</v>
      </c>
      <c r="F19" s="89">
        <f>'3.3 Asset useful life'!E15</f>
        <v>19.999999999999996</v>
      </c>
      <c r="G19" s="90"/>
      <c r="H19" s="90">
        <v>906504.53</v>
      </c>
      <c r="I19" s="90">
        <v>2727179.3</v>
      </c>
      <c r="J19" s="90">
        <v>0</v>
      </c>
      <c r="K19" s="90">
        <v>0</v>
      </c>
      <c r="L19" s="25">
        <f t="shared" si="2"/>
        <v>3633683.83</v>
      </c>
      <c r="M19" s="83">
        <v>1</v>
      </c>
      <c r="N19" s="101">
        <f t="shared" si="0"/>
        <v>3633683.83</v>
      </c>
      <c r="O19" s="90">
        <v>-456301.55</v>
      </c>
      <c r="P19" s="90">
        <v>-56127.26616438356</v>
      </c>
      <c r="Q19" s="21">
        <f t="shared" si="1"/>
        <v>3121255.0138356169</v>
      </c>
    </row>
    <row r="20" spans="2:17" x14ac:dyDescent="0.2">
      <c r="B20" s="336" t="s">
        <v>746</v>
      </c>
      <c r="C20" s="87"/>
      <c r="D20" s="284" t="s">
        <v>553</v>
      </c>
      <c r="E20" s="89" t="str">
        <f>'3.3 Asset useful life'!D16</f>
        <v>1/3/2003 to 30/6/2025</v>
      </c>
      <c r="F20" s="89">
        <f>'3.3 Asset useful life'!E16</f>
        <v>7.7698471750663307</v>
      </c>
      <c r="G20" s="90"/>
      <c r="H20" s="90">
        <v>13115410.889999997</v>
      </c>
      <c r="I20" s="90">
        <v>-76608.819999999949</v>
      </c>
      <c r="J20" s="90">
        <v>0</v>
      </c>
      <c r="K20" s="90">
        <v>0</v>
      </c>
      <c r="L20" s="25">
        <f t="shared" si="2"/>
        <v>13038802.069999997</v>
      </c>
      <c r="M20" s="83">
        <v>1</v>
      </c>
      <c r="N20" s="101">
        <f t="shared" si="0"/>
        <v>13038802.069999997</v>
      </c>
      <c r="O20" s="90">
        <v>-7685102.0399999917</v>
      </c>
      <c r="P20" s="90">
        <v>-988549.72</v>
      </c>
      <c r="Q20" s="21">
        <f t="shared" si="1"/>
        <v>4365150.3100000052</v>
      </c>
    </row>
    <row r="21" spans="2:17" x14ac:dyDescent="0.2">
      <c r="B21" s="336" t="s">
        <v>746</v>
      </c>
      <c r="C21" s="87"/>
      <c r="D21" s="284" t="s">
        <v>554</v>
      </c>
      <c r="E21" s="89" t="str">
        <f>'3.3 Asset useful life'!D17</f>
        <v>1/6/2000 to 30/6/2025</v>
      </c>
      <c r="F21" s="89">
        <f>'3.3 Asset useful life'!E17</f>
        <v>27.836865785955254</v>
      </c>
      <c r="G21" s="90"/>
      <c r="H21" s="90">
        <v>8593060.1099999901</v>
      </c>
      <c r="I21" s="90">
        <v>796737</v>
      </c>
      <c r="J21" s="90">
        <v>0</v>
      </c>
      <c r="K21" s="90">
        <v>0</v>
      </c>
      <c r="L21" s="25">
        <f t="shared" si="2"/>
        <v>9389797.1099999901</v>
      </c>
      <c r="M21" s="83">
        <v>1</v>
      </c>
      <c r="N21" s="101">
        <f t="shared" si="0"/>
        <v>9389797.1099999901</v>
      </c>
      <c r="O21" s="90">
        <v>-2766557.48</v>
      </c>
      <c r="P21" s="90">
        <v>-285939.77141993103</v>
      </c>
      <c r="Q21" s="21">
        <f t="shared" si="1"/>
        <v>6337299.8585800584</v>
      </c>
    </row>
    <row r="22" spans="2:17" x14ac:dyDescent="0.2">
      <c r="B22" s="336" t="s">
        <v>746</v>
      </c>
      <c r="C22" s="87"/>
      <c r="D22" s="284" t="s">
        <v>90</v>
      </c>
      <c r="E22" s="89" t="str">
        <f>'3.3 Asset useful life'!D19</f>
        <v>1/6/2000 to 30/6/2025</v>
      </c>
      <c r="F22" s="89" t="str">
        <f>'3.3 Asset useful life'!E19</f>
        <v>N/A</v>
      </c>
      <c r="G22" s="90"/>
      <c r="H22" s="90">
        <v>5091571.9600000009</v>
      </c>
      <c r="I22" s="90">
        <v>6346459</v>
      </c>
      <c r="J22" s="90">
        <v>0</v>
      </c>
      <c r="K22" s="90">
        <v>0</v>
      </c>
      <c r="L22" s="25">
        <f t="shared" si="2"/>
        <v>11438030.960000001</v>
      </c>
      <c r="M22" s="83">
        <v>1</v>
      </c>
      <c r="N22" s="101">
        <f t="shared" si="0"/>
        <v>11438030.960000001</v>
      </c>
      <c r="O22" s="90">
        <v>0</v>
      </c>
      <c r="P22" s="90">
        <v>0</v>
      </c>
      <c r="Q22" s="21">
        <f t="shared" si="1"/>
        <v>11438030.960000001</v>
      </c>
    </row>
    <row r="23" spans="2:17" x14ac:dyDescent="0.2">
      <c r="B23" s="336" t="s">
        <v>746</v>
      </c>
      <c r="C23" s="87"/>
      <c r="D23" s="284" t="s">
        <v>132</v>
      </c>
      <c r="E23" s="89" t="str">
        <f>'3.3 Asset useful life'!D18</f>
        <v>1/6/2000 to 30/6/2025</v>
      </c>
      <c r="F23" s="89">
        <f>'3.3 Asset useful life'!E18</f>
        <v>13.592213588367853</v>
      </c>
      <c r="G23" s="90"/>
      <c r="H23" s="90">
        <v>34518359.23999989</v>
      </c>
      <c r="I23" s="90">
        <v>29459325.769999996</v>
      </c>
      <c r="J23" s="90">
        <v>0</v>
      </c>
      <c r="K23" s="90">
        <v>-228209</v>
      </c>
      <c r="L23" s="25">
        <f t="shared" si="2"/>
        <v>63749476.009999886</v>
      </c>
      <c r="M23" s="83">
        <v>1</v>
      </c>
      <c r="N23" s="101">
        <f t="shared" si="0"/>
        <v>63749476.009999886</v>
      </c>
      <c r="O23" s="90">
        <v>-22885292.889999986</v>
      </c>
      <c r="P23" s="90">
        <v>-5311909.7014102526</v>
      </c>
      <c r="Q23" s="21">
        <f t="shared" si="1"/>
        <v>35552273.418589652</v>
      </c>
    </row>
    <row r="24" spans="2:17" x14ac:dyDescent="0.2">
      <c r="B24" s="336" t="s">
        <v>746</v>
      </c>
      <c r="C24" s="87"/>
      <c r="D24" s="284" t="s">
        <v>555</v>
      </c>
      <c r="E24" s="88" t="str">
        <f>'3.3 Asset useful life'!D23</f>
        <v>1/7/2019 to 30/6/2025</v>
      </c>
      <c r="F24" s="89" t="str">
        <f>'3.3 Asset useful life'!E23</f>
        <v>Various</v>
      </c>
      <c r="G24" s="90"/>
      <c r="H24" s="90">
        <v>1093541.8299999998</v>
      </c>
      <c r="I24" s="90">
        <v>2299788.08</v>
      </c>
      <c r="J24" s="90"/>
      <c r="K24" s="90">
        <v>-93071.360000000001</v>
      </c>
      <c r="L24" s="25">
        <f t="shared" si="2"/>
        <v>3300258.5500000003</v>
      </c>
      <c r="M24" s="83">
        <v>1</v>
      </c>
      <c r="N24" s="101">
        <f t="shared" si="0"/>
        <v>3300258.5500000003</v>
      </c>
      <c r="O24" s="90">
        <v>-1194034.0799999998</v>
      </c>
      <c r="P24" s="90">
        <v>-521748.07999999996</v>
      </c>
      <c r="Q24" s="21">
        <f t="shared" si="1"/>
        <v>1584476.3900000006</v>
      </c>
    </row>
    <row r="25" spans="2:17" x14ac:dyDescent="0.2">
      <c r="B25" s="302"/>
      <c r="C25" s="87"/>
      <c r="D25" s="284"/>
      <c r="E25" s="88"/>
      <c r="F25" s="89"/>
      <c r="G25" s="90"/>
      <c r="H25" s="90"/>
      <c r="I25" s="90"/>
      <c r="J25" s="90"/>
      <c r="K25" s="90"/>
      <c r="L25" s="25">
        <f t="shared" si="2"/>
        <v>0</v>
      </c>
      <c r="M25" s="83">
        <v>1</v>
      </c>
      <c r="N25" s="101">
        <f t="shared" si="0"/>
        <v>0</v>
      </c>
      <c r="O25" s="90"/>
      <c r="P25" s="90"/>
      <c r="Q25" s="21">
        <f t="shared" si="1"/>
        <v>0</v>
      </c>
    </row>
    <row r="26" spans="2:17" x14ac:dyDescent="0.2">
      <c r="B26" s="302"/>
      <c r="C26" s="87"/>
      <c r="D26" s="284"/>
      <c r="E26" s="88"/>
      <c r="F26" s="89"/>
      <c r="G26" s="90"/>
      <c r="H26" s="90"/>
      <c r="I26" s="90"/>
      <c r="J26" s="90"/>
      <c r="K26" s="90"/>
      <c r="L26" s="25">
        <f t="shared" si="2"/>
        <v>0</v>
      </c>
      <c r="M26" s="83">
        <v>1</v>
      </c>
      <c r="N26" s="101">
        <f t="shared" si="0"/>
        <v>0</v>
      </c>
      <c r="O26" s="90"/>
      <c r="P26" s="90"/>
      <c r="Q26" s="21">
        <f t="shared" si="1"/>
        <v>0</v>
      </c>
    </row>
    <row r="27" spans="2:17" x14ac:dyDescent="0.2">
      <c r="B27" s="302"/>
      <c r="C27" s="87"/>
      <c r="D27" s="284"/>
      <c r="E27" s="88"/>
      <c r="F27" s="89"/>
      <c r="G27" s="90"/>
      <c r="H27" s="90"/>
      <c r="I27" s="90"/>
      <c r="J27" s="90"/>
      <c r="K27" s="90"/>
      <c r="L27" s="25">
        <f t="shared" si="2"/>
        <v>0</v>
      </c>
      <c r="M27" s="83">
        <v>1</v>
      </c>
      <c r="N27" s="101">
        <f t="shared" si="0"/>
        <v>0</v>
      </c>
      <c r="O27" s="90"/>
      <c r="P27" s="90"/>
      <c r="Q27" s="21">
        <f t="shared" si="1"/>
        <v>0</v>
      </c>
    </row>
    <row r="28" spans="2:17" x14ac:dyDescent="0.2">
      <c r="B28" s="302"/>
      <c r="C28" s="87"/>
      <c r="D28" s="284"/>
      <c r="E28" s="88"/>
      <c r="F28" s="89"/>
      <c r="G28" s="90"/>
      <c r="H28" s="90"/>
      <c r="I28" s="90"/>
      <c r="J28" s="90"/>
      <c r="K28" s="90"/>
      <c r="L28" s="25">
        <f t="shared" si="2"/>
        <v>0</v>
      </c>
      <c r="M28" s="83">
        <v>1</v>
      </c>
      <c r="N28" s="101">
        <f t="shared" si="0"/>
        <v>0</v>
      </c>
      <c r="O28" s="90"/>
      <c r="P28" s="90"/>
      <c r="Q28" s="21">
        <f t="shared" si="1"/>
        <v>0</v>
      </c>
    </row>
    <row r="29" spans="2:17" x14ac:dyDescent="0.2">
      <c r="B29" s="302"/>
      <c r="C29" s="87"/>
      <c r="D29" s="284"/>
      <c r="E29" s="88"/>
      <c r="F29" s="89"/>
      <c r="G29" s="90"/>
      <c r="H29" s="90"/>
      <c r="I29" s="90"/>
      <c r="J29" s="90"/>
      <c r="K29" s="90"/>
      <c r="L29" s="25">
        <f t="shared" si="2"/>
        <v>0</v>
      </c>
      <c r="M29" s="83">
        <v>1</v>
      </c>
      <c r="N29" s="101">
        <f t="shared" si="0"/>
        <v>0</v>
      </c>
      <c r="O29" s="90"/>
      <c r="P29" s="90"/>
      <c r="Q29" s="21">
        <f t="shared" si="1"/>
        <v>0</v>
      </c>
    </row>
    <row r="30" spans="2:17" x14ac:dyDescent="0.2">
      <c r="B30" s="302"/>
      <c r="C30" s="87"/>
      <c r="D30" s="284"/>
      <c r="E30" s="88"/>
      <c r="F30" s="89"/>
      <c r="G30" s="90"/>
      <c r="H30" s="90"/>
      <c r="I30" s="90"/>
      <c r="J30" s="90"/>
      <c r="K30" s="90"/>
      <c r="L30" s="25">
        <f t="shared" si="2"/>
        <v>0</v>
      </c>
      <c r="M30" s="83">
        <v>1</v>
      </c>
      <c r="N30" s="101">
        <f t="shared" si="0"/>
        <v>0</v>
      </c>
      <c r="O30" s="90"/>
      <c r="P30" s="90"/>
      <c r="Q30" s="21">
        <f t="shared" si="1"/>
        <v>0</v>
      </c>
    </row>
    <row r="31" spans="2:17" x14ac:dyDescent="0.2">
      <c r="B31" s="302"/>
      <c r="C31" s="87"/>
      <c r="D31" s="284"/>
      <c r="E31" s="88"/>
      <c r="F31" s="89"/>
      <c r="G31" s="90"/>
      <c r="H31" s="90"/>
      <c r="I31" s="90"/>
      <c r="J31" s="90"/>
      <c r="K31" s="90"/>
      <c r="L31" s="25">
        <f t="shared" si="2"/>
        <v>0</v>
      </c>
      <c r="M31" s="83">
        <v>1</v>
      </c>
      <c r="N31" s="101">
        <f t="shared" si="0"/>
        <v>0</v>
      </c>
      <c r="O31" s="90"/>
      <c r="P31" s="90"/>
      <c r="Q31" s="21">
        <f t="shared" si="1"/>
        <v>0</v>
      </c>
    </row>
    <row r="32" spans="2:17" x14ac:dyDescent="0.2">
      <c r="B32" s="302"/>
      <c r="C32" s="87"/>
      <c r="D32" s="284"/>
      <c r="E32" s="88"/>
      <c r="F32" s="89"/>
      <c r="G32" s="90"/>
      <c r="H32" s="90"/>
      <c r="I32" s="90"/>
      <c r="J32" s="90"/>
      <c r="K32" s="90"/>
      <c r="L32" s="25">
        <f t="shared" si="2"/>
        <v>0</v>
      </c>
      <c r="M32" s="83">
        <v>1</v>
      </c>
      <c r="N32" s="101">
        <f t="shared" si="0"/>
        <v>0</v>
      </c>
      <c r="O32" s="90"/>
      <c r="P32" s="90"/>
      <c r="Q32" s="21">
        <f t="shared" si="1"/>
        <v>0</v>
      </c>
    </row>
    <row r="33" spans="2:17" x14ac:dyDescent="0.2">
      <c r="B33" s="302"/>
      <c r="C33" s="87"/>
      <c r="D33" s="284"/>
      <c r="E33" s="88"/>
      <c r="F33" s="89"/>
      <c r="G33" s="90"/>
      <c r="H33" s="90"/>
      <c r="I33" s="90"/>
      <c r="J33" s="90"/>
      <c r="K33" s="90"/>
      <c r="L33" s="25">
        <f t="shared" si="2"/>
        <v>0</v>
      </c>
      <c r="M33" s="83">
        <v>1</v>
      </c>
      <c r="N33" s="101">
        <f t="shared" si="0"/>
        <v>0</v>
      </c>
      <c r="O33" s="90"/>
      <c r="P33" s="90"/>
      <c r="Q33" s="21">
        <f t="shared" si="1"/>
        <v>0</v>
      </c>
    </row>
    <row r="34" spans="2:17" x14ac:dyDescent="0.2">
      <c r="B34" s="302"/>
      <c r="C34" s="87"/>
      <c r="D34" s="284"/>
      <c r="E34" s="88"/>
      <c r="F34" s="89"/>
      <c r="G34" s="90"/>
      <c r="H34" s="90"/>
      <c r="I34" s="90"/>
      <c r="J34" s="90"/>
      <c r="K34" s="90"/>
      <c r="L34" s="25">
        <f t="shared" si="2"/>
        <v>0</v>
      </c>
      <c r="M34" s="83">
        <v>1</v>
      </c>
      <c r="N34" s="101">
        <f t="shared" si="0"/>
        <v>0</v>
      </c>
      <c r="O34" s="90"/>
      <c r="P34" s="90"/>
      <c r="Q34" s="21">
        <f t="shared" si="1"/>
        <v>0</v>
      </c>
    </row>
    <row r="35" spans="2:17" x14ac:dyDescent="0.2">
      <c r="B35" s="302"/>
      <c r="C35" s="87"/>
      <c r="D35" s="284"/>
      <c r="E35" s="88"/>
      <c r="F35" s="89"/>
      <c r="G35" s="90"/>
      <c r="H35" s="90"/>
      <c r="I35" s="90"/>
      <c r="J35" s="90"/>
      <c r="K35" s="90"/>
      <c r="L35" s="25">
        <f t="shared" si="2"/>
        <v>0</v>
      </c>
      <c r="M35" s="83">
        <v>1</v>
      </c>
      <c r="N35" s="101">
        <f t="shared" si="0"/>
        <v>0</v>
      </c>
      <c r="O35" s="90"/>
      <c r="P35" s="90"/>
      <c r="Q35" s="21">
        <f t="shared" si="1"/>
        <v>0</v>
      </c>
    </row>
    <row r="36" spans="2:17" x14ac:dyDescent="0.2">
      <c r="B36" s="302"/>
      <c r="C36" s="87"/>
      <c r="D36" s="284"/>
      <c r="E36" s="88"/>
      <c r="F36" s="89"/>
      <c r="G36" s="90"/>
      <c r="H36" s="90"/>
      <c r="I36" s="90"/>
      <c r="J36" s="90"/>
      <c r="K36" s="90"/>
      <c r="L36" s="25">
        <f t="shared" si="2"/>
        <v>0</v>
      </c>
      <c r="M36" s="83">
        <v>1</v>
      </c>
      <c r="N36" s="101">
        <f t="shared" si="0"/>
        <v>0</v>
      </c>
      <c r="O36" s="90"/>
      <c r="P36" s="90"/>
      <c r="Q36" s="21">
        <f t="shared" si="1"/>
        <v>0</v>
      </c>
    </row>
    <row r="37" spans="2:17" x14ac:dyDescent="0.2">
      <c r="B37" s="302"/>
      <c r="C37" s="87"/>
      <c r="D37" s="284"/>
      <c r="E37" s="88"/>
      <c r="F37" s="89"/>
      <c r="G37" s="90"/>
      <c r="H37" s="90"/>
      <c r="I37" s="90"/>
      <c r="J37" s="90"/>
      <c r="K37" s="90"/>
      <c r="L37" s="25">
        <f t="shared" si="2"/>
        <v>0</v>
      </c>
      <c r="M37" s="83">
        <v>1</v>
      </c>
      <c r="N37" s="101">
        <f t="shared" si="0"/>
        <v>0</v>
      </c>
      <c r="O37" s="90"/>
      <c r="P37" s="90"/>
      <c r="Q37" s="21">
        <f t="shared" si="1"/>
        <v>0</v>
      </c>
    </row>
    <row r="38" spans="2:17" x14ac:dyDescent="0.2">
      <c r="B38" s="302"/>
      <c r="C38" s="87"/>
      <c r="D38" s="284"/>
      <c r="E38" s="88"/>
      <c r="F38" s="89"/>
      <c r="G38" s="90"/>
      <c r="H38" s="90"/>
      <c r="I38" s="90"/>
      <c r="J38" s="90"/>
      <c r="K38" s="90"/>
      <c r="L38" s="25">
        <f t="shared" si="2"/>
        <v>0</v>
      </c>
      <c r="M38" s="83">
        <v>1</v>
      </c>
      <c r="N38" s="101">
        <f t="shared" si="0"/>
        <v>0</v>
      </c>
      <c r="O38" s="90"/>
      <c r="P38" s="90"/>
      <c r="Q38" s="21">
        <f t="shared" si="1"/>
        <v>0</v>
      </c>
    </row>
    <row r="39" spans="2:17" x14ac:dyDescent="0.2">
      <c r="B39" s="302"/>
      <c r="C39" s="87"/>
      <c r="D39" s="284"/>
      <c r="E39" s="88"/>
      <c r="F39" s="89"/>
      <c r="G39" s="90"/>
      <c r="H39" s="90"/>
      <c r="I39" s="90"/>
      <c r="J39" s="90"/>
      <c r="K39" s="90"/>
      <c r="L39" s="25">
        <f t="shared" si="2"/>
        <v>0</v>
      </c>
      <c r="M39" s="83">
        <v>1</v>
      </c>
      <c r="N39" s="101">
        <f t="shared" si="0"/>
        <v>0</v>
      </c>
      <c r="O39" s="90"/>
      <c r="P39" s="90"/>
      <c r="Q39" s="21">
        <f t="shared" si="1"/>
        <v>0</v>
      </c>
    </row>
    <row r="40" spans="2:17" x14ac:dyDescent="0.2">
      <c r="B40" s="302"/>
      <c r="C40" s="87"/>
      <c r="D40" s="284"/>
      <c r="E40" s="88"/>
      <c r="F40" s="89"/>
      <c r="G40" s="90"/>
      <c r="H40" s="90"/>
      <c r="I40" s="90"/>
      <c r="J40" s="90"/>
      <c r="K40" s="90"/>
      <c r="L40" s="25">
        <f t="shared" si="2"/>
        <v>0</v>
      </c>
      <c r="M40" s="83">
        <v>1</v>
      </c>
      <c r="N40" s="101">
        <f t="shared" si="0"/>
        <v>0</v>
      </c>
      <c r="O40" s="90"/>
      <c r="P40" s="90"/>
      <c r="Q40" s="21">
        <f t="shared" si="1"/>
        <v>0</v>
      </c>
    </row>
    <row r="41" spans="2:17" x14ac:dyDescent="0.2">
      <c r="B41" s="302"/>
      <c r="C41" s="87"/>
      <c r="D41" s="284"/>
      <c r="E41" s="88"/>
      <c r="F41" s="89"/>
      <c r="G41" s="90"/>
      <c r="H41" s="90"/>
      <c r="I41" s="90"/>
      <c r="J41" s="90"/>
      <c r="K41" s="90"/>
      <c r="L41" s="25">
        <f t="shared" si="2"/>
        <v>0</v>
      </c>
      <c r="M41" s="83">
        <v>1</v>
      </c>
      <c r="N41" s="101">
        <f t="shared" si="0"/>
        <v>0</v>
      </c>
      <c r="O41" s="90"/>
      <c r="P41" s="90"/>
      <c r="Q41" s="21">
        <f t="shared" si="1"/>
        <v>0</v>
      </c>
    </row>
    <row r="42" spans="2:17" x14ac:dyDescent="0.2">
      <c r="B42" s="302"/>
      <c r="C42" s="87"/>
      <c r="D42" s="284"/>
      <c r="E42" s="88"/>
      <c r="F42" s="89"/>
      <c r="G42" s="90"/>
      <c r="H42" s="90"/>
      <c r="I42" s="90"/>
      <c r="J42" s="90"/>
      <c r="K42" s="90"/>
      <c r="L42" s="25">
        <f t="shared" si="2"/>
        <v>0</v>
      </c>
      <c r="M42" s="83">
        <v>1</v>
      </c>
      <c r="N42" s="101">
        <f t="shared" si="0"/>
        <v>0</v>
      </c>
      <c r="O42" s="90"/>
      <c r="P42" s="90"/>
      <c r="Q42" s="21">
        <f t="shared" si="1"/>
        <v>0</v>
      </c>
    </row>
    <row r="43" spans="2:17" x14ac:dyDescent="0.2">
      <c r="B43" s="302"/>
      <c r="C43" s="87"/>
      <c r="D43" s="284"/>
      <c r="E43" s="88"/>
      <c r="F43" s="89"/>
      <c r="G43" s="90"/>
      <c r="H43" s="90"/>
      <c r="I43" s="90"/>
      <c r="J43" s="90"/>
      <c r="K43" s="90"/>
      <c r="L43" s="25">
        <f t="shared" si="2"/>
        <v>0</v>
      </c>
      <c r="M43" s="83">
        <v>1</v>
      </c>
      <c r="N43" s="101">
        <f t="shared" si="0"/>
        <v>0</v>
      </c>
      <c r="O43" s="90"/>
      <c r="P43" s="90"/>
      <c r="Q43" s="21">
        <f t="shared" si="1"/>
        <v>0</v>
      </c>
    </row>
    <row r="44" spans="2:17" x14ac:dyDescent="0.2">
      <c r="B44" s="302"/>
      <c r="C44" s="87"/>
      <c r="D44" s="284"/>
      <c r="E44" s="88"/>
      <c r="F44" s="89"/>
      <c r="G44" s="90"/>
      <c r="H44" s="90"/>
      <c r="I44" s="90"/>
      <c r="J44" s="90"/>
      <c r="K44" s="90"/>
      <c r="L44" s="25">
        <f t="shared" si="2"/>
        <v>0</v>
      </c>
      <c r="M44" s="83">
        <v>1</v>
      </c>
      <c r="N44" s="101">
        <f t="shared" si="0"/>
        <v>0</v>
      </c>
      <c r="O44" s="90"/>
      <c r="P44" s="90"/>
      <c r="Q44" s="21">
        <f t="shared" si="1"/>
        <v>0</v>
      </c>
    </row>
    <row r="45" spans="2:17" x14ac:dyDescent="0.2">
      <c r="B45" s="302"/>
      <c r="C45" s="87"/>
      <c r="D45" s="284"/>
      <c r="E45" s="88"/>
      <c r="F45" s="89"/>
      <c r="G45" s="90"/>
      <c r="H45" s="90"/>
      <c r="I45" s="90"/>
      <c r="J45" s="90"/>
      <c r="K45" s="90"/>
      <c r="L45" s="25">
        <f t="shared" si="2"/>
        <v>0</v>
      </c>
      <c r="M45" s="83">
        <v>1</v>
      </c>
      <c r="N45" s="101">
        <f t="shared" si="0"/>
        <v>0</v>
      </c>
      <c r="O45" s="90"/>
      <c r="P45" s="90"/>
      <c r="Q45" s="21">
        <f t="shared" si="1"/>
        <v>0</v>
      </c>
    </row>
    <row r="46" spans="2:17" x14ac:dyDescent="0.2">
      <c r="B46" s="302"/>
      <c r="C46" s="87"/>
      <c r="D46" s="284"/>
      <c r="E46" s="88"/>
      <c r="F46" s="89"/>
      <c r="G46" s="90"/>
      <c r="H46" s="90"/>
      <c r="I46" s="90"/>
      <c r="J46" s="90"/>
      <c r="K46" s="90"/>
      <c r="L46" s="25">
        <f t="shared" si="2"/>
        <v>0</v>
      </c>
      <c r="M46" s="83">
        <v>1</v>
      </c>
      <c r="N46" s="101">
        <f t="shared" si="0"/>
        <v>0</v>
      </c>
      <c r="O46" s="90"/>
      <c r="P46" s="90"/>
      <c r="Q46" s="21">
        <f t="shared" si="1"/>
        <v>0</v>
      </c>
    </row>
    <row r="47" spans="2:17" x14ac:dyDescent="0.2">
      <c r="B47" s="302"/>
      <c r="C47" s="87"/>
      <c r="D47" s="284"/>
      <c r="E47" s="88"/>
      <c r="F47" s="89"/>
      <c r="G47" s="90"/>
      <c r="H47" s="90"/>
      <c r="I47" s="90"/>
      <c r="J47" s="90"/>
      <c r="K47" s="90"/>
      <c r="L47" s="25">
        <f t="shared" si="2"/>
        <v>0</v>
      </c>
      <c r="M47" s="83">
        <v>1</v>
      </c>
      <c r="N47" s="101">
        <f t="shared" si="0"/>
        <v>0</v>
      </c>
      <c r="O47" s="90"/>
      <c r="P47" s="90"/>
      <c r="Q47" s="21">
        <f t="shared" si="1"/>
        <v>0</v>
      </c>
    </row>
    <row r="48" spans="2:17" x14ac:dyDescent="0.2">
      <c r="B48" s="302"/>
      <c r="C48" s="87"/>
      <c r="D48" s="284"/>
      <c r="E48" s="88"/>
      <c r="F48" s="89"/>
      <c r="G48" s="90"/>
      <c r="H48" s="90"/>
      <c r="I48" s="90"/>
      <c r="J48" s="90"/>
      <c r="K48" s="90"/>
      <c r="L48" s="25">
        <f t="shared" si="2"/>
        <v>0</v>
      </c>
      <c r="M48" s="83">
        <v>1</v>
      </c>
      <c r="N48" s="101">
        <f t="shared" si="0"/>
        <v>0</v>
      </c>
      <c r="O48" s="90"/>
      <c r="P48" s="90"/>
      <c r="Q48" s="21">
        <f t="shared" si="1"/>
        <v>0</v>
      </c>
    </row>
    <row r="49" spans="2:17" x14ac:dyDescent="0.2">
      <c r="B49" s="302"/>
      <c r="C49" s="87"/>
      <c r="D49" s="284"/>
      <c r="E49" s="88"/>
      <c r="F49" s="89"/>
      <c r="G49" s="90"/>
      <c r="H49" s="90"/>
      <c r="I49" s="90"/>
      <c r="J49" s="90"/>
      <c r="K49" s="90"/>
      <c r="L49" s="25">
        <f t="shared" si="2"/>
        <v>0</v>
      </c>
      <c r="M49" s="83">
        <v>1</v>
      </c>
      <c r="N49" s="101">
        <f t="shared" si="0"/>
        <v>0</v>
      </c>
      <c r="O49" s="90"/>
      <c r="P49" s="90"/>
      <c r="Q49" s="21">
        <f t="shared" si="1"/>
        <v>0</v>
      </c>
    </row>
    <row r="50" spans="2:17" x14ac:dyDescent="0.2">
      <c r="B50" s="302"/>
      <c r="C50" s="87"/>
      <c r="D50" s="284"/>
      <c r="E50" s="88"/>
      <c r="F50" s="89"/>
      <c r="G50" s="90"/>
      <c r="H50" s="90"/>
      <c r="I50" s="90"/>
      <c r="J50" s="90"/>
      <c r="K50" s="90"/>
      <c r="L50" s="25">
        <f t="shared" si="2"/>
        <v>0</v>
      </c>
      <c r="M50" s="83">
        <v>1</v>
      </c>
      <c r="N50" s="101">
        <f t="shared" si="0"/>
        <v>0</v>
      </c>
      <c r="O50" s="90"/>
      <c r="P50" s="90"/>
      <c r="Q50" s="21">
        <f t="shared" si="1"/>
        <v>0</v>
      </c>
    </row>
    <row r="51" spans="2:17" x14ac:dyDescent="0.2">
      <c r="B51" s="302"/>
      <c r="C51" s="87"/>
      <c r="D51" s="284"/>
      <c r="E51" s="88"/>
      <c r="F51" s="89"/>
      <c r="G51" s="90"/>
      <c r="H51" s="90"/>
      <c r="I51" s="90"/>
      <c r="J51" s="90"/>
      <c r="K51" s="90"/>
      <c r="L51" s="25">
        <f t="shared" si="2"/>
        <v>0</v>
      </c>
      <c r="M51" s="83">
        <v>1</v>
      </c>
      <c r="N51" s="101">
        <f t="shared" si="0"/>
        <v>0</v>
      </c>
      <c r="O51" s="90"/>
      <c r="P51" s="90"/>
      <c r="Q51" s="21">
        <f t="shared" si="1"/>
        <v>0</v>
      </c>
    </row>
    <row r="52" spans="2:17" x14ac:dyDescent="0.2">
      <c r="B52" s="302"/>
      <c r="C52" s="87"/>
      <c r="D52" s="284"/>
      <c r="E52" s="88"/>
      <c r="F52" s="89"/>
      <c r="G52" s="90"/>
      <c r="H52" s="90"/>
      <c r="I52" s="90"/>
      <c r="J52" s="90"/>
      <c r="K52" s="90"/>
      <c r="L52" s="25">
        <f t="shared" si="2"/>
        <v>0</v>
      </c>
      <c r="M52" s="83">
        <v>1</v>
      </c>
      <c r="N52" s="101">
        <f t="shared" si="0"/>
        <v>0</v>
      </c>
      <c r="O52" s="90"/>
      <c r="P52" s="90"/>
      <c r="Q52" s="21">
        <f t="shared" si="1"/>
        <v>0</v>
      </c>
    </row>
    <row r="53" spans="2:17" x14ac:dyDescent="0.2">
      <c r="B53" s="302"/>
      <c r="C53" s="87"/>
      <c r="D53" s="284"/>
      <c r="E53" s="88"/>
      <c r="F53" s="89"/>
      <c r="G53" s="90"/>
      <c r="H53" s="90"/>
      <c r="I53" s="90"/>
      <c r="J53" s="90"/>
      <c r="K53" s="90"/>
      <c r="L53" s="25">
        <f t="shared" si="2"/>
        <v>0</v>
      </c>
      <c r="M53" s="83">
        <v>1</v>
      </c>
      <c r="N53" s="101">
        <f t="shared" si="0"/>
        <v>0</v>
      </c>
      <c r="O53" s="90"/>
      <c r="P53" s="90"/>
      <c r="Q53" s="21">
        <f t="shared" si="1"/>
        <v>0</v>
      </c>
    </row>
    <row r="54" spans="2:17" x14ac:dyDescent="0.2">
      <c r="B54" s="302"/>
      <c r="C54" s="87"/>
      <c r="D54" s="284"/>
      <c r="E54" s="88"/>
      <c r="F54" s="89"/>
      <c r="G54" s="90"/>
      <c r="H54" s="90"/>
      <c r="I54" s="90"/>
      <c r="J54" s="90"/>
      <c r="K54" s="90"/>
      <c r="L54" s="25">
        <f t="shared" si="2"/>
        <v>0</v>
      </c>
      <c r="M54" s="83">
        <v>1</v>
      </c>
      <c r="N54" s="101">
        <f t="shared" si="0"/>
        <v>0</v>
      </c>
      <c r="O54" s="90"/>
      <c r="P54" s="90"/>
      <c r="Q54" s="21">
        <f>SUM(N54:P54)</f>
        <v>0</v>
      </c>
    </row>
    <row r="55" spans="2:17" x14ac:dyDescent="0.2">
      <c r="B55" s="302"/>
      <c r="C55" s="87"/>
      <c r="D55" s="284"/>
      <c r="E55" s="88"/>
      <c r="F55" s="89"/>
      <c r="G55" s="90"/>
      <c r="H55" s="90"/>
      <c r="I55" s="90"/>
      <c r="J55" s="90"/>
      <c r="K55" s="90"/>
      <c r="L55" s="25">
        <f t="shared" si="2"/>
        <v>0</v>
      </c>
      <c r="M55" s="83">
        <v>1</v>
      </c>
      <c r="N55" s="101">
        <f t="shared" si="0"/>
        <v>0</v>
      </c>
      <c r="O55" s="90"/>
      <c r="P55" s="90"/>
      <c r="Q55" s="21">
        <f t="shared" si="1"/>
        <v>0</v>
      </c>
    </row>
    <row r="56" spans="2:17" x14ac:dyDescent="0.2">
      <c r="B56" s="302"/>
      <c r="C56" s="87"/>
      <c r="D56" s="284"/>
      <c r="E56" s="88"/>
      <c r="F56" s="89"/>
      <c r="G56" s="90"/>
      <c r="H56" s="90"/>
      <c r="I56" s="90"/>
      <c r="J56" s="90"/>
      <c r="K56" s="90"/>
      <c r="L56" s="25">
        <f t="shared" si="2"/>
        <v>0</v>
      </c>
      <c r="M56" s="83">
        <v>1</v>
      </c>
      <c r="N56" s="101">
        <f t="shared" si="0"/>
        <v>0</v>
      </c>
      <c r="O56" s="90"/>
      <c r="P56" s="90"/>
      <c r="Q56" s="21">
        <f t="shared" si="1"/>
        <v>0</v>
      </c>
    </row>
    <row r="57" spans="2:17" x14ac:dyDescent="0.2">
      <c r="B57" s="302"/>
      <c r="C57" s="87"/>
      <c r="D57" s="284"/>
      <c r="E57" s="88"/>
      <c r="F57" s="89"/>
      <c r="G57" s="90"/>
      <c r="H57" s="90"/>
      <c r="I57" s="90"/>
      <c r="J57" s="90"/>
      <c r="K57" s="90"/>
      <c r="L57" s="25">
        <f t="shared" si="2"/>
        <v>0</v>
      </c>
      <c r="M57" s="83">
        <v>1</v>
      </c>
      <c r="N57" s="101">
        <f t="shared" si="0"/>
        <v>0</v>
      </c>
      <c r="O57" s="90"/>
      <c r="P57" s="90"/>
      <c r="Q57" s="21">
        <f>SUM(N57:P57)</f>
        <v>0</v>
      </c>
    </row>
    <row r="58" spans="2:17" x14ac:dyDescent="0.2">
      <c r="B58" s="302"/>
      <c r="C58" s="87"/>
      <c r="D58" s="284"/>
      <c r="E58" s="88"/>
      <c r="F58" s="89"/>
      <c r="G58" s="90"/>
      <c r="H58" s="90"/>
      <c r="I58" s="90"/>
      <c r="J58" s="90"/>
      <c r="K58" s="90"/>
      <c r="L58" s="25">
        <f t="shared" si="2"/>
        <v>0</v>
      </c>
      <c r="M58" s="83">
        <v>1</v>
      </c>
      <c r="N58" s="101">
        <f t="shared" si="0"/>
        <v>0</v>
      </c>
      <c r="O58" s="90"/>
      <c r="P58" s="90"/>
      <c r="Q58" s="21">
        <f t="shared" si="1"/>
        <v>0</v>
      </c>
    </row>
    <row r="59" spans="2:17" x14ac:dyDescent="0.2">
      <c r="B59" s="303"/>
      <c r="C59" s="26" t="s">
        <v>56</v>
      </c>
      <c r="D59" s="26"/>
      <c r="E59" s="27"/>
      <c r="F59" s="28"/>
      <c r="G59" s="22">
        <f t="shared" ref="G59:L59" si="3">SUM(G15:G58)</f>
        <v>0</v>
      </c>
      <c r="H59" s="22">
        <f t="shared" si="3"/>
        <v>3763872522.9299974</v>
      </c>
      <c r="I59" s="22">
        <f t="shared" si="3"/>
        <v>81926899.15000008</v>
      </c>
      <c r="J59" s="22">
        <f t="shared" si="3"/>
        <v>2635301.83</v>
      </c>
      <c r="K59" s="22">
        <f t="shared" si="3"/>
        <v>-321280.36</v>
      </c>
      <c r="L59" s="22">
        <f t="shared" si="3"/>
        <v>3848113443.5499973</v>
      </c>
      <c r="M59" s="151"/>
      <c r="N59" s="151">
        <f>SUM(N15:N58)</f>
        <v>3848113443.5499973</v>
      </c>
      <c r="O59" s="22">
        <f>SUM(O15:O58)</f>
        <v>-1131178617.349998</v>
      </c>
      <c r="P59" s="22">
        <f>SUM(P15:P58)</f>
        <v>-117226081.74459918</v>
      </c>
      <c r="Q59" s="22">
        <f>SUM(Q15:Q58)</f>
        <v>2599708744.4554</v>
      </c>
    </row>
    <row r="60" spans="2:17" x14ac:dyDescent="0.2">
      <c r="Q60" s="315"/>
    </row>
    <row r="61" spans="2:17" x14ac:dyDescent="0.2">
      <c r="Q61" s="320"/>
    </row>
    <row r="62" spans="2:17" ht="15.75" x14ac:dyDescent="0.25">
      <c r="B62" s="206" t="s">
        <v>646</v>
      </c>
    </row>
    <row r="64" spans="2:17" ht="46.5" customHeight="1" x14ac:dyDescent="0.2">
      <c r="B64" s="61" t="s">
        <v>515</v>
      </c>
      <c r="C64" s="62" t="s">
        <v>13</v>
      </c>
      <c r="D64" s="62" t="s">
        <v>0</v>
      </c>
      <c r="E64" s="62" t="s">
        <v>49</v>
      </c>
      <c r="F64" s="62" t="s">
        <v>50</v>
      </c>
      <c r="G64" s="63" t="s">
        <v>585</v>
      </c>
      <c r="H64" s="63" t="s">
        <v>586</v>
      </c>
      <c r="I64" s="63" t="s">
        <v>658</v>
      </c>
      <c r="J64" s="63" t="s">
        <v>587</v>
      </c>
      <c r="K64" s="63" t="s">
        <v>53</v>
      </c>
      <c r="L64" s="62" t="s">
        <v>399</v>
      </c>
      <c r="M64" s="62" t="s">
        <v>400</v>
      </c>
      <c r="N64" s="63" t="s">
        <v>155</v>
      </c>
      <c r="O64" s="63" t="s">
        <v>246</v>
      </c>
      <c r="P64" s="41" t="s">
        <v>54</v>
      </c>
    </row>
    <row r="65" spans="2:17" x14ac:dyDescent="0.2">
      <c r="B65" s="72"/>
      <c r="C65" s="64"/>
      <c r="D65" s="64"/>
      <c r="E65" s="64"/>
      <c r="F65" s="64" t="s">
        <v>55</v>
      </c>
      <c r="G65" s="64" t="s">
        <v>111</v>
      </c>
      <c r="H65" s="64" t="s">
        <v>111</v>
      </c>
      <c r="I65" s="64" t="s">
        <v>111</v>
      </c>
      <c r="J65" s="64" t="s">
        <v>111</v>
      </c>
      <c r="K65" s="64" t="s">
        <v>111</v>
      </c>
      <c r="L65" s="64"/>
      <c r="M65" s="64" t="s">
        <v>111</v>
      </c>
      <c r="N65" s="64" t="s">
        <v>111</v>
      </c>
      <c r="O65" s="64" t="s">
        <v>111</v>
      </c>
      <c r="P65" s="64" t="s">
        <v>111</v>
      </c>
    </row>
    <row r="66" spans="2:17" x14ac:dyDescent="0.2">
      <c r="B66" s="341" t="s">
        <v>756</v>
      </c>
      <c r="C66" s="87" t="s">
        <v>715</v>
      </c>
      <c r="D66" s="87" t="s">
        <v>224</v>
      </c>
      <c r="E66" s="318" t="s">
        <v>792</v>
      </c>
      <c r="F66" s="89">
        <v>3.4323791017076388</v>
      </c>
      <c r="G66" s="90">
        <v>123837515.15801202</v>
      </c>
      <c r="H66" s="90">
        <v>24996301.684496883</v>
      </c>
      <c r="I66" s="90"/>
      <c r="J66" s="90">
        <v>-274624.65962285374</v>
      </c>
      <c r="K66" s="25">
        <f>SUM(G66:J66)</f>
        <v>148559192.18288606</v>
      </c>
      <c r="L66" s="83">
        <v>1</v>
      </c>
      <c r="M66" s="101">
        <f>K66*L66</f>
        <v>148559192.18288606</v>
      </c>
      <c r="N66" s="90">
        <v>-90757834.761864245</v>
      </c>
      <c r="O66" s="90">
        <v>-14264305.42383527</v>
      </c>
      <c r="P66" s="21">
        <f>SUM(M66:O66)</f>
        <v>43537051.997186549</v>
      </c>
    </row>
    <row r="67" spans="2:17" x14ac:dyDescent="0.2">
      <c r="B67" s="341" t="s">
        <v>756</v>
      </c>
      <c r="C67" s="87" t="s">
        <v>199</v>
      </c>
      <c r="D67" s="87" t="s">
        <v>199</v>
      </c>
      <c r="E67" s="318" t="s">
        <v>797</v>
      </c>
      <c r="F67" s="89" t="s">
        <v>716</v>
      </c>
      <c r="G67" s="90">
        <v>20760993.494640227</v>
      </c>
      <c r="H67" s="90">
        <v>3355256.7295331676</v>
      </c>
      <c r="I67" s="90">
        <v>0</v>
      </c>
      <c r="J67" s="90">
        <v>-75811.324274266197</v>
      </c>
      <c r="K67" s="25">
        <f t="shared" ref="K67:K83" si="4">SUM(G67:J67)</f>
        <v>24040438.899899129</v>
      </c>
      <c r="L67" s="83">
        <v>1</v>
      </c>
      <c r="M67" s="101">
        <f t="shared" ref="M67:M83" si="5">K67*L67</f>
        <v>24040438.899899129</v>
      </c>
      <c r="N67" s="90">
        <v>-10364575.041939592</v>
      </c>
      <c r="O67" s="90">
        <v>-3199699.4125064006</v>
      </c>
      <c r="P67" s="21">
        <f t="shared" ref="P67:P82" si="6">SUM(M67:O67)</f>
        <v>10476164.445453137</v>
      </c>
    </row>
    <row r="68" spans="2:17" x14ac:dyDescent="0.2">
      <c r="B68" s="170"/>
      <c r="C68" s="87"/>
      <c r="D68" s="87"/>
      <c r="E68" s="88"/>
      <c r="F68" s="89"/>
      <c r="G68" s="90"/>
      <c r="H68" s="90"/>
      <c r="I68" s="90"/>
      <c r="J68" s="90"/>
      <c r="K68" s="25">
        <f t="shared" si="4"/>
        <v>0</v>
      </c>
      <c r="L68" s="83">
        <v>1</v>
      </c>
      <c r="M68" s="101">
        <f t="shared" si="5"/>
        <v>0</v>
      </c>
      <c r="N68" s="90"/>
      <c r="O68" s="90"/>
      <c r="P68" s="21">
        <f t="shared" si="6"/>
        <v>0</v>
      </c>
      <c r="Q68" s="320"/>
    </row>
    <row r="69" spans="2:17" x14ac:dyDescent="0.2">
      <c r="B69" s="170"/>
      <c r="C69" s="87"/>
      <c r="D69" s="87"/>
      <c r="E69" s="88"/>
      <c r="F69" s="89"/>
      <c r="G69" s="90"/>
      <c r="H69" s="90"/>
      <c r="I69" s="90"/>
      <c r="J69" s="90"/>
      <c r="K69" s="25">
        <f t="shared" si="4"/>
        <v>0</v>
      </c>
      <c r="L69" s="83">
        <v>1</v>
      </c>
      <c r="M69" s="101">
        <f t="shared" si="5"/>
        <v>0</v>
      </c>
      <c r="N69" s="90"/>
      <c r="O69" s="90"/>
      <c r="P69" s="21">
        <f t="shared" si="6"/>
        <v>0</v>
      </c>
    </row>
    <row r="70" spans="2:17" x14ac:dyDescent="0.2">
      <c r="B70" s="170"/>
      <c r="C70" s="87"/>
      <c r="D70" s="87"/>
      <c r="E70" s="88"/>
      <c r="F70" s="89"/>
      <c r="G70" s="90"/>
      <c r="H70" s="90"/>
      <c r="I70" s="90"/>
      <c r="J70" s="90"/>
      <c r="K70" s="25">
        <f t="shared" si="4"/>
        <v>0</v>
      </c>
      <c r="L70" s="83">
        <v>1</v>
      </c>
      <c r="M70" s="101">
        <f t="shared" si="5"/>
        <v>0</v>
      </c>
      <c r="N70" s="90"/>
      <c r="O70" s="90"/>
      <c r="P70" s="21">
        <f t="shared" si="6"/>
        <v>0</v>
      </c>
    </row>
    <row r="71" spans="2:17" x14ac:dyDescent="0.2">
      <c r="B71" s="170"/>
      <c r="C71" s="87"/>
      <c r="D71" s="87"/>
      <c r="E71" s="88"/>
      <c r="F71" s="89"/>
      <c r="G71" s="90"/>
      <c r="H71" s="90"/>
      <c r="I71" s="90"/>
      <c r="J71" s="90"/>
      <c r="K71" s="25">
        <f t="shared" si="4"/>
        <v>0</v>
      </c>
      <c r="L71" s="83">
        <v>1</v>
      </c>
      <c r="M71" s="101">
        <f t="shared" si="5"/>
        <v>0</v>
      </c>
      <c r="N71" s="90"/>
      <c r="O71" s="90"/>
      <c r="P71" s="21">
        <f t="shared" si="6"/>
        <v>0</v>
      </c>
    </row>
    <row r="72" spans="2:17" x14ac:dyDescent="0.2">
      <c r="B72" s="170"/>
      <c r="C72" s="87"/>
      <c r="D72" s="87"/>
      <c r="E72" s="88"/>
      <c r="F72" s="89"/>
      <c r="G72" s="90"/>
      <c r="H72" s="90"/>
      <c r="I72" s="90"/>
      <c r="J72" s="90"/>
      <c r="K72" s="25">
        <f t="shared" si="4"/>
        <v>0</v>
      </c>
      <c r="L72" s="83">
        <v>1</v>
      </c>
      <c r="M72" s="101">
        <f t="shared" si="5"/>
        <v>0</v>
      </c>
      <c r="N72" s="90"/>
      <c r="O72" s="90"/>
      <c r="P72" s="21">
        <f t="shared" si="6"/>
        <v>0</v>
      </c>
    </row>
    <row r="73" spans="2:17" x14ac:dyDescent="0.2">
      <c r="B73" s="170"/>
      <c r="C73" s="87"/>
      <c r="D73" s="87"/>
      <c r="E73" s="88"/>
      <c r="F73" s="89"/>
      <c r="G73" s="90"/>
      <c r="H73" s="90"/>
      <c r="I73" s="90"/>
      <c r="J73" s="90"/>
      <c r="K73" s="25">
        <f t="shared" si="4"/>
        <v>0</v>
      </c>
      <c r="L73" s="83">
        <v>1</v>
      </c>
      <c r="M73" s="101">
        <f t="shared" si="5"/>
        <v>0</v>
      </c>
      <c r="N73" s="90"/>
      <c r="O73" s="90"/>
      <c r="P73" s="21">
        <f t="shared" si="6"/>
        <v>0</v>
      </c>
    </row>
    <row r="74" spans="2:17" x14ac:dyDescent="0.2">
      <c r="B74" s="170"/>
      <c r="C74" s="87"/>
      <c r="D74" s="87"/>
      <c r="E74" s="88"/>
      <c r="F74" s="89"/>
      <c r="G74" s="90"/>
      <c r="H74" s="90"/>
      <c r="I74" s="90"/>
      <c r="J74" s="90"/>
      <c r="K74" s="25">
        <f t="shared" si="4"/>
        <v>0</v>
      </c>
      <c r="L74" s="83">
        <v>1</v>
      </c>
      <c r="M74" s="101">
        <f t="shared" si="5"/>
        <v>0</v>
      </c>
      <c r="N74" s="90"/>
      <c r="O74" s="90"/>
      <c r="P74" s="21">
        <f t="shared" si="6"/>
        <v>0</v>
      </c>
    </row>
    <row r="75" spans="2:17" x14ac:dyDescent="0.2">
      <c r="B75" s="170"/>
      <c r="C75" s="87"/>
      <c r="D75" s="87"/>
      <c r="E75" s="88"/>
      <c r="F75" s="89"/>
      <c r="G75" s="90"/>
      <c r="H75" s="90"/>
      <c r="I75" s="90"/>
      <c r="J75" s="90"/>
      <c r="K75" s="25">
        <f t="shared" si="4"/>
        <v>0</v>
      </c>
      <c r="L75" s="83">
        <v>1</v>
      </c>
      <c r="M75" s="101">
        <f t="shared" si="5"/>
        <v>0</v>
      </c>
      <c r="N75" s="90"/>
      <c r="O75" s="90"/>
      <c r="P75" s="21">
        <f t="shared" si="6"/>
        <v>0</v>
      </c>
    </row>
    <row r="76" spans="2:17" x14ac:dyDescent="0.2">
      <c r="B76" s="170"/>
      <c r="C76" s="87"/>
      <c r="D76" s="87"/>
      <c r="E76" s="88"/>
      <c r="F76" s="89"/>
      <c r="G76" s="90"/>
      <c r="H76" s="90"/>
      <c r="I76" s="90"/>
      <c r="J76" s="90"/>
      <c r="K76" s="25">
        <f t="shared" si="4"/>
        <v>0</v>
      </c>
      <c r="L76" s="83">
        <v>1</v>
      </c>
      <c r="M76" s="101">
        <f t="shared" si="5"/>
        <v>0</v>
      </c>
      <c r="N76" s="90"/>
      <c r="O76" s="90"/>
      <c r="P76" s="21">
        <f t="shared" si="6"/>
        <v>0</v>
      </c>
    </row>
    <row r="77" spans="2:17" x14ac:dyDescent="0.2">
      <c r="B77" s="170"/>
      <c r="C77" s="87"/>
      <c r="D77" s="87"/>
      <c r="E77" s="88"/>
      <c r="F77" s="89"/>
      <c r="G77" s="90"/>
      <c r="H77" s="90"/>
      <c r="I77" s="90"/>
      <c r="J77" s="90"/>
      <c r="K77" s="25">
        <f t="shared" si="4"/>
        <v>0</v>
      </c>
      <c r="L77" s="83">
        <v>1</v>
      </c>
      <c r="M77" s="101">
        <f t="shared" si="5"/>
        <v>0</v>
      </c>
      <c r="N77" s="90"/>
      <c r="O77" s="90"/>
      <c r="P77" s="21">
        <f t="shared" si="6"/>
        <v>0</v>
      </c>
    </row>
    <row r="78" spans="2:17" x14ac:dyDescent="0.2">
      <c r="B78" s="170"/>
      <c r="C78" s="87"/>
      <c r="D78" s="87"/>
      <c r="E78" s="88"/>
      <c r="F78" s="89"/>
      <c r="G78" s="90"/>
      <c r="H78" s="90"/>
      <c r="I78" s="90"/>
      <c r="J78" s="90"/>
      <c r="K78" s="25">
        <f t="shared" si="4"/>
        <v>0</v>
      </c>
      <c r="L78" s="83">
        <v>1</v>
      </c>
      <c r="M78" s="101">
        <f t="shared" si="5"/>
        <v>0</v>
      </c>
      <c r="N78" s="90"/>
      <c r="O78" s="90"/>
      <c r="P78" s="21">
        <f t="shared" si="6"/>
        <v>0</v>
      </c>
    </row>
    <row r="79" spans="2:17" x14ac:dyDescent="0.2">
      <c r="B79" s="170"/>
      <c r="C79" s="87"/>
      <c r="D79" s="87"/>
      <c r="E79" s="88"/>
      <c r="F79" s="89"/>
      <c r="G79" s="90"/>
      <c r="H79" s="90"/>
      <c r="I79" s="90"/>
      <c r="J79" s="90"/>
      <c r="K79" s="25">
        <f t="shared" si="4"/>
        <v>0</v>
      </c>
      <c r="L79" s="83">
        <v>1</v>
      </c>
      <c r="M79" s="101">
        <f t="shared" si="5"/>
        <v>0</v>
      </c>
      <c r="N79" s="90"/>
      <c r="O79" s="90"/>
      <c r="P79" s="21">
        <f t="shared" si="6"/>
        <v>0</v>
      </c>
    </row>
    <row r="80" spans="2:17" x14ac:dyDescent="0.2">
      <c r="B80" s="170"/>
      <c r="C80" s="87"/>
      <c r="D80" s="87"/>
      <c r="E80" s="88"/>
      <c r="F80" s="89"/>
      <c r="G80" s="90"/>
      <c r="H80" s="90"/>
      <c r="I80" s="90"/>
      <c r="J80" s="90"/>
      <c r="K80" s="25">
        <f t="shared" si="4"/>
        <v>0</v>
      </c>
      <c r="L80" s="83">
        <v>1</v>
      </c>
      <c r="M80" s="101">
        <f t="shared" si="5"/>
        <v>0</v>
      </c>
      <c r="N80" s="90"/>
      <c r="O80" s="90"/>
      <c r="P80" s="21">
        <f t="shared" si="6"/>
        <v>0</v>
      </c>
    </row>
    <row r="81" spans="2:16" x14ac:dyDescent="0.2">
      <c r="B81" s="170"/>
      <c r="C81" s="87"/>
      <c r="D81" s="87"/>
      <c r="E81" s="88"/>
      <c r="F81" s="89"/>
      <c r="G81" s="90"/>
      <c r="H81" s="90"/>
      <c r="I81" s="90"/>
      <c r="J81" s="90"/>
      <c r="K81" s="25">
        <f t="shared" si="4"/>
        <v>0</v>
      </c>
      <c r="L81" s="83">
        <v>1</v>
      </c>
      <c r="M81" s="101">
        <f t="shared" si="5"/>
        <v>0</v>
      </c>
      <c r="N81" s="90"/>
      <c r="O81" s="90"/>
      <c r="P81" s="21">
        <f t="shared" si="6"/>
        <v>0</v>
      </c>
    </row>
    <row r="82" spans="2:16" x14ac:dyDescent="0.2">
      <c r="B82" s="170"/>
      <c r="C82" s="87"/>
      <c r="D82" s="87"/>
      <c r="E82" s="88"/>
      <c r="F82" s="89"/>
      <c r="G82" s="90"/>
      <c r="H82" s="90"/>
      <c r="I82" s="90"/>
      <c r="J82" s="90"/>
      <c r="K82" s="25">
        <f t="shared" si="4"/>
        <v>0</v>
      </c>
      <c r="L82" s="83">
        <v>1</v>
      </c>
      <c r="M82" s="101">
        <f t="shared" si="5"/>
        <v>0</v>
      </c>
      <c r="N82" s="90"/>
      <c r="O82" s="90"/>
      <c r="P82" s="21">
        <f t="shared" si="6"/>
        <v>0</v>
      </c>
    </row>
    <row r="83" spans="2:16" x14ac:dyDescent="0.2">
      <c r="B83" s="170"/>
      <c r="C83" s="87"/>
      <c r="D83" s="87"/>
      <c r="E83" s="88"/>
      <c r="F83" s="89"/>
      <c r="G83" s="90"/>
      <c r="H83" s="90"/>
      <c r="I83" s="90"/>
      <c r="J83" s="90"/>
      <c r="K83" s="25">
        <f t="shared" si="4"/>
        <v>0</v>
      </c>
      <c r="L83" s="83">
        <v>1</v>
      </c>
      <c r="M83" s="101">
        <f t="shared" si="5"/>
        <v>0</v>
      </c>
      <c r="N83" s="90"/>
      <c r="O83" s="90"/>
      <c r="P83" s="21">
        <f>SUM(M83:O83)</f>
        <v>0</v>
      </c>
    </row>
    <row r="84" spans="2:16" x14ac:dyDescent="0.2">
      <c r="B84" s="283"/>
      <c r="C84" s="26" t="s">
        <v>19</v>
      </c>
      <c r="D84" s="26"/>
      <c r="E84" s="29"/>
      <c r="F84" s="29"/>
      <c r="G84" s="22">
        <f>SUM(G66:G83)</f>
        <v>144598508.65265223</v>
      </c>
      <c r="H84" s="22">
        <f>SUM(H66:H83)</f>
        <v>28351558.414030053</v>
      </c>
      <c r="I84" s="22">
        <f>SUM(I66:I83)</f>
        <v>0</v>
      </c>
      <c r="J84" s="22">
        <f>SUM(J66:J83)</f>
        <v>-350435.98389711994</v>
      </c>
      <c r="K84" s="22">
        <f>SUM(K66:K83)</f>
        <v>172599631.08278519</v>
      </c>
      <c r="L84" s="151"/>
      <c r="M84" s="151">
        <f>SUM(M66:M83)</f>
        <v>172599631.08278519</v>
      </c>
      <c r="N84" s="22">
        <f>SUM(N66:N83)</f>
        <v>-101122409.80380383</v>
      </c>
      <c r="O84" s="22">
        <f>SUM(O66:O83)</f>
        <v>-17464004.836341672</v>
      </c>
      <c r="P84" s="22">
        <f>SUM(P66:P83)</f>
        <v>54013216.442639686</v>
      </c>
    </row>
  </sheetData>
  <sheetProtection sheet="1" insertRows="0" deleteRows="0"/>
  <mergeCells count="1">
    <mergeCell ref="B6:E8"/>
  </mergeCells>
  <phoneticPr fontId="31" type="noConversion"/>
  <dataValidations count="2">
    <dataValidation type="list" allowBlank="1" showInputMessage="1" showErrorMessage="1" sqref="G8:G9 D15:D58" xr:uid="{528214C3-73D8-4698-9852-615CD02D284D}">
      <formula1>rPipelineAssets</formula1>
    </dataValidation>
    <dataValidation type="list" allowBlank="1" showInputMessage="1" showErrorMessage="1" sqref="D66:D83" xr:uid="{17706200-4082-43D9-A2DB-BC753D100D74}">
      <formula1>rSharedAssets</formula1>
    </dataValidation>
  </dataValidations>
  <pageMargins left="0.75" right="0.75" top="1" bottom="1" header="0.5" footer="0.5"/>
  <pageSetup paperSize="9" scale="27" orientation="landscape" r:id="rId1"/>
  <headerFooter alignWithMargins="0">
    <oddFooter>&amp;C_x000D_&amp;1#&amp;"Aptos"&amp;10&amp;K008000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55232-9EFD-4B5C-BC1B-AB985FB2D764}">
  <sheetPr codeName="Sheet15">
    <tabColor rgb="FF17415D"/>
  </sheetPr>
  <dimension ref="B1:I47"/>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x14ac:dyDescent="0.2"/>
  <cols>
    <col min="1" max="1" width="12.28515625" style="214" customWidth="1"/>
    <col min="2" max="2" width="22.42578125" style="214" customWidth="1"/>
    <col min="3" max="3" width="42.28515625" style="214" customWidth="1"/>
    <col min="4" max="4" width="28.7109375" style="214" customWidth="1"/>
    <col min="5" max="5" width="22.5703125" style="214" customWidth="1"/>
    <col min="6" max="6" width="20.5703125" style="214" customWidth="1"/>
    <col min="7" max="7" width="22.5703125" style="214" customWidth="1"/>
    <col min="8" max="8" width="37.42578125" style="214" customWidth="1"/>
    <col min="9" max="9" width="25.28515625" style="214" customWidth="1"/>
    <col min="10" max="16384" width="9.28515625" style="214"/>
  </cols>
  <sheetData>
    <row r="1" spans="2:9" ht="20.25" customHeight="1" x14ac:dyDescent="0.3">
      <c r="B1" s="145" t="s">
        <v>510</v>
      </c>
      <c r="C1" s="145"/>
      <c r="D1" s="213"/>
      <c r="E1" s="213"/>
      <c r="F1" s="213"/>
      <c r="G1" s="213"/>
    </row>
    <row r="2" spans="2:9" ht="20.25" customHeight="1" x14ac:dyDescent="0.3">
      <c r="B2" s="145" t="str">
        <f>IF(Tradingname=0," ",Tradingname)</f>
        <v>EAST AUSTRALIAN PIPELINE PTY LIMITED</v>
      </c>
      <c r="C2" s="145"/>
      <c r="D2" s="215"/>
    </row>
    <row r="3" spans="2:9" ht="20.25" customHeight="1" x14ac:dyDescent="0.3">
      <c r="B3" s="145" t="s">
        <v>110</v>
      </c>
      <c r="C3" s="110">
        <f>IF(Yearending=0, "01/01/2000", Yearending)</f>
        <v>45838</v>
      </c>
    </row>
    <row r="4" spans="2:9" ht="20.25" x14ac:dyDescent="0.2">
      <c r="B4" s="102" t="s">
        <v>69</v>
      </c>
      <c r="C4" s="102"/>
    </row>
    <row r="6" spans="2:9" x14ac:dyDescent="0.2">
      <c r="B6" s="417" t="s">
        <v>657</v>
      </c>
      <c r="C6" s="417"/>
      <c r="D6" s="417"/>
    </row>
    <row r="7" spans="2:9" ht="15.75" customHeight="1" x14ac:dyDescent="0.2">
      <c r="B7" s="417"/>
      <c r="C7" s="417"/>
      <c r="D7" s="417"/>
    </row>
    <row r="8" spans="2:9" ht="15.75" customHeight="1" x14ac:dyDescent="0.2">
      <c r="B8" s="417"/>
      <c r="C8" s="417"/>
      <c r="D8" s="417"/>
    </row>
    <row r="11" spans="2:9" ht="15.75" x14ac:dyDescent="0.25">
      <c r="B11" s="216" t="s">
        <v>645</v>
      </c>
      <c r="C11" s="217"/>
      <c r="D11" s="217"/>
      <c r="E11" s="217"/>
      <c r="F11" s="220"/>
      <c r="G11" s="217"/>
    </row>
    <row r="12" spans="2:9" ht="15.75" x14ac:dyDescent="0.25">
      <c r="B12" s="216"/>
      <c r="C12" s="217"/>
      <c r="D12" s="217"/>
      <c r="E12" s="217"/>
      <c r="F12" s="220"/>
      <c r="G12" s="217"/>
    </row>
    <row r="13" spans="2:9" ht="25.5" x14ac:dyDescent="0.2">
      <c r="B13" s="48" t="s">
        <v>515</v>
      </c>
      <c r="C13" s="48" t="s">
        <v>105</v>
      </c>
      <c r="D13" s="48" t="s">
        <v>106</v>
      </c>
      <c r="E13" s="60" t="s">
        <v>107</v>
      </c>
      <c r="F13" s="60" t="s">
        <v>47</v>
      </c>
      <c r="G13" s="60" t="s">
        <v>84</v>
      </c>
    </row>
    <row r="14" spans="2:9" x14ac:dyDescent="0.2">
      <c r="B14" s="50"/>
      <c r="C14" s="50"/>
      <c r="D14" s="53"/>
      <c r="E14" s="64" t="s">
        <v>111</v>
      </c>
      <c r="F14" s="64"/>
      <c r="G14" s="64" t="s">
        <v>111</v>
      </c>
    </row>
    <row r="15" spans="2:9" x14ac:dyDescent="0.2">
      <c r="B15" s="331" t="s">
        <v>747</v>
      </c>
      <c r="C15" s="81" t="s">
        <v>715</v>
      </c>
      <c r="D15" s="81" t="s">
        <v>224</v>
      </c>
      <c r="E15" s="82">
        <v>501746970.59000003</v>
      </c>
      <c r="F15" s="83">
        <v>0.29608388468832519</v>
      </c>
      <c r="G15" s="21">
        <f>E15*F15</f>
        <v>148559192.18288606</v>
      </c>
      <c r="H15" s="282"/>
    </row>
    <row r="16" spans="2:9" x14ac:dyDescent="0.2">
      <c r="B16" s="331" t="s">
        <v>747</v>
      </c>
      <c r="C16" s="81" t="s">
        <v>199</v>
      </c>
      <c r="D16" s="81" t="s">
        <v>199</v>
      </c>
      <c r="E16" s="82">
        <v>86146034.725643426</v>
      </c>
      <c r="F16" s="83">
        <v>0.27906611112702689</v>
      </c>
      <c r="G16" s="21">
        <f t="shared" ref="G16:G45" si="0">E16*F16</f>
        <v>24040438.899899125</v>
      </c>
      <c r="H16" s="285"/>
      <c r="I16" s="285"/>
    </row>
    <row r="17" spans="2:9" x14ac:dyDescent="0.2">
      <c r="B17" s="297"/>
      <c r="C17" s="81"/>
      <c r="D17" s="81"/>
      <c r="E17" s="82"/>
      <c r="F17" s="83"/>
      <c r="G17" s="21">
        <f t="shared" si="0"/>
        <v>0</v>
      </c>
      <c r="H17" s="286"/>
      <c r="I17" s="286"/>
    </row>
    <row r="18" spans="2:9" x14ac:dyDescent="0.2">
      <c r="B18" s="297"/>
      <c r="C18" s="81"/>
      <c r="D18" s="81"/>
      <c r="E18" s="82"/>
      <c r="F18" s="83"/>
      <c r="G18" s="21">
        <f t="shared" si="0"/>
        <v>0</v>
      </c>
      <c r="H18" s="286"/>
      <c r="I18" s="286"/>
    </row>
    <row r="19" spans="2:9" x14ac:dyDescent="0.2">
      <c r="B19" s="297"/>
      <c r="C19" s="81"/>
      <c r="D19" s="81"/>
      <c r="E19" s="82"/>
      <c r="F19" s="83"/>
      <c r="G19" s="21">
        <f t="shared" si="0"/>
        <v>0</v>
      </c>
      <c r="H19" s="285"/>
      <c r="I19" s="285"/>
    </row>
    <row r="20" spans="2:9" x14ac:dyDescent="0.2">
      <c r="B20" s="297"/>
      <c r="C20" s="81"/>
      <c r="D20" s="81"/>
      <c r="E20" s="82"/>
      <c r="F20" s="83"/>
      <c r="G20" s="21">
        <f t="shared" si="0"/>
        <v>0</v>
      </c>
      <c r="H20" s="286"/>
      <c r="I20" s="286"/>
    </row>
    <row r="21" spans="2:9" x14ac:dyDescent="0.2">
      <c r="B21" s="297"/>
      <c r="C21" s="81"/>
      <c r="D21" s="81"/>
      <c r="E21" s="82"/>
      <c r="F21" s="83"/>
      <c r="G21" s="21">
        <f t="shared" si="0"/>
        <v>0</v>
      </c>
    </row>
    <row r="22" spans="2:9" x14ac:dyDescent="0.2">
      <c r="B22" s="297"/>
      <c r="C22" s="81"/>
      <c r="D22" s="81"/>
      <c r="E22" s="82"/>
      <c r="F22" s="83"/>
      <c r="G22" s="21">
        <f t="shared" si="0"/>
        <v>0</v>
      </c>
    </row>
    <row r="23" spans="2:9" x14ac:dyDescent="0.2">
      <c r="B23" s="297"/>
      <c r="C23" s="81"/>
      <c r="D23" s="81"/>
      <c r="E23" s="82"/>
      <c r="F23" s="83"/>
      <c r="G23" s="21">
        <f t="shared" si="0"/>
        <v>0</v>
      </c>
    </row>
    <row r="24" spans="2:9" x14ac:dyDescent="0.2">
      <c r="B24" s="297"/>
      <c r="C24" s="81"/>
      <c r="D24" s="81"/>
      <c r="E24" s="82"/>
      <c r="F24" s="83"/>
      <c r="G24" s="21">
        <f t="shared" si="0"/>
        <v>0</v>
      </c>
    </row>
    <row r="25" spans="2:9" x14ac:dyDescent="0.2">
      <c r="B25" s="297"/>
      <c r="C25" s="81"/>
      <c r="D25" s="81"/>
      <c r="E25" s="82"/>
      <c r="F25" s="83"/>
      <c r="G25" s="21">
        <f t="shared" si="0"/>
        <v>0</v>
      </c>
    </row>
    <row r="26" spans="2:9" x14ac:dyDescent="0.2">
      <c r="B26" s="297"/>
      <c r="C26" s="81"/>
      <c r="D26" s="81"/>
      <c r="E26" s="82"/>
      <c r="F26" s="83"/>
      <c r="G26" s="21">
        <f t="shared" si="0"/>
        <v>0</v>
      </c>
    </row>
    <row r="27" spans="2:9" x14ac:dyDescent="0.2">
      <c r="B27" s="297"/>
      <c r="C27" s="81"/>
      <c r="D27" s="81"/>
      <c r="E27" s="82"/>
      <c r="F27" s="83"/>
      <c r="G27" s="21">
        <f t="shared" si="0"/>
        <v>0</v>
      </c>
    </row>
    <row r="28" spans="2:9" x14ac:dyDescent="0.2">
      <c r="B28" s="297"/>
      <c r="C28" s="81"/>
      <c r="D28" s="81"/>
      <c r="E28" s="82"/>
      <c r="F28" s="83"/>
      <c r="G28" s="21">
        <f t="shared" si="0"/>
        <v>0</v>
      </c>
    </row>
    <row r="29" spans="2:9" x14ac:dyDescent="0.2">
      <c r="B29" s="297"/>
      <c r="C29" s="81"/>
      <c r="D29" s="81"/>
      <c r="E29" s="82"/>
      <c r="F29" s="83"/>
      <c r="G29" s="21">
        <f t="shared" si="0"/>
        <v>0</v>
      </c>
    </row>
    <row r="30" spans="2:9" x14ac:dyDescent="0.2">
      <c r="B30" s="297"/>
      <c r="C30" s="81"/>
      <c r="D30" s="81"/>
      <c r="E30" s="82"/>
      <c r="F30" s="83"/>
      <c r="G30" s="21">
        <f t="shared" si="0"/>
        <v>0</v>
      </c>
    </row>
    <row r="31" spans="2:9" x14ac:dyDescent="0.2">
      <c r="B31" s="297"/>
      <c r="C31" s="81"/>
      <c r="D31" s="81"/>
      <c r="E31" s="82"/>
      <c r="F31" s="83"/>
      <c r="G31" s="21">
        <f t="shared" si="0"/>
        <v>0</v>
      </c>
    </row>
    <row r="32" spans="2:9" x14ac:dyDescent="0.2">
      <c r="B32" s="297"/>
      <c r="C32" s="81"/>
      <c r="D32" s="81"/>
      <c r="E32" s="82"/>
      <c r="F32" s="83"/>
      <c r="G32" s="21">
        <f t="shared" si="0"/>
        <v>0</v>
      </c>
    </row>
    <row r="33" spans="2:9" x14ac:dyDescent="0.2">
      <c r="B33" s="297"/>
      <c r="C33" s="81"/>
      <c r="D33" s="81"/>
      <c r="E33" s="82"/>
      <c r="F33" s="83"/>
      <c r="G33" s="21">
        <f t="shared" si="0"/>
        <v>0</v>
      </c>
    </row>
    <row r="34" spans="2:9" x14ac:dyDescent="0.2">
      <c r="B34" s="297"/>
      <c r="C34" s="81"/>
      <c r="D34" s="81"/>
      <c r="E34" s="82"/>
      <c r="F34" s="83"/>
      <c r="G34" s="21">
        <f t="shared" si="0"/>
        <v>0</v>
      </c>
    </row>
    <row r="35" spans="2:9" x14ac:dyDescent="0.2">
      <c r="B35" s="297"/>
      <c r="C35" s="81"/>
      <c r="D35" s="81"/>
      <c r="E35" s="82"/>
      <c r="F35" s="83"/>
      <c r="G35" s="21">
        <f t="shared" si="0"/>
        <v>0</v>
      </c>
      <c r="I35" s="287"/>
    </row>
    <row r="36" spans="2:9" x14ac:dyDescent="0.2">
      <c r="B36" s="297"/>
      <c r="C36" s="81"/>
      <c r="D36" s="81"/>
      <c r="E36" s="82"/>
      <c r="F36" s="83"/>
      <c r="G36" s="21">
        <f t="shared" si="0"/>
        <v>0</v>
      </c>
      <c r="I36" s="287"/>
    </row>
    <row r="37" spans="2:9" x14ac:dyDescent="0.2">
      <c r="B37" s="297"/>
      <c r="C37" s="81"/>
      <c r="D37" s="81"/>
      <c r="E37" s="82"/>
      <c r="F37" s="83"/>
      <c r="G37" s="21">
        <f t="shared" si="0"/>
        <v>0</v>
      </c>
      <c r="H37" s="287"/>
      <c r="I37" s="287"/>
    </row>
    <row r="38" spans="2:9" x14ac:dyDescent="0.2">
      <c r="B38" s="297"/>
      <c r="C38" s="81"/>
      <c r="D38" s="81"/>
      <c r="E38" s="82"/>
      <c r="F38" s="83"/>
      <c r="G38" s="21">
        <f t="shared" si="0"/>
        <v>0</v>
      </c>
      <c r="H38" s="287"/>
      <c r="I38" s="287"/>
    </row>
    <row r="39" spans="2:9" x14ac:dyDescent="0.2">
      <c r="B39" s="297"/>
      <c r="C39" s="81"/>
      <c r="D39" s="81"/>
      <c r="E39" s="82"/>
      <c r="F39" s="83"/>
      <c r="G39" s="21">
        <f t="shared" si="0"/>
        <v>0</v>
      </c>
      <c r="H39" s="287"/>
      <c r="I39" s="287"/>
    </row>
    <row r="40" spans="2:9" x14ac:dyDescent="0.2">
      <c r="B40" s="297"/>
      <c r="C40" s="81"/>
      <c r="D40" s="81"/>
      <c r="E40" s="82"/>
      <c r="F40" s="83"/>
      <c r="G40" s="21">
        <f t="shared" si="0"/>
        <v>0</v>
      </c>
      <c r="H40" s="287"/>
      <c r="I40" s="287"/>
    </row>
    <row r="41" spans="2:9" x14ac:dyDescent="0.2">
      <c r="B41" s="297"/>
      <c r="C41" s="81"/>
      <c r="D41" s="81"/>
      <c r="E41" s="82"/>
      <c r="F41" s="83"/>
      <c r="G41" s="21">
        <f t="shared" si="0"/>
        <v>0</v>
      </c>
      <c r="H41" s="287"/>
    </row>
    <row r="42" spans="2:9" x14ac:dyDescent="0.2">
      <c r="B42" s="297"/>
      <c r="C42" s="81"/>
      <c r="D42" s="81"/>
      <c r="E42" s="82"/>
      <c r="F42" s="83"/>
      <c r="G42" s="21">
        <f t="shared" si="0"/>
        <v>0</v>
      </c>
      <c r="H42" s="287"/>
    </row>
    <row r="43" spans="2:9" x14ac:dyDescent="0.2">
      <c r="B43" s="297"/>
      <c r="C43" s="81"/>
      <c r="D43" s="81"/>
      <c r="E43" s="82"/>
      <c r="F43" s="83"/>
      <c r="G43" s="21">
        <f t="shared" si="0"/>
        <v>0</v>
      </c>
    </row>
    <row r="44" spans="2:9" x14ac:dyDescent="0.2">
      <c r="B44" s="297"/>
      <c r="C44" s="81"/>
      <c r="D44" s="81"/>
      <c r="E44" s="82"/>
      <c r="F44" s="83"/>
      <c r="G44" s="21">
        <f t="shared" si="0"/>
        <v>0</v>
      </c>
    </row>
    <row r="45" spans="2:9" x14ac:dyDescent="0.2">
      <c r="B45" s="297"/>
      <c r="C45" s="81"/>
      <c r="D45" s="81"/>
      <c r="E45" s="82"/>
      <c r="F45" s="83"/>
      <c r="G45" s="21">
        <f t="shared" si="0"/>
        <v>0</v>
      </c>
    </row>
    <row r="46" spans="2:9" x14ac:dyDescent="0.2">
      <c r="B46" s="297"/>
      <c r="C46" s="81"/>
      <c r="D46" s="81"/>
      <c r="E46" s="82"/>
      <c r="F46" s="83"/>
      <c r="G46" s="21">
        <f>E46*F46</f>
        <v>0</v>
      </c>
    </row>
    <row r="47" spans="2:9" x14ac:dyDescent="0.2">
      <c r="B47" s="288" t="s">
        <v>18</v>
      </c>
      <c r="C47" s="424"/>
      <c r="D47" s="425"/>
      <c r="E47" s="21">
        <f>SUM(E15:E46)</f>
        <v>587893005.31564343</v>
      </c>
      <c r="F47" s="23"/>
      <c r="G47" s="21">
        <f>SUM(G15:G46)</f>
        <v>172599631.08278519</v>
      </c>
    </row>
  </sheetData>
  <sheetProtection sheet="1" insertRows="0" deleteRows="0"/>
  <mergeCells count="2">
    <mergeCell ref="C47:D47"/>
    <mergeCell ref="B6:D8"/>
  </mergeCells>
  <dataValidations disablePrompts="1" count="1">
    <dataValidation type="list" allowBlank="1" showInputMessage="1" showErrorMessage="1" sqref="D15:D46" xr:uid="{945E4371-892E-4866-BCAE-06C4998302F8}">
      <formula1>rSharedAssets</formula1>
    </dataValidation>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EA613-F270-4DF7-9AD5-9697649D4131}">
  <sheetPr>
    <tabColor theme="5" tint="0.79998168889431442"/>
  </sheetPr>
  <dimension ref="A1"/>
  <sheetViews>
    <sheetView workbookViewId="0"/>
  </sheetViews>
  <sheetFormatPr defaultColWidth="9.28515625" defaultRowHeight="12.75" x14ac:dyDescent="0.2"/>
  <cols>
    <col min="1" max="16384" width="9.28515625" style="316"/>
  </cols>
  <sheetData>
    <row r="1" spans="1:1" x14ac:dyDescent="0.2">
      <c r="A1" s="322" t="s">
        <v>773</v>
      </c>
    </row>
  </sheetData>
  <pageMargins left="0.7" right="0.7" top="0.75" bottom="0.75" header="0.3" footer="0.3"/>
  <headerFooter>
    <oddFooter>&amp;C_x000D_&amp;1#&amp;"Aptos"&amp;10&amp;K008000 APA-INTERNAL</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7BD2-B643-40B9-BFB2-B856F7F56653}">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7109375" defaultRowHeight="12.75" x14ac:dyDescent="0.2"/>
  <cols>
    <col min="1" max="1" width="11.42578125" customWidth="1"/>
    <col min="2" max="2" width="22.28515625" customWidth="1"/>
    <col min="3" max="3" width="47.7109375" customWidth="1"/>
    <col min="4" max="4" width="50.5703125" customWidth="1"/>
    <col min="5" max="5" width="23.7109375" customWidth="1"/>
    <col min="6" max="13" width="9.42578125" customWidth="1"/>
    <col min="29" max="29" width="9.28515625" customWidth="1"/>
    <col min="46" max="46" width="9.28515625" customWidth="1"/>
    <col min="61" max="61" width="13.5703125" customWidth="1"/>
  </cols>
  <sheetData>
    <row r="1" spans="2:61" ht="20.25" customHeight="1" x14ac:dyDescent="0.2">
      <c r="B1" s="145" t="s">
        <v>510</v>
      </c>
      <c r="C1" s="145"/>
    </row>
    <row r="2" spans="2:61" ht="20.25" x14ac:dyDescent="0.2">
      <c r="B2" s="145" t="str">
        <f>IF(Tradingname=0," ",Tradingname)</f>
        <v>EAST AUSTRALIAN PIPELINE PTY LIMITED</v>
      </c>
      <c r="C2" s="145"/>
    </row>
    <row r="3" spans="2:61" ht="19.5" customHeight="1" x14ac:dyDescent="0.3">
      <c r="B3" s="145" t="s">
        <v>110</v>
      </c>
      <c r="C3" s="110">
        <f>IF(Yearending=0, "01/01/2000", Yearending)</f>
        <v>45838</v>
      </c>
    </row>
    <row r="4" spans="2:61" ht="20.25" x14ac:dyDescent="0.2">
      <c r="B4" s="102" t="s">
        <v>511</v>
      </c>
      <c r="C4" s="102"/>
    </row>
    <row r="6" spans="2:61" ht="15.75" customHeight="1" x14ac:dyDescent="0.2">
      <c r="B6" s="417" t="s">
        <v>678</v>
      </c>
      <c r="C6" s="417"/>
      <c r="D6" s="417"/>
    </row>
    <row r="7" spans="2:61" ht="15.75" customHeight="1" x14ac:dyDescent="0.2">
      <c r="B7" s="417"/>
      <c r="C7" s="417"/>
      <c r="D7" s="417"/>
    </row>
    <row r="9" spans="2:61" ht="15.75" x14ac:dyDescent="0.25">
      <c r="B9" s="206" t="s">
        <v>647</v>
      </c>
    </row>
    <row r="11" spans="2:61" ht="45" customHeight="1" x14ac:dyDescent="0.2">
      <c r="B11" s="61" t="s">
        <v>515</v>
      </c>
      <c r="C11" s="428" t="s">
        <v>59</v>
      </c>
      <c r="D11" s="429"/>
      <c r="E11" s="230" t="s">
        <v>18</v>
      </c>
      <c r="F11" s="426" t="s">
        <v>58</v>
      </c>
      <c r="G11" s="427"/>
      <c r="H11" s="427"/>
      <c r="I11" s="427"/>
      <c r="J11" s="427"/>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231" t="s">
        <v>120</v>
      </c>
    </row>
    <row r="12" spans="2:61" x14ac:dyDescent="0.2">
      <c r="B12" s="304"/>
      <c r="C12" s="64"/>
      <c r="D12" s="64"/>
      <c r="E12" s="64"/>
      <c r="F12" s="66" t="str">
        <f>RIGHT(TEXT(C43,"dd/mm/yyyy"),4)</f>
        <v>1976</v>
      </c>
      <c r="G12" s="67">
        <f>F12+1</f>
        <v>1977</v>
      </c>
      <c r="H12" s="67">
        <f t="shared" ref="H12:BG12" si="0">G12+1</f>
        <v>1978</v>
      </c>
      <c r="I12" s="67">
        <f t="shared" si="0"/>
        <v>1979</v>
      </c>
      <c r="J12" s="67">
        <f t="shared" si="0"/>
        <v>1980</v>
      </c>
      <c r="K12" s="67">
        <f t="shared" si="0"/>
        <v>1981</v>
      </c>
      <c r="L12" s="67">
        <f t="shared" si="0"/>
        <v>1982</v>
      </c>
      <c r="M12" s="67">
        <f t="shared" si="0"/>
        <v>1983</v>
      </c>
      <c r="N12" s="67">
        <f t="shared" si="0"/>
        <v>1984</v>
      </c>
      <c r="O12" s="67">
        <f t="shared" si="0"/>
        <v>1985</v>
      </c>
      <c r="P12" s="67">
        <f t="shared" si="0"/>
        <v>1986</v>
      </c>
      <c r="Q12" s="67">
        <f t="shared" si="0"/>
        <v>1987</v>
      </c>
      <c r="R12" s="67">
        <f t="shared" si="0"/>
        <v>1988</v>
      </c>
      <c r="S12" s="67">
        <f t="shared" si="0"/>
        <v>1989</v>
      </c>
      <c r="T12" s="67">
        <f t="shared" si="0"/>
        <v>1990</v>
      </c>
      <c r="U12" s="67">
        <f t="shared" si="0"/>
        <v>1991</v>
      </c>
      <c r="V12" s="67">
        <f t="shared" si="0"/>
        <v>1992</v>
      </c>
      <c r="W12" s="67">
        <f t="shared" si="0"/>
        <v>1993</v>
      </c>
      <c r="X12" s="67">
        <f t="shared" si="0"/>
        <v>1994</v>
      </c>
      <c r="Y12" s="67">
        <f t="shared" si="0"/>
        <v>1995</v>
      </c>
      <c r="Z12" s="67">
        <f t="shared" si="0"/>
        <v>1996</v>
      </c>
      <c r="AA12" s="67">
        <f t="shared" si="0"/>
        <v>1997</v>
      </c>
      <c r="AB12" s="67">
        <f t="shared" si="0"/>
        <v>1998</v>
      </c>
      <c r="AC12" s="67">
        <f t="shared" si="0"/>
        <v>1999</v>
      </c>
      <c r="AD12" s="67">
        <f t="shared" si="0"/>
        <v>2000</v>
      </c>
      <c r="AE12" s="67">
        <f t="shared" si="0"/>
        <v>2001</v>
      </c>
      <c r="AF12" s="67">
        <f t="shared" si="0"/>
        <v>2002</v>
      </c>
      <c r="AG12" s="67">
        <f t="shared" si="0"/>
        <v>2003</v>
      </c>
      <c r="AH12" s="67">
        <f t="shared" si="0"/>
        <v>2004</v>
      </c>
      <c r="AI12" s="67">
        <f t="shared" si="0"/>
        <v>2005</v>
      </c>
      <c r="AJ12" s="67">
        <f t="shared" si="0"/>
        <v>2006</v>
      </c>
      <c r="AK12" s="67">
        <f t="shared" si="0"/>
        <v>2007</v>
      </c>
      <c r="AL12" s="67">
        <f t="shared" si="0"/>
        <v>2008</v>
      </c>
      <c r="AM12" s="67">
        <f t="shared" si="0"/>
        <v>2009</v>
      </c>
      <c r="AN12" s="67">
        <f t="shared" si="0"/>
        <v>2010</v>
      </c>
      <c r="AO12" s="67">
        <f t="shared" si="0"/>
        <v>2011</v>
      </c>
      <c r="AP12" s="67">
        <f t="shared" si="0"/>
        <v>2012</v>
      </c>
      <c r="AQ12" s="67">
        <f t="shared" si="0"/>
        <v>2013</v>
      </c>
      <c r="AR12" s="67">
        <f t="shared" si="0"/>
        <v>2014</v>
      </c>
      <c r="AS12" s="67">
        <f t="shared" si="0"/>
        <v>2015</v>
      </c>
      <c r="AT12" s="67">
        <f t="shared" si="0"/>
        <v>2016</v>
      </c>
      <c r="AU12" s="67">
        <f t="shared" si="0"/>
        <v>2017</v>
      </c>
      <c r="AV12" s="67">
        <f t="shared" si="0"/>
        <v>2018</v>
      </c>
      <c r="AW12" s="67">
        <f t="shared" si="0"/>
        <v>2019</v>
      </c>
      <c r="AX12" s="67">
        <f t="shared" si="0"/>
        <v>2020</v>
      </c>
      <c r="AY12" s="67">
        <f t="shared" si="0"/>
        <v>2021</v>
      </c>
      <c r="AZ12" s="67">
        <f t="shared" si="0"/>
        <v>2022</v>
      </c>
      <c r="BA12" s="67">
        <f t="shared" si="0"/>
        <v>2023</v>
      </c>
      <c r="BB12" s="67">
        <f t="shared" si="0"/>
        <v>2024</v>
      </c>
      <c r="BC12" s="67">
        <f t="shared" si="0"/>
        <v>2025</v>
      </c>
      <c r="BD12" s="67">
        <f t="shared" si="0"/>
        <v>2026</v>
      </c>
      <c r="BE12" s="67">
        <f t="shared" si="0"/>
        <v>2027</v>
      </c>
      <c r="BF12" s="67">
        <f t="shared" si="0"/>
        <v>2028</v>
      </c>
      <c r="BG12" s="67">
        <f t="shared" si="0"/>
        <v>2029</v>
      </c>
      <c r="BH12" s="67">
        <f>BG12+1</f>
        <v>2030</v>
      </c>
    </row>
    <row r="13" spans="2:61" x14ac:dyDescent="0.2">
      <c r="B13" s="339" t="s">
        <v>753</v>
      </c>
      <c r="C13" s="68" t="s">
        <v>46</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5"/>
      <c r="C14" s="68"/>
      <c r="D14" s="69" t="s">
        <v>51</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5"/>
      <c r="C15" s="68"/>
      <c r="D15" s="69" t="s">
        <v>666</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5"/>
      <c r="C16" s="68"/>
      <c r="D16" s="69" t="s">
        <v>52</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5"/>
      <c r="C17" s="68"/>
      <c r="D17" s="69" t="s">
        <v>72</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5"/>
      <c r="C18" s="68"/>
      <c r="D18" s="69" t="s">
        <v>57</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5"/>
      <c r="C19" s="68"/>
      <c r="D19" s="69" t="s">
        <v>205</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5"/>
      <c r="C20" s="68"/>
      <c r="D20" s="221" t="s">
        <v>239</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5"/>
      <c r="C21" s="68" t="s">
        <v>100</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5"/>
      <c r="C22" s="68"/>
      <c r="D22" s="69" t="s">
        <v>377</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5"/>
      <c r="C23" s="68"/>
      <c r="D23" s="69" t="s">
        <v>666</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5"/>
      <c r="C24" s="68"/>
      <c r="D24" s="69" t="s">
        <v>52</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5"/>
      <c r="C25" s="68"/>
      <c r="D25" s="69" t="s">
        <v>72</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5"/>
      <c r="C26" s="68"/>
      <c r="D26" s="69" t="s">
        <v>57</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5"/>
      <c r="C27" s="68"/>
      <c r="D27" s="69" t="s">
        <v>205</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5"/>
      <c r="C28" s="68"/>
      <c r="D28" s="221" t="s">
        <v>240</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5"/>
      <c r="C29" s="68"/>
      <c r="D29" s="68" t="s">
        <v>64</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5"/>
      <c r="C30" s="68" t="s">
        <v>118</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5"/>
      <c r="C31" s="68"/>
      <c r="D31" s="70" t="s">
        <v>66</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5"/>
      <c r="C32" s="68"/>
      <c r="D32" s="70" t="s">
        <v>67</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5"/>
      <c r="C33" s="68"/>
      <c r="D33" s="70" t="s">
        <v>68</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5"/>
      <c r="C34" s="68"/>
      <c r="D34" s="69" t="s">
        <v>213</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5"/>
      <c r="C35" s="68"/>
      <c r="D35" s="70" t="s">
        <v>101</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5"/>
      <c r="C36" s="68"/>
      <c r="D36" s="68" t="s">
        <v>102</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5"/>
      <c r="C37" s="99"/>
      <c r="D37" s="93" t="s">
        <v>119</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5"/>
      <c r="C38" s="99" t="s">
        <v>242</v>
      </c>
      <c r="D38" s="71" t="s">
        <v>226</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5"/>
      <c r="C39" s="99" t="s">
        <v>242</v>
      </c>
      <c r="D39" s="71" t="s">
        <v>243</v>
      </c>
      <c r="E39" s="21"/>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89"/>
      <c r="AY39" s="289"/>
      <c r="AZ39" s="289"/>
      <c r="BA39" s="289"/>
      <c r="BB39" s="289"/>
      <c r="BC39" s="289"/>
      <c r="BD39" s="289"/>
      <c r="BE39" s="289"/>
      <c r="BF39" s="289"/>
      <c r="BG39" s="289"/>
      <c r="BH39" s="289"/>
    </row>
    <row r="40" spans="2:60" ht="29.25" customHeight="1" x14ac:dyDescent="0.2">
      <c r="D40" s="222"/>
    </row>
    <row r="41" spans="2:60" ht="15.75" x14ac:dyDescent="0.25">
      <c r="B41" s="223" t="s">
        <v>129</v>
      </c>
      <c r="C41" s="4"/>
    </row>
    <row r="42" spans="2:60" x14ac:dyDescent="0.2">
      <c r="B42" s="224"/>
      <c r="C42" s="225"/>
    </row>
    <row r="43" spans="2:60" x14ac:dyDescent="0.2">
      <c r="B43" s="33" t="s">
        <v>85</v>
      </c>
      <c r="C43" s="226">
        <f>IF( '1. Pipeline information'!C14=0, "0/01/1960", '1. Pipeline information'!C14)</f>
        <v>28112</v>
      </c>
    </row>
    <row r="48" spans="2:60" x14ac:dyDescent="0.2">
      <c r="C48" s="227"/>
    </row>
    <row r="49" spans="3:3" x14ac:dyDescent="0.2">
      <c r="C49" s="227"/>
    </row>
    <row r="50" spans="3:3" x14ac:dyDescent="0.2">
      <c r="C50" s="15"/>
    </row>
  </sheetData>
  <sheetProtection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D1A548A1-EDA7-472C-A82C-667312B6CAAD}"/>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95947-FD18-47F5-AA8C-A16D3E5F9AA6}">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x14ac:dyDescent="0.2"/>
  <cols>
    <col min="1" max="1" width="12.28515625" style="214" customWidth="1"/>
    <col min="2" max="2" width="21" style="214" customWidth="1"/>
    <col min="3" max="3" width="64.7109375" style="214" customWidth="1"/>
    <col min="4" max="5" width="42.28515625" style="214" customWidth="1"/>
    <col min="6" max="6" width="34.7109375" style="214" customWidth="1"/>
    <col min="7" max="7" width="44" style="214" customWidth="1"/>
    <col min="8" max="16384" width="9.28515625" style="214"/>
  </cols>
  <sheetData>
    <row r="1" spans="2:5" ht="20.25" x14ac:dyDescent="0.3">
      <c r="B1" s="145" t="s">
        <v>510</v>
      </c>
      <c r="C1" s="145"/>
      <c r="D1" s="213"/>
      <c r="E1" s="213"/>
    </row>
    <row r="2" spans="2:5" ht="20.25" x14ac:dyDescent="0.3">
      <c r="B2" s="145" t="str">
        <f>IF(Tradingname=0," ",Tradingname)</f>
        <v>EAST AUSTRALIAN PIPELINE PTY LIMITED</v>
      </c>
      <c r="C2" s="145"/>
      <c r="D2" s="215"/>
    </row>
    <row r="3" spans="2:5" ht="20.25" x14ac:dyDescent="0.3">
      <c r="B3" s="145" t="s">
        <v>110</v>
      </c>
      <c r="C3" s="110">
        <f>IF(Yearending=0, "01/01/2000", Yearending)</f>
        <v>45838</v>
      </c>
    </row>
    <row r="4" spans="2:5" ht="20.25" x14ac:dyDescent="0.2">
      <c r="B4" s="102" t="s">
        <v>513</v>
      </c>
      <c r="C4" s="102"/>
    </row>
    <row r="6" spans="2:5" x14ac:dyDescent="0.2">
      <c r="B6" s="417" t="s">
        <v>561</v>
      </c>
      <c r="C6" s="417"/>
      <c r="D6" s="417"/>
      <c r="E6" s="417"/>
    </row>
    <row r="7" spans="2:5" x14ac:dyDescent="0.2">
      <c r="B7" s="417"/>
      <c r="C7" s="417"/>
      <c r="D7" s="417"/>
      <c r="E7" s="417"/>
    </row>
    <row r="8" spans="2:5" x14ac:dyDescent="0.2">
      <c r="B8" s="417"/>
      <c r="C8" s="417"/>
      <c r="D8" s="417"/>
      <c r="E8" s="417"/>
    </row>
    <row r="9" spans="2:5" x14ac:dyDescent="0.2">
      <c r="B9" s="417"/>
      <c r="C9" s="417"/>
      <c r="D9" s="417"/>
      <c r="E9" s="417"/>
    </row>
    <row r="12" spans="2:5" ht="15.75" x14ac:dyDescent="0.25">
      <c r="B12" s="216" t="s">
        <v>559</v>
      </c>
      <c r="C12" s="217"/>
      <c r="D12" s="217"/>
      <c r="E12" s="217"/>
    </row>
    <row r="13" spans="2:5" ht="15.75" x14ac:dyDescent="0.25">
      <c r="B13" s="216"/>
      <c r="C13" s="217"/>
      <c r="D13" s="217"/>
      <c r="E13" s="217"/>
    </row>
    <row r="14" spans="2:5" ht="25.5" x14ac:dyDescent="0.2">
      <c r="B14" s="48" t="s">
        <v>515</v>
      </c>
      <c r="C14" s="48" t="s">
        <v>108</v>
      </c>
      <c r="D14" s="48" t="s">
        <v>109</v>
      </c>
      <c r="E14" s="48" t="s">
        <v>124</v>
      </c>
    </row>
    <row r="15" spans="2:5" ht="25.5" x14ac:dyDescent="0.2">
      <c r="B15" s="331" t="s">
        <v>748</v>
      </c>
      <c r="C15" s="293" t="s">
        <v>736</v>
      </c>
      <c r="D15" s="317" t="s">
        <v>724</v>
      </c>
      <c r="E15" s="82">
        <v>106070856.43000004</v>
      </c>
    </row>
    <row r="16" spans="2:5" x14ac:dyDescent="0.2">
      <c r="B16" s="331" t="s">
        <v>748</v>
      </c>
      <c r="C16" s="293" t="s">
        <v>737</v>
      </c>
      <c r="D16" s="91" t="s">
        <v>726</v>
      </c>
      <c r="E16" s="82">
        <v>51903208.639999993</v>
      </c>
    </row>
    <row r="17" spans="2:5" x14ac:dyDescent="0.2">
      <c r="B17" s="331" t="s">
        <v>748</v>
      </c>
      <c r="C17" s="293" t="s">
        <v>738</v>
      </c>
      <c r="D17" s="317" t="s">
        <v>727</v>
      </c>
      <c r="E17" s="82">
        <v>45361146.409999996</v>
      </c>
    </row>
    <row r="18" spans="2:5" ht="25.5" x14ac:dyDescent="0.2">
      <c r="B18" s="331" t="s">
        <v>748</v>
      </c>
      <c r="C18" s="293" t="s">
        <v>739</v>
      </c>
      <c r="D18" s="317" t="s">
        <v>729</v>
      </c>
      <c r="E18" s="82">
        <v>92855932.769999996</v>
      </c>
    </row>
    <row r="19" spans="2:5" ht="25.5" x14ac:dyDescent="0.2">
      <c r="B19" s="331" t="s">
        <v>748</v>
      </c>
      <c r="C19" s="293" t="s">
        <v>732</v>
      </c>
      <c r="D19" s="91" t="s">
        <v>717</v>
      </c>
      <c r="E19" s="82">
        <v>52673475.679999977</v>
      </c>
    </row>
    <row r="20" spans="2:5" ht="25.5" x14ac:dyDescent="0.2">
      <c r="B20" s="331" t="s">
        <v>748</v>
      </c>
      <c r="C20" s="293" t="s">
        <v>740</v>
      </c>
      <c r="D20" s="91" t="s">
        <v>718</v>
      </c>
      <c r="E20" s="82">
        <v>72272353.180000007</v>
      </c>
    </row>
    <row r="21" spans="2:5" ht="25.5" x14ac:dyDescent="0.2">
      <c r="B21" s="331" t="s">
        <v>748</v>
      </c>
      <c r="C21" s="293" t="s">
        <v>733</v>
      </c>
      <c r="D21" s="91" t="s">
        <v>719</v>
      </c>
      <c r="E21" s="82">
        <v>142286325.08999997</v>
      </c>
    </row>
    <row r="22" spans="2:5" ht="38.25" x14ac:dyDescent="0.2">
      <c r="B22" s="331" t="s">
        <v>748</v>
      </c>
      <c r="C22" s="293" t="s">
        <v>734</v>
      </c>
      <c r="D22" s="91" t="s">
        <v>700</v>
      </c>
      <c r="E22" s="82">
        <v>135062792.23999998</v>
      </c>
    </row>
    <row r="23" spans="2:5" x14ac:dyDescent="0.2">
      <c r="B23" s="331" t="s">
        <v>748</v>
      </c>
      <c r="C23" s="293" t="s">
        <v>759</v>
      </c>
      <c r="D23" s="343" t="s">
        <v>771</v>
      </c>
      <c r="E23" s="82">
        <v>34957500</v>
      </c>
    </row>
    <row r="24" spans="2:5" x14ac:dyDescent="0.2">
      <c r="B24" s="331" t="s">
        <v>748</v>
      </c>
      <c r="C24" s="293" t="s">
        <v>761</v>
      </c>
      <c r="D24" s="91" t="s">
        <v>771</v>
      </c>
      <c r="E24" s="82">
        <v>19000000</v>
      </c>
    </row>
    <row r="25" spans="2:5" x14ac:dyDescent="0.2">
      <c r="B25" s="331" t="s">
        <v>748</v>
      </c>
      <c r="C25" s="293" t="s">
        <v>762</v>
      </c>
      <c r="D25" s="91" t="s">
        <v>771</v>
      </c>
      <c r="E25" s="82">
        <v>105961984</v>
      </c>
    </row>
    <row r="26" spans="2:5" x14ac:dyDescent="0.2">
      <c r="B26" s="331" t="s">
        <v>748</v>
      </c>
      <c r="C26" s="293" t="s">
        <v>760</v>
      </c>
      <c r="D26" s="343" t="s">
        <v>772</v>
      </c>
      <c r="E26" s="82">
        <v>838198175.59000003</v>
      </c>
    </row>
    <row r="27" spans="2:5" x14ac:dyDescent="0.2">
      <c r="B27" s="331" t="s">
        <v>748</v>
      </c>
      <c r="C27" s="293" t="s">
        <v>763</v>
      </c>
      <c r="D27" s="343" t="s">
        <v>728</v>
      </c>
      <c r="E27" s="82">
        <v>176638391.33999997</v>
      </c>
    </row>
    <row r="28" spans="2:5" x14ac:dyDescent="0.2">
      <c r="B28" s="331" t="s">
        <v>748</v>
      </c>
      <c r="C28" s="293" t="s">
        <v>764</v>
      </c>
      <c r="D28" s="91" t="s">
        <v>728</v>
      </c>
      <c r="E28" s="82">
        <v>71327137.039999992</v>
      </c>
    </row>
    <row r="29" spans="2:5" x14ac:dyDescent="0.2">
      <c r="B29" s="331" t="s">
        <v>748</v>
      </c>
      <c r="C29" s="293" t="s">
        <v>765</v>
      </c>
      <c r="D29" s="91" t="s">
        <v>728</v>
      </c>
      <c r="E29" s="82">
        <v>118076083.7</v>
      </c>
    </row>
    <row r="30" spans="2:5" x14ac:dyDescent="0.2">
      <c r="B30" s="331" t="s">
        <v>748</v>
      </c>
      <c r="C30" s="293" t="s">
        <v>766</v>
      </c>
      <c r="D30" s="343" t="s">
        <v>731</v>
      </c>
      <c r="E30" s="82">
        <v>12423013.460000001</v>
      </c>
    </row>
    <row r="31" spans="2:5" x14ac:dyDescent="0.2">
      <c r="B31" s="331" t="s">
        <v>748</v>
      </c>
      <c r="C31" s="293" t="s">
        <v>767</v>
      </c>
      <c r="D31" s="343" t="s">
        <v>769</v>
      </c>
      <c r="E31" s="82">
        <v>24855398.259999998</v>
      </c>
    </row>
    <row r="32" spans="2:5" x14ac:dyDescent="0.2">
      <c r="B32" s="331" t="s">
        <v>748</v>
      </c>
      <c r="C32" s="293" t="s">
        <v>768</v>
      </c>
      <c r="D32" s="343" t="s">
        <v>700</v>
      </c>
      <c r="E32" s="82">
        <v>38907017.700000003</v>
      </c>
    </row>
    <row r="33" spans="2:5" x14ac:dyDescent="0.2">
      <c r="B33" s="331"/>
      <c r="C33" s="293"/>
      <c r="D33" s="91"/>
      <c r="E33" s="82"/>
    </row>
    <row r="34" spans="2:5" x14ac:dyDescent="0.2">
      <c r="B34" s="297"/>
      <c r="C34" s="293"/>
      <c r="D34" s="91"/>
      <c r="E34" s="82"/>
    </row>
    <row r="35" spans="2:5" x14ac:dyDescent="0.2">
      <c r="B35" s="297"/>
      <c r="C35" s="293"/>
      <c r="D35" s="91"/>
      <c r="E35" s="82"/>
    </row>
    <row r="36" spans="2:5" x14ac:dyDescent="0.2">
      <c r="B36" s="297"/>
      <c r="C36" s="293"/>
      <c r="D36" s="91"/>
      <c r="E36" s="82"/>
    </row>
    <row r="37" spans="2:5" x14ac:dyDescent="0.2">
      <c r="B37" s="297"/>
      <c r="C37" s="293"/>
      <c r="D37" s="91"/>
      <c r="E37" s="82"/>
    </row>
    <row r="38" spans="2:5" x14ac:dyDescent="0.2">
      <c r="B38" s="297"/>
      <c r="C38" s="293"/>
      <c r="D38" s="91"/>
      <c r="E38" s="82"/>
    </row>
    <row r="39" spans="2:5" x14ac:dyDescent="0.2">
      <c r="B39" s="297"/>
      <c r="C39" s="293"/>
      <c r="D39" s="91"/>
      <c r="E39" s="82"/>
    </row>
    <row r="40" spans="2:5" x14ac:dyDescent="0.2">
      <c r="B40" s="297"/>
      <c r="C40" s="293"/>
      <c r="D40" s="91"/>
      <c r="E40" s="82"/>
    </row>
    <row r="41" spans="2:5" x14ac:dyDescent="0.2">
      <c r="B41" s="432" t="s">
        <v>424</v>
      </c>
      <c r="C41" s="433"/>
      <c r="D41" s="434"/>
      <c r="E41" s="218">
        <f>SUM(E15:E40)</f>
        <v>2138830791.53</v>
      </c>
    </row>
    <row r="44" spans="2:5" ht="15.75" x14ac:dyDescent="0.25">
      <c r="B44" s="216" t="s">
        <v>560</v>
      </c>
      <c r="C44" s="217"/>
      <c r="D44" s="217"/>
      <c r="E44" s="217"/>
    </row>
    <row r="45" spans="2:5" ht="15.75" x14ac:dyDescent="0.25">
      <c r="B45" s="216"/>
      <c r="C45" s="217"/>
      <c r="D45" s="217"/>
      <c r="E45" s="217"/>
    </row>
    <row r="46" spans="2:5" ht="25.5" x14ac:dyDescent="0.2">
      <c r="B46" s="48" t="s">
        <v>515</v>
      </c>
      <c r="C46" s="48" t="s">
        <v>108</v>
      </c>
      <c r="D46" s="48" t="s">
        <v>109</v>
      </c>
      <c r="E46" s="48" t="s">
        <v>124</v>
      </c>
    </row>
    <row r="47" spans="2:5" x14ac:dyDescent="0.2">
      <c r="B47" s="331" t="s">
        <v>748</v>
      </c>
      <c r="C47" s="293" t="s">
        <v>781</v>
      </c>
      <c r="D47" s="91" t="s">
        <v>723</v>
      </c>
      <c r="E47" s="82">
        <v>4000000</v>
      </c>
    </row>
    <row r="48" spans="2:5" x14ac:dyDescent="0.2">
      <c r="B48" s="331" t="s">
        <v>748</v>
      </c>
      <c r="C48" s="293" t="s">
        <v>782</v>
      </c>
      <c r="D48" s="91" t="s">
        <v>725</v>
      </c>
      <c r="E48" s="82">
        <v>14907991.770000001</v>
      </c>
    </row>
    <row r="49" spans="2:5" x14ac:dyDescent="0.2">
      <c r="B49" s="331" t="s">
        <v>748</v>
      </c>
      <c r="C49" s="293" t="s">
        <v>783</v>
      </c>
      <c r="D49" s="91" t="s">
        <v>726</v>
      </c>
      <c r="E49" s="82">
        <v>34571052.379999995</v>
      </c>
    </row>
    <row r="50" spans="2:5" x14ac:dyDescent="0.2">
      <c r="B50" s="331" t="s">
        <v>748</v>
      </c>
      <c r="C50" s="293" t="s">
        <v>784</v>
      </c>
      <c r="D50" s="91" t="s">
        <v>727</v>
      </c>
      <c r="E50" s="82">
        <v>15035641.050000001</v>
      </c>
    </row>
    <row r="51" spans="2:5" x14ac:dyDescent="0.2">
      <c r="B51" s="331" t="s">
        <v>748</v>
      </c>
      <c r="C51" s="293" t="s">
        <v>785</v>
      </c>
      <c r="D51" s="91" t="s">
        <v>728</v>
      </c>
      <c r="E51" s="82">
        <v>9541679.2500000019</v>
      </c>
    </row>
    <row r="52" spans="2:5" x14ac:dyDescent="0.2">
      <c r="B52" s="331" t="s">
        <v>748</v>
      </c>
      <c r="C52" s="293" t="s">
        <v>786</v>
      </c>
      <c r="D52" s="91" t="s">
        <v>729</v>
      </c>
      <c r="E52" s="82">
        <v>86074675.400000006</v>
      </c>
    </row>
    <row r="53" spans="2:5" x14ac:dyDescent="0.2">
      <c r="B53" s="331" t="s">
        <v>748</v>
      </c>
      <c r="C53" s="293" t="s">
        <v>786</v>
      </c>
      <c r="D53" s="91" t="s">
        <v>730</v>
      </c>
      <c r="E53" s="82">
        <v>10293891.539999999</v>
      </c>
    </row>
    <row r="54" spans="2:5" x14ac:dyDescent="0.2">
      <c r="B54" s="331" t="s">
        <v>748</v>
      </c>
      <c r="C54" s="293" t="s">
        <v>786</v>
      </c>
      <c r="D54" s="91" t="s">
        <v>731</v>
      </c>
      <c r="E54" s="82">
        <v>2813553.07</v>
      </c>
    </row>
    <row r="55" spans="2:5" x14ac:dyDescent="0.2">
      <c r="B55" s="331" t="s">
        <v>748</v>
      </c>
      <c r="C55" s="293" t="s">
        <v>787</v>
      </c>
      <c r="D55" s="91" t="s">
        <v>719</v>
      </c>
      <c r="E55" s="82">
        <v>66966236.109999992</v>
      </c>
    </row>
    <row r="56" spans="2:5" ht="25.5" x14ac:dyDescent="0.2">
      <c r="B56" s="331" t="s">
        <v>748</v>
      </c>
      <c r="C56" s="293" t="s">
        <v>788</v>
      </c>
      <c r="D56" s="91" t="s">
        <v>700</v>
      </c>
      <c r="E56" s="82">
        <v>90575669.279999986</v>
      </c>
    </row>
    <row r="57" spans="2:5" ht="25.5" x14ac:dyDescent="0.2">
      <c r="B57" s="331" t="s">
        <v>748</v>
      </c>
      <c r="C57" s="293" t="s">
        <v>789</v>
      </c>
      <c r="D57" s="91" t="s">
        <v>699</v>
      </c>
      <c r="E57" s="82">
        <v>9547705.9299999997</v>
      </c>
    </row>
    <row r="58" spans="2:5" x14ac:dyDescent="0.2">
      <c r="B58" s="331" t="s">
        <v>748</v>
      </c>
      <c r="C58" s="293" t="s">
        <v>759</v>
      </c>
      <c r="D58" s="343" t="s">
        <v>771</v>
      </c>
      <c r="E58" s="82">
        <v>34957500</v>
      </c>
    </row>
    <row r="59" spans="2:5" x14ac:dyDescent="0.2">
      <c r="B59" s="331" t="s">
        <v>748</v>
      </c>
      <c r="C59" s="293" t="s">
        <v>761</v>
      </c>
      <c r="D59" s="91" t="s">
        <v>771</v>
      </c>
      <c r="E59" s="82">
        <v>19000000</v>
      </c>
    </row>
    <row r="60" spans="2:5" x14ac:dyDescent="0.2">
      <c r="B60" s="331" t="s">
        <v>748</v>
      </c>
      <c r="C60" s="293" t="s">
        <v>762</v>
      </c>
      <c r="D60" s="91" t="s">
        <v>771</v>
      </c>
      <c r="E60" s="82">
        <v>105961984</v>
      </c>
    </row>
    <row r="61" spans="2:5" x14ac:dyDescent="0.2">
      <c r="B61" s="331" t="s">
        <v>748</v>
      </c>
      <c r="C61" s="293" t="s">
        <v>760</v>
      </c>
      <c r="D61" s="91" t="s">
        <v>772</v>
      </c>
      <c r="E61" s="82">
        <v>838198175.59000003</v>
      </c>
    </row>
    <row r="62" spans="2:5" x14ac:dyDescent="0.2">
      <c r="B62" s="331" t="s">
        <v>748</v>
      </c>
      <c r="C62" s="293" t="s">
        <v>763</v>
      </c>
      <c r="D62" s="91" t="s">
        <v>728</v>
      </c>
      <c r="E62" s="82">
        <v>176638391.33999997</v>
      </c>
    </row>
    <row r="63" spans="2:5" x14ac:dyDescent="0.2">
      <c r="B63" s="331" t="s">
        <v>748</v>
      </c>
      <c r="C63" s="293" t="s">
        <v>764</v>
      </c>
      <c r="D63" s="91" t="s">
        <v>728</v>
      </c>
      <c r="E63" s="82">
        <v>71327137.039999992</v>
      </c>
    </row>
    <row r="64" spans="2:5" x14ac:dyDescent="0.2">
      <c r="B64" s="331" t="s">
        <v>748</v>
      </c>
      <c r="C64" s="293" t="s">
        <v>765</v>
      </c>
      <c r="D64" s="91" t="s">
        <v>728</v>
      </c>
      <c r="E64" s="82">
        <v>118076083.7</v>
      </c>
    </row>
    <row r="65" spans="2:7" x14ac:dyDescent="0.2">
      <c r="B65" s="331" t="s">
        <v>748</v>
      </c>
      <c r="C65" s="293" t="s">
        <v>766</v>
      </c>
      <c r="D65" s="91" t="s">
        <v>731</v>
      </c>
      <c r="E65" s="82">
        <v>12423013.460000001</v>
      </c>
    </row>
    <row r="66" spans="2:7" x14ac:dyDescent="0.2">
      <c r="B66" s="331" t="s">
        <v>748</v>
      </c>
      <c r="C66" s="293" t="s">
        <v>767</v>
      </c>
      <c r="D66" s="91" t="s">
        <v>769</v>
      </c>
      <c r="E66" s="82">
        <v>24855398.259999998</v>
      </c>
    </row>
    <row r="67" spans="2:7" x14ac:dyDescent="0.2">
      <c r="B67" s="331" t="s">
        <v>748</v>
      </c>
      <c r="C67" s="293" t="s">
        <v>768</v>
      </c>
      <c r="D67" s="91" t="s">
        <v>700</v>
      </c>
      <c r="E67" s="82">
        <v>38907017.700000003</v>
      </c>
    </row>
    <row r="68" spans="2:7" x14ac:dyDescent="0.2">
      <c r="B68" s="331"/>
      <c r="C68" s="293"/>
      <c r="D68" s="91"/>
      <c r="E68" s="82"/>
    </row>
    <row r="69" spans="2:7" x14ac:dyDescent="0.2">
      <c r="B69" s="84"/>
      <c r="C69" s="293"/>
      <c r="D69" s="91"/>
      <c r="E69" s="82"/>
    </row>
    <row r="70" spans="2:7" x14ac:dyDescent="0.2">
      <c r="B70" s="84"/>
      <c r="C70" s="293"/>
      <c r="D70" s="91"/>
      <c r="E70" s="82"/>
    </row>
    <row r="71" spans="2:7" x14ac:dyDescent="0.2">
      <c r="B71" s="84"/>
      <c r="C71" s="293"/>
      <c r="D71" s="91"/>
      <c r="E71" s="82"/>
    </row>
    <row r="72" spans="2:7" x14ac:dyDescent="0.2">
      <c r="B72" s="84"/>
      <c r="C72" s="293"/>
      <c r="D72" s="91"/>
      <c r="E72" s="82"/>
    </row>
    <row r="73" spans="2:7" x14ac:dyDescent="0.2">
      <c r="B73" s="432" t="s">
        <v>424</v>
      </c>
      <c r="C73" s="433"/>
      <c r="D73" s="434"/>
      <c r="E73" s="218">
        <f>SUM(E47:E72)</f>
        <v>1784672796.8699999</v>
      </c>
    </row>
    <row r="76" spans="2:7" ht="15.75" x14ac:dyDescent="0.25">
      <c r="B76" s="219" t="s">
        <v>567</v>
      </c>
      <c r="C76" s="217"/>
      <c r="D76" s="217"/>
      <c r="E76" s="217"/>
      <c r="F76" s="220"/>
      <c r="G76" s="217"/>
    </row>
    <row r="77" spans="2:7" ht="15.75" x14ac:dyDescent="0.25">
      <c r="B77" s="216"/>
      <c r="C77" s="217"/>
      <c r="D77" s="217"/>
      <c r="E77" s="217"/>
      <c r="F77" s="220"/>
      <c r="G77" s="217"/>
    </row>
    <row r="78" spans="2:7" ht="38.25" x14ac:dyDescent="0.2">
      <c r="B78" s="48" t="s">
        <v>515</v>
      </c>
      <c r="C78" s="48" t="s">
        <v>391</v>
      </c>
      <c r="D78" s="48" t="s">
        <v>569</v>
      </c>
      <c r="E78" s="60" t="s">
        <v>570</v>
      </c>
      <c r="F78" s="60" t="s">
        <v>568</v>
      </c>
      <c r="G78" s="60" t="s">
        <v>392</v>
      </c>
    </row>
    <row r="79" spans="2:7" x14ac:dyDescent="0.2">
      <c r="B79" s="100"/>
      <c r="C79" s="48"/>
      <c r="D79" s="64"/>
      <c r="E79" s="64"/>
      <c r="F79" s="64" t="s">
        <v>394</v>
      </c>
      <c r="G79" s="64" t="s">
        <v>111</v>
      </c>
    </row>
    <row r="80" spans="2:7" x14ac:dyDescent="0.2">
      <c r="B80" s="337" t="s">
        <v>748</v>
      </c>
      <c r="C80" s="340" t="s">
        <v>754</v>
      </c>
      <c r="D80" s="82"/>
      <c r="E80" s="82"/>
      <c r="F80" s="83"/>
      <c r="G80" s="77"/>
    </row>
    <row r="81" spans="2:7" x14ac:dyDescent="0.2">
      <c r="B81" s="81"/>
      <c r="C81" s="294"/>
      <c r="D81" s="82"/>
      <c r="E81" s="82"/>
      <c r="F81" s="83"/>
      <c r="G81" s="77"/>
    </row>
    <row r="82" spans="2:7" x14ac:dyDescent="0.2">
      <c r="B82" s="81"/>
      <c r="C82" s="294"/>
      <c r="D82" s="82"/>
      <c r="E82" s="82"/>
      <c r="F82" s="83"/>
      <c r="G82" s="77"/>
    </row>
    <row r="83" spans="2:7" x14ac:dyDescent="0.2">
      <c r="B83" s="81"/>
      <c r="C83" s="294"/>
      <c r="D83" s="82"/>
      <c r="E83" s="82"/>
      <c r="F83" s="83"/>
      <c r="G83" s="77"/>
    </row>
    <row r="84" spans="2:7" x14ac:dyDescent="0.2">
      <c r="B84" s="81"/>
      <c r="C84" s="294"/>
      <c r="D84" s="82"/>
      <c r="E84" s="82"/>
      <c r="F84" s="83"/>
      <c r="G84" s="77"/>
    </row>
    <row r="85" spans="2:7" x14ac:dyDescent="0.2">
      <c r="B85" s="81"/>
      <c r="C85" s="294"/>
      <c r="D85" s="82"/>
      <c r="E85" s="82"/>
      <c r="F85" s="83"/>
      <c r="G85" s="77"/>
    </row>
    <row r="86" spans="2:7" x14ac:dyDescent="0.2">
      <c r="B86" s="81"/>
      <c r="C86" s="294"/>
      <c r="D86" s="82"/>
      <c r="E86" s="82"/>
      <c r="F86" s="83"/>
      <c r="G86" s="77"/>
    </row>
    <row r="87" spans="2:7" x14ac:dyDescent="0.2">
      <c r="B87" s="81"/>
      <c r="C87" s="294"/>
      <c r="D87" s="82"/>
      <c r="E87" s="82"/>
      <c r="F87" s="83"/>
      <c r="G87" s="77"/>
    </row>
    <row r="88" spans="2:7" x14ac:dyDescent="0.2">
      <c r="B88" s="81"/>
      <c r="C88" s="294"/>
      <c r="D88" s="82"/>
      <c r="E88" s="82"/>
      <c r="F88" s="83"/>
      <c r="G88" s="77"/>
    </row>
    <row r="89" spans="2:7" x14ac:dyDescent="0.2">
      <c r="B89" s="81"/>
      <c r="C89" s="294"/>
      <c r="D89" s="82"/>
      <c r="E89" s="82"/>
      <c r="F89" s="83"/>
      <c r="G89" s="77"/>
    </row>
    <row r="90" spans="2:7" x14ac:dyDescent="0.2">
      <c r="B90" s="81"/>
      <c r="C90" s="294"/>
      <c r="D90" s="82"/>
      <c r="E90" s="82"/>
      <c r="F90" s="83"/>
      <c r="G90" s="77"/>
    </row>
    <row r="91" spans="2:7" x14ac:dyDescent="0.2">
      <c r="B91" s="81"/>
      <c r="C91" s="294"/>
      <c r="D91" s="82"/>
      <c r="E91" s="82"/>
      <c r="F91" s="83"/>
      <c r="G91" s="77"/>
    </row>
    <row r="92" spans="2:7" x14ac:dyDescent="0.2">
      <c r="B92" s="81"/>
      <c r="C92" s="294"/>
      <c r="D92" s="82"/>
      <c r="E92" s="82"/>
      <c r="F92" s="83"/>
      <c r="G92" s="77"/>
    </row>
    <row r="93" spans="2:7" x14ac:dyDescent="0.2">
      <c r="B93" s="81"/>
      <c r="C93" s="294"/>
      <c r="D93" s="82"/>
      <c r="E93" s="82"/>
      <c r="F93" s="83"/>
      <c r="G93" s="77"/>
    </row>
    <row r="94" spans="2:7" x14ac:dyDescent="0.2">
      <c r="B94" s="81"/>
      <c r="C94" s="294"/>
      <c r="D94" s="82"/>
      <c r="E94" s="82"/>
      <c r="F94" s="83"/>
      <c r="G94" s="77"/>
    </row>
    <row r="95" spans="2:7" x14ac:dyDescent="0.2">
      <c r="B95" s="81"/>
      <c r="C95" s="294"/>
      <c r="D95" s="82"/>
      <c r="E95" s="82"/>
      <c r="F95" s="83"/>
      <c r="G95" s="77"/>
    </row>
    <row r="96" spans="2:7" x14ac:dyDescent="0.2">
      <c r="B96" s="81"/>
      <c r="C96" s="294"/>
      <c r="D96" s="82"/>
      <c r="E96" s="82"/>
      <c r="F96" s="83"/>
      <c r="G96" s="77"/>
    </row>
    <row r="97" spans="2:7" x14ac:dyDescent="0.2">
      <c r="B97" s="81"/>
      <c r="C97" s="294"/>
      <c r="D97" s="82"/>
      <c r="E97" s="82"/>
      <c r="F97" s="83"/>
      <c r="G97" s="77"/>
    </row>
    <row r="98" spans="2:7" x14ac:dyDescent="0.2">
      <c r="B98" s="430" t="s">
        <v>393</v>
      </c>
      <c r="C98" s="431"/>
      <c r="D98" s="431"/>
      <c r="E98" s="431"/>
      <c r="F98" s="431"/>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1770C-F9B3-4A9A-AE79-8F2439DFD3F3}">
  <sheetPr>
    <tabColor theme="5" tint="0.79998168889431442"/>
  </sheetPr>
  <dimension ref="A1"/>
  <sheetViews>
    <sheetView workbookViewId="0"/>
  </sheetViews>
  <sheetFormatPr defaultColWidth="9.28515625" defaultRowHeight="12.75" x14ac:dyDescent="0.2"/>
  <cols>
    <col min="1" max="16384" width="9.28515625" style="316"/>
  </cols>
  <sheetData>
    <row r="1" spans="1:1" x14ac:dyDescent="0.2">
      <c r="A1" s="322" t="s">
        <v>775</v>
      </c>
    </row>
  </sheetData>
  <pageMargins left="0.7" right="0.7" top="0.75" bottom="0.75" header="0.3" footer="0.3"/>
  <headerFooter>
    <oddFooter>&amp;C_x000D_&amp;1#&amp;"Aptos"&amp;10&amp;K008000 APA-INTERNAL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9A112-D45A-4F05-96C2-4D08C496704F}">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ColWidth="8.7109375" defaultRowHeight="12.75" x14ac:dyDescent="0.2"/>
  <cols>
    <col min="1" max="1" width="11.42578125" customWidth="1"/>
    <col min="2" max="2" width="47.42578125" customWidth="1"/>
    <col min="3" max="9" width="30.7109375" customWidth="1"/>
    <col min="10" max="60" width="10.7109375" customWidth="1"/>
    <col min="62" max="62" width="13.5703125" customWidth="1"/>
  </cols>
  <sheetData>
    <row r="1" spans="2:4" ht="20.25" x14ac:dyDescent="0.2">
      <c r="B1" s="145" t="s">
        <v>510</v>
      </c>
      <c r="C1" s="145"/>
    </row>
    <row r="2" spans="2:4" ht="25.5" customHeight="1" x14ac:dyDescent="0.2">
      <c r="B2" s="145" t="str">
        <f>IF(Tradingname=0," ",Tradingname)</f>
        <v>EAST AUSTRALIAN PIPELINE PTY LIMITED</v>
      </c>
      <c r="C2" s="145"/>
    </row>
    <row r="3" spans="2:4" ht="19.5" customHeight="1" x14ac:dyDescent="0.3">
      <c r="B3" s="145" t="s">
        <v>110</v>
      </c>
      <c r="C3" s="110">
        <f>IF(Yearending=0, "01/01/2000", Yearending)</f>
        <v>45838</v>
      </c>
    </row>
    <row r="4" spans="2:4" ht="20.25" x14ac:dyDescent="0.2">
      <c r="B4" s="102" t="s">
        <v>395</v>
      </c>
      <c r="C4" s="102"/>
    </row>
    <row r="5" spans="2:4" ht="12" customHeight="1" x14ac:dyDescent="0.2"/>
    <row r="6" spans="2:4" ht="12" customHeight="1" x14ac:dyDescent="0.2">
      <c r="B6" s="417" t="s">
        <v>398</v>
      </c>
      <c r="C6" s="417"/>
      <c r="D6" s="417"/>
    </row>
    <row r="7" spans="2:4" ht="12" customHeight="1" x14ac:dyDescent="0.2">
      <c r="B7" s="417"/>
      <c r="C7" s="417"/>
      <c r="D7" s="417"/>
    </row>
    <row r="8" spans="2:4" ht="12" customHeight="1" x14ac:dyDescent="0.2">
      <c r="B8" s="417"/>
      <c r="C8" s="417"/>
      <c r="D8" s="417"/>
    </row>
    <row r="9" spans="2:4" ht="12" customHeight="1" x14ac:dyDescent="0.2">
      <c r="B9" s="417"/>
      <c r="C9" s="417"/>
      <c r="D9" s="417"/>
    </row>
    <row r="10" spans="2:4" ht="12" customHeight="1" x14ac:dyDescent="0.2"/>
    <row r="11" spans="2:4" ht="12" customHeight="1" x14ac:dyDescent="0.2"/>
    <row r="12" spans="2:4" ht="15.75" x14ac:dyDescent="0.25">
      <c r="B12" s="206" t="s">
        <v>422</v>
      </c>
    </row>
    <row r="14" spans="2:4" ht="25.5" x14ac:dyDescent="0.2">
      <c r="B14" s="62" t="s">
        <v>515</v>
      </c>
      <c r="C14" s="61" t="s">
        <v>397</v>
      </c>
      <c r="D14" s="61" t="s">
        <v>396</v>
      </c>
    </row>
    <row r="15" spans="2:4" x14ac:dyDescent="0.2">
      <c r="B15" s="306" t="s">
        <v>749</v>
      </c>
      <c r="C15" s="73" t="s">
        <v>414</v>
      </c>
      <c r="D15" s="73" t="s">
        <v>711</v>
      </c>
    </row>
    <row r="16" spans="2:4" x14ac:dyDescent="0.2">
      <c r="B16" s="306" t="s">
        <v>749</v>
      </c>
      <c r="C16" s="73" t="s">
        <v>780</v>
      </c>
      <c r="D16" s="73" t="s">
        <v>711</v>
      </c>
    </row>
    <row r="17" spans="2:6" x14ac:dyDescent="0.2">
      <c r="B17" s="306"/>
      <c r="C17" s="73"/>
      <c r="D17" s="73"/>
    </row>
    <row r="18" spans="2:6" x14ac:dyDescent="0.2">
      <c r="B18" s="306"/>
      <c r="C18" s="115"/>
      <c r="D18" s="115"/>
    </row>
    <row r="19" spans="2:6" x14ac:dyDescent="0.2">
      <c r="B19" s="306"/>
      <c r="C19" s="115"/>
      <c r="D19" s="115"/>
    </row>
    <row r="22" spans="2:6" ht="15.75" x14ac:dyDescent="0.25">
      <c r="B22" s="206" t="s">
        <v>584</v>
      </c>
    </row>
    <row r="24" spans="2:6" s="9" customFormat="1" x14ac:dyDescent="0.2">
      <c r="B24" s="112"/>
      <c r="C24" s="113" t="s">
        <v>583</v>
      </c>
    </row>
    <row r="25" spans="2:6" s="9" customFormat="1" x14ac:dyDescent="0.2">
      <c r="B25" s="112"/>
      <c r="C25" s="112" t="s">
        <v>420</v>
      </c>
      <c r="D25" s="205"/>
    </row>
    <row r="26" spans="2:6" ht="14.25" x14ac:dyDescent="0.2">
      <c r="B26" s="123" t="s">
        <v>571</v>
      </c>
      <c r="C26" s="82">
        <f>C42/365</f>
        <v>649.35797260274228</v>
      </c>
      <c r="D26" s="204"/>
      <c r="E26" s="15"/>
      <c r="F26" s="15"/>
    </row>
    <row r="27" spans="2:6" ht="14.25" x14ac:dyDescent="0.2">
      <c r="B27" s="123" t="s">
        <v>661</v>
      </c>
      <c r="C27" s="82"/>
      <c r="D27" s="204"/>
      <c r="E27" s="15"/>
      <c r="F27" s="15"/>
    </row>
    <row r="28" spans="2:6" ht="14.25" x14ac:dyDescent="0.2">
      <c r="B28" s="123" t="s">
        <v>573</v>
      </c>
      <c r="C28" s="82"/>
      <c r="D28" s="204"/>
      <c r="E28" s="15"/>
      <c r="F28" s="15"/>
    </row>
    <row r="29" spans="2:6" ht="14.25" x14ac:dyDescent="0.2">
      <c r="B29" s="123" t="s">
        <v>574</v>
      </c>
      <c r="C29" s="82">
        <v>1037.5749999999998</v>
      </c>
      <c r="D29" s="204"/>
      <c r="E29" s="15"/>
      <c r="F29" s="15"/>
    </row>
    <row r="30" spans="2:6" ht="25.5" x14ac:dyDescent="0.2">
      <c r="B30" s="203" t="s">
        <v>575</v>
      </c>
      <c r="C30" s="82"/>
      <c r="D30" s="204"/>
      <c r="E30" s="15"/>
      <c r="F30" s="15"/>
    </row>
    <row r="31" spans="2:6" ht="14.25" x14ac:dyDescent="0.2">
      <c r="B31" s="123" t="s">
        <v>662</v>
      </c>
      <c r="C31" s="82">
        <v>142.20000000000002</v>
      </c>
      <c r="D31" s="204"/>
      <c r="E31" s="15"/>
      <c r="F31" s="15"/>
    </row>
    <row r="32" spans="2:6" ht="14.25" x14ac:dyDescent="0.2">
      <c r="B32" s="123" t="s">
        <v>577</v>
      </c>
      <c r="C32" s="82"/>
      <c r="D32" s="204"/>
      <c r="E32" s="15"/>
      <c r="F32" s="15"/>
    </row>
    <row r="33" spans="2:9" x14ac:dyDescent="0.2">
      <c r="B33" s="123" t="s">
        <v>578</v>
      </c>
      <c r="C33" s="82"/>
      <c r="D33" s="15"/>
      <c r="E33" s="15"/>
      <c r="F33" s="15"/>
    </row>
    <row r="34" spans="2:9" x14ac:dyDescent="0.2">
      <c r="B34" s="123" t="s">
        <v>579</v>
      </c>
      <c r="C34" s="82"/>
      <c r="D34" s="15"/>
      <c r="E34" s="15"/>
      <c r="F34" s="15"/>
    </row>
    <row r="35" spans="2:9" x14ac:dyDescent="0.2">
      <c r="B35" s="123" t="s">
        <v>519</v>
      </c>
      <c r="C35" s="82">
        <v>395.09999999999997</v>
      </c>
    </row>
    <row r="38" spans="2:9" ht="15.75" x14ac:dyDescent="0.25">
      <c r="B38" s="206" t="s">
        <v>423</v>
      </c>
    </row>
    <row r="40" spans="2:9" s="9" customFormat="1" ht="25.5" x14ac:dyDescent="0.2">
      <c r="B40" s="112"/>
      <c r="C40" s="113" t="s">
        <v>419</v>
      </c>
      <c r="D40" s="113" t="s">
        <v>418</v>
      </c>
      <c r="E40" s="113" t="s">
        <v>414</v>
      </c>
      <c r="F40" s="113" t="s">
        <v>563</v>
      </c>
      <c r="G40" s="113" t="s">
        <v>415</v>
      </c>
      <c r="H40" s="113" t="s">
        <v>416</v>
      </c>
      <c r="I40" s="113" t="s">
        <v>417</v>
      </c>
    </row>
    <row r="41" spans="2:9" s="9" customFormat="1" x14ac:dyDescent="0.2">
      <c r="B41" s="112"/>
      <c r="C41" s="114" t="s">
        <v>420</v>
      </c>
      <c r="D41" s="114" t="s">
        <v>420</v>
      </c>
      <c r="E41" s="114" t="s">
        <v>420</v>
      </c>
      <c r="F41" s="114" t="s">
        <v>420</v>
      </c>
      <c r="G41" s="113"/>
      <c r="H41" s="113"/>
      <c r="I41" s="113"/>
    </row>
    <row r="42" spans="2:9" x14ac:dyDescent="0.2">
      <c r="B42" s="202" t="s">
        <v>18</v>
      </c>
      <c r="C42" s="22">
        <f>SUM(C43:C408)</f>
        <v>237015.66000000093</v>
      </c>
      <c r="D42" s="22">
        <f>SUM(D43:D408)</f>
        <v>0</v>
      </c>
      <c r="E42" s="22">
        <f>SUM(E43:E408)</f>
        <v>71811.356999999975</v>
      </c>
      <c r="F42" s="22" t="s">
        <v>665</v>
      </c>
      <c r="G42" s="22">
        <f>SUM(G43:G408)</f>
        <v>180213.64300000007</v>
      </c>
      <c r="H42" s="22">
        <f>SUM(H43:H408)</f>
        <v>15009.339999999951</v>
      </c>
      <c r="I42" s="22">
        <f>SUM(I43:I408)</f>
        <v>165204.30300000001</v>
      </c>
    </row>
    <row r="43" spans="2:9" x14ac:dyDescent="0.2">
      <c r="B43" s="201">
        <f>IF(Yearstart=0, "1/01/1999", Yearstart)</f>
        <v>45474</v>
      </c>
      <c r="C43" s="92">
        <v>749.97</v>
      </c>
      <c r="D43" s="92"/>
      <c r="E43" s="92">
        <v>399.17</v>
      </c>
      <c r="F43" s="92">
        <v>705</v>
      </c>
      <c r="G43" s="22">
        <f>F43-E43</f>
        <v>305.83</v>
      </c>
      <c r="H43" s="22">
        <f>'5. Historical demand'!F43-'5. Historical demand'!C43-'5. Historical demand'!D43</f>
        <v>-44.970000000000027</v>
      </c>
      <c r="I43" s="22">
        <f>C43+D43-E43</f>
        <v>350.8</v>
      </c>
    </row>
    <row r="44" spans="2:9" x14ac:dyDescent="0.2">
      <c r="B44" s="201">
        <f t="shared" ref="B44:B107" si="0">IFERROR(IF(Yearending&gt;B43, B43+1, ""),"")</f>
        <v>45475</v>
      </c>
      <c r="C44" s="92">
        <v>749.97</v>
      </c>
      <c r="D44" s="92"/>
      <c r="E44" s="92">
        <v>389.24400000000003</v>
      </c>
      <c r="F44" s="92">
        <v>705</v>
      </c>
      <c r="G44" s="22">
        <f t="shared" ref="G44:G107" si="1">IFERROR(IF(Yearending&gt;B43,F44-E44,""),"")</f>
        <v>315.75599999999997</v>
      </c>
      <c r="H44" s="22">
        <f>IFERROR(IF(Yearending&gt;B43,'5. Historical demand'!F44-'5. Historical demand'!C44-'5. Historical demand'!D44,""),"")</f>
        <v>-44.970000000000027</v>
      </c>
      <c r="I44" s="22">
        <f t="shared" ref="I44:I107" si="2">IFERROR(IF(Yearending&gt;B43,C44+D44-E44,""),"")</f>
        <v>360.726</v>
      </c>
    </row>
    <row r="45" spans="2:9" x14ac:dyDescent="0.2">
      <c r="B45" s="201">
        <f t="shared" si="0"/>
        <v>45476</v>
      </c>
      <c r="C45" s="92">
        <v>749.97</v>
      </c>
      <c r="D45" s="92"/>
      <c r="E45" s="92">
        <v>384.57400000000001</v>
      </c>
      <c r="F45" s="92">
        <v>705</v>
      </c>
      <c r="G45" s="22">
        <f t="shared" si="1"/>
        <v>320.42599999999999</v>
      </c>
      <c r="H45" s="22">
        <f>IFERROR(IF(Yearending&gt;B44,'5. Historical demand'!F45-'5. Historical demand'!C45-'5. Historical demand'!D45,""),"")</f>
        <v>-44.970000000000027</v>
      </c>
      <c r="I45" s="22">
        <f t="shared" si="2"/>
        <v>365.39600000000002</v>
      </c>
    </row>
    <row r="46" spans="2:9" x14ac:dyDescent="0.2">
      <c r="B46" s="201">
        <f t="shared" si="0"/>
        <v>45477</v>
      </c>
      <c r="C46" s="92">
        <v>749.97</v>
      </c>
      <c r="D46" s="92"/>
      <c r="E46" s="92">
        <v>401.40800000000002</v>
      </c>
      <c r="F46" s="92">
        <v>705</v>
      </c>
      <c r="G46" s="22">
        <f t="shared" si="1"/>
        <v>303.59199999999998</v>
      </c>
      <c r="H46" s="22">
        <f>IFERROR(IF(Yearending&gt;B45,'5. Historical demand'!F46-'5. Historical demand'!C46-'5. Historical demand'!D46,""),"")</f>
        <v>-44.970000000000027</v>
      </c>
      <c r="I46" s="22">
        <f t="shared" si="2"/>
        <v>348.56200000000001</v>
      </c>
    </row>
    <row r="47" spans="2:9" x14ac:dyDescent="0.2">
      <c r="B47" s="201">
        <f t="shared" si="0"/>
        <v>45478</v>
      </c>
      <c r="C47" s="92">
        <v>749.97</v>
      </c>
      <c r="D47" s="92"/>
      <c r="E47" s="92">
        <v>399.99599999999998</v>
      </c>
      <c r="F47" s="92">
        <v>705</v>
      </c>
      <c r="G47" s="22">
        <f t="shared" si="1"/>
        <v>305.00400000000002</v>
      </c>
      <c r="H47" s="22">
        <f>IFERROR(IF(Yearending&gt;B46,'5. Historical demand'!F47-'5. Historical demand'!C47-'5. Historical demand'!D47,""),"")</f>
        <v>-44.970000000000027</v>
      </c>
      <c r="I47" s="22">
        <f t="shared" si="2"/>
        <v>349.97400000000005</v>
      </c>
    </row>
    <row r="48" spans="2:9" x14ac:dyDescent="0.2">
      <c r="B48" s="201">
        <f t="shared" si="0"/>
        <v>45479</v>
      </c>
      <c r="C48" s="92">
        <v>749.97</v>
      </c>
      <c r="D48" s="92"/>
      <c r="E48" s="92">
        <v>415.596</v>
      </c>
      <c r="F48" s="92">
        <v>705</v>
      </c>
      <c r="G48" s="22">
        <f t="shared" si="1"/>
        <v>289.404</v>
      </c>
      <c r="H48" s="22">
        <f>IFERROR(IF(Yearending&gt;B47,'5. Historical demand'!F48-'5. Historical demand'!C48-'5. Historical demand'!D48,""),"")</f>
        <v>-44.970000000000027</v>
      </c>
      <c r="I48" s="22">
        <f t="shared" si="2"/>
        <v>334.37400000000002</v>
      </c>
    </row>
    <row r="49" spans="2:9" x14ac:dyDescent="0.2">
      <c r="B49" s="201">
        <f t="shared" si="0"/>
        <v>45480</v>
      </c>
      <c r="C49" s="92">
        <v>749.97</v>
      </c>
      <c r="D49" s="92"/>
      <c r="E49" s="92">
        <v>396.49400000000003</v>
      </c>
      <c r="F49" s="92">
        <v>705</v>
      </c>
      <c r="G49" s="22">
        <f t="shared" si="1"/>
        <v>308.50599999999997</v>
      </c>
      <c r="H49" s="22">
        <f>IFERROR(IF(Yearending&gt;B48,'5. Historical demand'!F49-'5. Historical demand'!C49-'5. Historical demand'!D49,""),"")</f>
        <v>-44.970000000000027</v>
      </c>
      <c r="I49" s="22">
        <f t="shared" si="2"/>
        <v>353.476</v>
      </c>
    </row>
    <row r="50" spans="2:9" x14ac:dyDescent="0.2">
      <c r="B50" s="201">
        <f t="shared" si="0"/>
        <v>45481</v>
      </c>
      <c r="C50" s="92">
        <v>749.97</v>
      </c>
      <c r="D50" s="92"/>
      <c r="E50" s="92">
        <v>429.54199999999997</v>
      </c>
      <c r="F50" s="92">
        <v>705</v>
      </c>
      <c r="G50" s="22">
        <f t="shared" si="1"/>
        <v>275.45800000000003</v>
      </c>
      <c r="H50" s="22">
        <f>IFERROR(IF(Yearending&gt;B49,'5. Historical demand'!F50-'5. Historical demand'!C50-'5. Historical demand'!D50,""),"")</f>
        <v>-44.970000000000027</v>
      </c>
      <c r="I50" s="22">
        <f t="shared" si="2"/>
        <v>320.42800000000005</v>
      </c>
    </row>
    <row r="51" spans="2:9" x14ac:dyDescent="0.2">
      <c r="B51" s="201">
        <f t="shared" si="0"/>
        <v>45482</v>
      </c>
      <c r="C51" s="92">
        <v>749.97</v>
      </c>
      <c r="D51" s="92"/>
      <c r="E51" s="92">
        <v>317.88499999999999</v>
      </c>
      <c r="F51" s="92">
        <v>705</v>
      </c>
      <c r="G51" s="22">
        <f t="shared" si="1"/>
        <v>387.11500000000001</v>
      </c>
      <c r="H51" s="22">
        <f>IFERROR(IF(Yearending&gt;B50,'5. Historical demand'!F51-'5. Historical demand'!C51-'5. Historical demand'!D51,""),"")</f>
        <v>-44.970000000000027</v>
      </c>
      <c r="I51" s="22">
        <f t="shared" si="2"/>
        <v>432.08500000000004</v>
      </c>
    </row>
    <row r="52" spans="2:9" x14ac:dyDescent="0.2">
      <c r="B52" s="201">
        <f t="shared" si="0"/>
        <v>45483</v>
      </c>
      <c r="C52" s="92">
        <v>749.97</v>
      </c>
      <c r="D52" s="92"/>
      <c r="E52" s="92">
        <v>282.505</v>
      </c>
      <c r="F52" s="92">
        <v>705</v>
      </c>
      <c r="G52" s="22">
        <f t="shared" si="1"/>
        <v>422.495</v>
      </c>
      <c r="H52" s="22">
        <f>IFERROR(IF(Yearending&gt;B51,'5. Historical demand'!F52-'5. Historical demand'!C52-'5. Historical demand'!D52,""),"")</f>
        <v>-44.970000000000027</v>
      </c>
      <c r="I52" s="22">
        <f t="shared" si="2"/>
        <v>467.46500000000003</v>
      </c>
    </row>
    <row r="53" spans="2:9" x14ac:dyDescent="0.2">
      <c r="B53" s="201">
        <f t="shared" si="0"/>
        <v>45484</v>
      </c>
      <c r="C53" s="92">
        <v>749.97</v>
      </c>
      <c r="D53" s="92"/>
      <c r="E53" s="92">
        <v>371.50200000000001</v>
      </c>
      <c r="F53" s="92">
        <v>705</v>
      </c>
      <c r="G53" s="22">
        <f t="shared" si="1"/>
        <v>333.49799999999999</v>
      </c>
      <c r="H53" s="22">
        <f>IFERROR(IF(Yearending&gt;B52,'5. Historical demand'!F53-'5. Historical demand'!C53-'5. Historical demand'!D53,""),"")</f>
        <v>-44.970000000000027</v>
      </c>
      <c r="I53" s="22">
        <f t="shared" si="2"/>
        <v>378.46800000000002</v>
      </c>
    </row>
    <row r="54" spans="2:9" x14ac:dyDescent="0.2">
      <c r="B54" s="201">
        <f t="shared" si="0"/>
        <v>45485</v>
      </c>
      <c r="C54" s="92">
        <v>749.97</v>
      </c>
      <c r="D54" s="92"/>
      <c r="E54" s="92">
        <v>250.00200000000001</v>
      </c>
      <c r="F54" s="92">
        <v>705</v>
      </c>
      <c r="G54" s="22">
        <f t="shared" si="1"/>
        <v>454.99799999999999</v>
      </c>
      <c r="H54" s="22">
        <f>IFERROR(IF(Yearending&gt;B53,'5. Historical demand'!F54-'5. Historical demand'!C54-'5. Historical demand'!D54,""),"")</f>
        <v>-44.970000000000027</v>
      </c>
      <c r="I54" s="22">
        <f t="shared" si="2"/>
        <v>499.96800000000002</v>
      </c>
    </row>
    <row r="55" spans="2:9" x14ac:dyDescent="0.2">
      <c r="B55" s="201">
        <f t="shared" si="0"/>
        <v>45486</v>
      </c>
      <c r="C55" s="92">
        <v>749.97</v>
      </c>
      <c r="D55" s="92"/>
      <c r="E55" s="92">
        <v>318.50400000000002</v>
      </c>
      <c r="F55" s="92">
        <v>705</v>
      </c>
      <c r="G55" s="22">
        <f t="shared" si="1"/>
        <v>386.49599999999998</v>
      </c>
      <c r="H55" s="22">
        <f>IFERROR(IF(Yearending&gt;B54,'5. Historical demand'!F55-'5. Historical demand'!C55-'5. Historical demand'!D55,""),"")</f>
        <v>-44.970000000000027</v>
      </c>
      <c r="I55" s="22">
        <f t="shared" si="2"/>
        <v>431.46600000000001</v>
      </c>
    </row>
    <row r="56" spans="2:9" x14ac:dyDescent="0.2">
      <c r="B56" s="201">
        <f t="shared" si="0"/>
        <v>45487</v>
      </c>
      <c r="C56" s="92">
        <v>749.97</v>
      </c>
      <c r="D56" s="92"/>
      <c r="E56" s="92">
        <v>461.80200000000002</v>
      </c>
      <c r="F56" s="92">
        <v>705</v>
      </c>
      <c r="G56" s="22">
        <f t="shared" si="1"/>
        <v>243.19799999999998</v>
      </c>
      <c r="H56" s="22">
        <f>IFERROR(IF(Yearending&gt;B55,'5. Historical demand'!F56-'5. Historical demand'!C56-'5. Historical demand'!D56,""),"")</f>
        <v>-44.970000000000027</v>
      </c>
      <c r="I56" s="22">
        <f t="shared" si="2"/>
        <v>288.16800000000001</v>
      </c>
    </row>
    <row r="57" spans="2:9" x14ac:dyDescent="0.2">
      <c r="B57" s="201">
        <f t="shared" si="0"/>
        <v>45488</v>
      </c>
      <c r="C57" s="92">
        <v>749.97</v>
      </c>
      <c r="D57" s="92"/>
      <c r="E57" s="92">
        <v>431.14</v>
      </c>
      <c r="F57" s="92">
        <v>705</v>
      </c>
      <c r="G57" s="22">
        <f t="shared" si="1"/>
        <v>273.86</v>
      </c>
      <c r="H57" s="22">
        <f>IFERROR(IF(Yearending&gt;B56,'5. Historical demand'!F57-'5. Historical demand'!C57-'5. Historical demand'!D57,""),"")</f>
        <v>-44.970000000000027</v>
      </c>
      <c r="I57" s="22">
        <f t="shared" si="2"/>
        <v>318.83000000000004</v>
      </c>
    </row>
    <row r="58" spans="2:9" x14ac:dyDescent="0.2">
      <c r="B58" s="201">
        <f t="shared" si="0"/>
        <v>45489</v>
      </c>
      <c r="C58" s="92">
        <v>749.97</v>
      </c>
      <c r="D58" s="92"/>
      <c r="E58" s="92">
        <v>438.41800000000001</v>
      </c>
      <c r="F58" s="92">
        <v>705</v>
      </c>
      <c r="G58" s="22">
        <f t="shared" si="1"/>
        <v>266.58199999999999</v>
      </c>
      <c r="H58" s="22">
        <f>IFERROR(IF(Yearending&gt;B57,'5. Historical demand'!F58-'5. Historical demand'!C58-'5. Historical demand'!D58,""),"")</f>
        <v>-44.970000000000027</v>
      </c>
      <c r="I58" s="22">
        <f t="shared" si="2"/>
        <v>311.55200000000002</v>
      </c>
    </row>
    <row r="59" spans="2:9" x14ac:dyDescent="0.2">
      <c r="B59" s="201">
        <f t="shared" si="0"/>
        <v>45490</v>
      </c>
      <c r="C59" s="92">
        <v>749.97</v>
      </c>
      <c r="D59" s="92"/>
      <c r="E59" s="92">
        <v>459.14400000000001</v>
      </c>
      <c r="F59" s="92">
        <v>705</v>
      </c>
      <c r="G59" s="22">
        <f t="shared" si="1"/>
        <v>245.85599999999999</v>
      </c>
      <c r="H59" s="22">
        <f>IFERROR(IF(Yearending&gt;B58,'5. Historical demand'!F59-'5. Historical demand'!C59-'5. Historical demand'!D59,""),"")</f>
        <v>-44.970000000000027</v>
      </c>
      <c r="I59" s="22">
        <f t="shared" si="2"/>
        <v>290.82600000000002</v>
      </c>
    </row>
    <row r="60" spans="2:9" x14ac:dyDescent="0.2">
      <c r="B60" s="201">
        <f t="shared" si="0"/>
        <v>45491</v>
      </c>
      <c r="C60" s="92">
        <v>749.97</v>
      </c>
      <c r="D60" s="92"/>
      <c r="E60" s="92">
        <v>474.44299999999998</v>
      </c>
      <c r="F60" s="92">
        <v>705</v>
      </c>
      <c r="G60" s="22">
        <f t="shared" si="1"/>
        <v>230.55700000000002</v>
      </c>
      <c r="H60" s="22">
        <f>IFERROR(IF(Yearending&gt;B59,'5. Historical demand'!F60-'5. Historical demand'!C60-'5. Historical demand'!D60,""),"")</f>
        <v>-44.970000000000027</v>
      </c>
      <c r="I60" s="22">
        <f t="shared" si="2"/>
        <v>275.52700000000004</v>
      </c>
    </row>
    <row r="61" spans="2:9" x14ac:dyDescent="0.2">
      <c r="B61" s="201">
        <f t="shared" si="0"/>
        <v>45492</v>
      </c>
      <c r="C61" s="92">
        <v>749.97</v>
      </c>
      <c r="D61" s="92"/>
      <c r="E61" s="92">
        <v>430.08199999999999</v>
      </c>
      <c r="F61" s="92">
        <v>705</v>
      </c>
      <c r="G61" s="22">
        <f t="shared" si="1"/>
        <v>274.91800000000001</v>
      </c>
      <c r="H61" s="22">
        <f>IFERROR(IF(Yearending&gt;B60,'5. Historical demand'!F61-'5. Historical demand'!C61-'5. Historical demand'!D61,""),"")</f>
        <v>-44.970000000000027</v>
      </c>
      <c r="I61" s="22">
        <f t="shared" si="2"/>
        <v>319.88800000000003</v>
      </c>
    </row>
    <row r="62" spans="2:9" x14ac:dyDescent="0.2">
      <c r="B62" s="201">
        <f t="shared" si="0"/>
        <v>45493</v>
      </c>
      <c r="C62" s="92">
        <v>749.97</v>
      </c>
      <c r="D62" s="92"/>
      <c r="E62" s="92">
        <v>407.00200000000001</v>
      </c>
      <c r="F62" s="92">
        <v>705</v>
      </c>
      <c r="G62" s="22">
        <f t="shared" si="1"/>
        <v>297.99799999999999</v>
      </c>
      <c r="H62" s="22">
        <f>IFERROR(IF(Yearending&gt;B61,'5. Historical demand'!F62-'5. Historical demand'!C62-'5. Historical demand'!D62,""),"")</f>
        <v>-44.970000000000027</v>
      </c>
      <c r="I62" s="22">
        <f t="shared" si="2"/>
        <v>342.96800000000002</v>
      </c>
    </row>
    <row r="63" spans="2:9" x14ac:dyDescent="0.2">
      <c r="B63" s="201">
        <f t="shared" si="0"/>
        <v>45494</v>
      </c>
      <c r="C63" s="92">
        <v>749.97</v>
      </c>
      <c r="D63" s="92"/>
      <c r="E63" s="92">
        <v>433.31</v>
      </c>
      <c r="F63" s="92">
        <v>705</v>
      </c>
      <c r="G63" s="22">
        <f t="shared" si="1"/>
        <v>271.69</v>
      </c>
      <c r="H63" s="22">
        <f>IFERROR(IF(Yearending&gt;B62,'5. Historical demand'!F63-'5. Historical demand'!C63-'5. Historical demand'!D63,""),"")</f>
        <v>-44.970000000000027</v>
      </c>
      <c r="I63" s="22">
        <f t="shared" si="2"/>
        <v>316.66000000000003</v>
      </c>
    </row>
    <row r="64" spans="2:9" x14ac:dyDescent="0.2">
      <c r="B64" s="201">
        <f t="shared" si="0"/>
        <v>45495</v>
      </c>
      <c r="C64" s="92">
        <v>749.97</v>
      </c>
      <c r="D64" s="92"/>
      <c r="E64" s="92">
        <v>381.79700000000003</v>
      </c>
      <c r="F64" s="92">
        <v>705</v>
      </c>
      <c r="G64" s="22">
        <f t="shared" si="1"/>
        <v>323.20299999999997</v>
      </c>
      <c r="H64" s="22">
        <f>IFERROR(IF(Yearending&gt;B63,'5. Historical demand'!F64-'5. Historical demand'!C64-'5. Historical demand'!D64,""),"")</f>
        <v>-44.970000000000027</v>
      </c>
      <c r="I64" s="22">
        <f t="shared" si="2"/>
        <v>368.173</v>
      </c>
    </row>
    <row r="65" spans="2:9" x14ac:dyDescent="0.2">
      <c r="B65" s="201">
        <f t="shared" si="0"/>
        <v>45496</v>
      </c>
      <c r="C65" s="92">
        <v>749.97</v>
      </c>
      <c r="D65" s="92"/>
      <c r="E65" s="92">
        <v>433.64499999999998</v>
      </c>
      <c r="F65" s="92">
        <v>705</v>
      </c>
      <c r="G65" s="22">
        <f t="shared" si="1"/>
        <v>271.35500000000002</v>
      </c>
      <c r="H65" s="22">
        <f>IFERROR(IF(Yearending&gt;B64,'5. Historical demand'!F65-'5. Historical demand'!C65-'5. Historical demand'!D65,""),"")</f>
        <v>-44.970000000000027</v>
      </c>
      <c r="I65" s="22">
        <f t="shared" si="2"/>
        <v>316.32500000000005</v>
      </c>
    </row>
    <row r="66" spans="2:9" x14ac:dyDescent="0.2">
      <c r="B66" s="201">
        <f t="shared" si="0"/>
        <v>45497</v>
      </c>
      <c r="C66" s="92">
        <v>749.97</v>
      </c>
      <c r="D66" s="92"/>
      <c r="E66" s="92">
        <v>401.13200000000001</v>
      </c>
      <c r="F66" s="92">
        <v>705</v>
      </c>
      <c r="G66" s="22">
        <f t="shared" si="1"/>
        <v>303.86799999999999</v>
      </c>
      <c r="H66" s="22">
        <f>IFERROR(IF(Yearending&gt;B65,'5. Historical demand'!F66-'5. Historical demand'!C66-'5. Historical demand'!D66,""),"")</f>
        <v>-44.970000000000027</v>
      </c>
      <c r="I66" s="22">
        <f t="shared" si="2"/>
        <v>348.83800000000002</v>
      </c>
    </row>
    <row r="67" spans="2:9" x14ac:dyDescent="0.2">
      <c r="B67" s="201">
        <f t="shared" si="0"/>
        <v>45498</v>
      </c>
      <c r="C67" s="92">
        <v>749.97</v>
      </c>
      <c r="D67" s="92"/>
      <c r="E67" s="92">
        <v>367.99200000000002</v>
      </c>
      <c r="F67" s="92">
        <v>705</v>
      </c>
      <c r="G67" s="22">
        <f t="shared" si="1"/>
        <v>337.00799999999998</v>
      </c>
      <c r="H67" s="22">
        <f>IFERROR(IF(Yearending&gt;B66,'5. Historical demand'!F67-'5. Historical demand'!C67-'5. Historical demand'!D67,""),"")</f>
        <v>-44.970000000000027</v>
      </c>
      <c r="I67" s="22">
        <f t="shared" si="2"/>
        <v>381.97800000000001</v>
      </c>
    </row>
    <row r="68" spans="2:9" x14ac:dyDescent="0.2">
      <c r="B68" s="201">
        <f t="shared" si="0"/>
        <v>45499</v>
      </c>
      <c r="C68" s="92">
        <v>749.97</v>
      </c>
      <c r="D68" s="92"/>
      <c r="E68" s="92">
        <v>404</v>
      </c>
      <c r="F68" s="92">
        <v>705</v>
      </c>
      <c r="G68" s="22">
        <f t="shared" si="1"/>
        <v>301</v>
      </c>
      <c r="H68" s="22">
        <f>IFERROR(IF(Yearending&gt;B67,'5. Historical demand'!F68-'5. Historical demand'!C68-'5. Historical demand'!D68,""),"")</f>
        <v>-44.970000000000027</v>
      </c>
      <c r="I68" s="22">
        <f t="shared" si="2"/>
        <v>345.97</v>
      </c>
    </row>
    <row r="69" spans="2:9" x14ac:dyDescent="0.2">
      <c r="B69" s="201">
        <f t="shared" si="0"/>
        <v>45500</v>
      </c>
      <c r="C69" s="92">
        <v>749.97</v>
      </c>
      <c r="D69" s="92"/>
      <c r="E69" s="92">
        <v>330.512</v>
      </c>
      <c r="F69" s="92">
        <v>705</v>
      </c>
      <c r="G69" s="22">
        <f t="shared" si="1"/>
        <v>374.488</v>
      </c>
      <c r="H69" s="22">
        <f>IFERROR(IF(Yearending&gt;B68,'5. Historical demand'!F69-'5. Historical demand'!C69-'5. Historical demand'!D69,""),"")</f>
        <v>-44.970000000000027</v>
      </c>
      <c r="I69" s="22">
        <f t="shared" si="2"/>
        <v>419.45800000000003</v>
      </c>
    </row>
    <row r="70" spans="2:9" x14ac:dyDescent="0.2">
      <c r="B70" s="201">
        <f t="shared" si="0"/>
        <v>45501</v>
      </c>
      <c r="C70" s="92">
        <v>749.97</v>
      </c>
      <c r="D70" s="92"/>
      <c r="E70" s="92">
        <v>361.3</v>
      </c>
      <c r="F70" s="92">
        <v>705</v>
      </c>
      <c r="G70" s="22">
        <f t="shared" si="1"/>
        <v>343.7</v>
      </c>
      <c r="H70" s="22">
        <f>IFERROR(IF(Yearending&gt;B69,'5. Historical demand'!F70-'5. Historical demand'!C70-'5. Historical demand'!D70,""),"")</f>
        <v>-44.970000000000027</v>
      </c>
      <c r="I70" s="22">
        <f t="shared" si="2"/>
        <v>388.67</v>
      </c>
    </row>
    <row r="71" spans="2:9" x14ac:dyDescent="0.2">
      <c r="B71" s="201">
        <f t="shared" si="0"/>
        <v>45502</v>
      </c>
      <c r="C71" s="92">
        <v>749.97</v>
      </c>
      <c r="D71" s="92"/>
      <c r="E71" s="92">
        <v>325.85300000000001</v>
      </c>
      <c r="F71" s="92">
        <v>705</v>
      </c>
      <c r="G71" s="22">
        <f t="shared" si="1"/>
        <v>379.14699999999999</v>
      </c>
      <c r="H71" s="22">
        <f>IFERROR(IF(Yearending&gt;B70,'5. Historical demand'!F71-'5. Historical demand'!C71-'5. Historical demand'!D71,""),"")</f>
        <v>-44.970000000000027</v>
      </c>
      <c r="I71" s="22">
        <f t="shared" si="2"/>
        <v>424.11700000000002</v>
      </c>
    </row>
    <row r="72" spans="2:9" x14ac:dyDescent="0.2">
      <c r="B72" s="201">
        <f t="shared" si="0"/>
        <v>45503</v>
      </c>
      <c r="C72" s="92">
        <v>749.97</v>
      </c>
      <c r="D72" s="92"/>
      <c r="E72" s="92">
        <v>272.45499999999998</v>
      </c>
      <c r="F72" s="92">
        <v>705</v>
      </c>
      <c r="G72" s="22">
        <f t="shared" si="1"/>
        <v>432.54500000000002</v>
      </c>
      <c r="H72" s="22">
        <f>IFERROR(IF(Yearending&gt;B71,'5. Historical demand'!F72-'5. Historical demand'!C72-'5. Historical demand'!D72,""),"")</f>
        <v>-44.970000000000027</v>
      </c>
      <c r="I72" s="22">
        <f t="shared" si="2"/>
        <v>477.51500000000004</v>
      </c>
    </row>
    <row r="73" spans="2:9" x14ac:dyDescent="0.2">
      <c r="B73" s="201">
        <f t="shared" si="0"/>
        <v>45504</v>
      </c>
      <c r="C73" s="92">
        <v>749.97</v>
      </c>
      <c r="D73" s="92"/>
      <c r="E73" s="92">
        <v>315.00099999999998</v>
      </c>
      <c r="F73" s="92">
        <v>705</v>
      </c>
      <c r="G73" s="22">
        <f t="shared" si="1"/>
        <v>389.99900000000002</v>
      </c>
      <c r="H73" s="22">
        <f>IFERROR(IF(Yearending&gt;B72,'5. Historical demand'!F73-'5. Historical demand'!C73-'5. Historical demand'!D73,""),"")</f>
        <v>-44.970000000000027</v>
      </c>
      <c r="I73" s="22">
        <f t="shared" si="2"/>
        <v>434.96900000000005</v>
      </c>
    </row>
    <row r="74" spans="2:9" x14ac:dyDescent="0.2">
      <c r="B74" s="201">
        <f t="shared" si="0"/>
        <v>45505</v>
      </c>
      <c r="C74" s="92">
        <v>749.97</v>
      </c>
      <c r="D74" s="92"/>
      <c r="E74" s="92">
        <v>340.101</v>
      </c>
      <c r="F74" s="92">
        <v>705</v>
      </c>
      <c r="G74" s="22">
        <f t="shared" si="1"/>
        <v>364.899</v>
      </c>
      <c r="H74" s="22">
        <f>IFERROR(IF(Yearending&gt;B73,'5. Historical demand'!F74-'5. Historical demand'!C74-'5. Historical demand'!D74,""),"")</f>
        <v>-44.970000000000027</v>
      </c>
      <c r="I74" s="22">
        <f t="shared" si="2"/>
        <v>409.86900000000003</v>
      </c>
    </row>
    <row r="75" spans="2:9" x14ac:dyDescent="0.2">
      <c r="B75" s="201">
        <f t="shared" si="0"/>
        <v>45506</v>
      </c>
      <c r="C75" s="92">
        <v>749.97</v>
      </c>
      <c r="D75" s="92"/>
      <c r="E75" s="92">
        <v>311.50299999999999</v>
      </c>
      <c r="F75" s="92">
        <v>705</v>
      </c>
      <c r="G75" s="22">
        <f t="shared" si="1"/>
        <v>393.49700000000001</v>
      </c>
      <c r="H75" s="22">
        <f>IFERROR(IF(Yearending&gt;B74,'5. Historical demand'!F75-'5. Historical demand'!C75-'5. Historical demand'!D75,""),"")</f>
        <v>-44.970000000000027</v>
      </c>
      <c r="I75" s="22">
        <f t="shared" si="2"/>
        <v>438.46700000000004</v>
      </c>
    </row>
    <row r="76" spans="2:9" x14ac:dyDescent="0.2">
      <c r="B76" s="201">
        <f t="shared" si="0"/>
        <v>45507</v>
      </c>
      <c r="C76" s="92">
        <v>749.97</v>
      </c>
      <c r="D76" s="92"/>
      <c r="E76" s="92">
        <v>219.76599999999999</v>
      </c>
      <c r="F76" s="92">
        <v>705</v>
      </c>
      <c r="G76" s="22">
        <f t="shared" si="1"/>
        <v>485.23400000000004</v>
      </c>
      <c r="H76" s="22">
        <f>IFERROR(IF(Yearending&gt;B75,'5. Historical demand'!F76-'5. Historical demand'!C76-'5. Historical demand'!D76,""),"")</f>
        <v>-44.970000000000027</v>
      </c>
      <c r="I76" s="22">
        <f t="shared" si="2"/>
        <v>530.20400000000006</v>
      </c>
    </row>
    <row r="77" spans="2:9" x14ac:dyDescent="0.2">
      <c r="B77" s="201">
        <f t="shared" si="0"/>
        <v>45508</v>
      </c>
      <c r="C77" s="92">
        <v>749.97</v>
      </c>
      <c r="D77" s="92"/>
      <c r="E77" s="92">
        <v>186.93600000000001</v>
      </c>
      <c r="F77" s="92">
        <v>705</v>
      </c>
      <c r="G77" s="22">
        <f t="shared" si="1"/>
        <v>518.06399999999996</v>
      </c>
      <c r="H77" s="22">
        <f>IFERROR(IF(Yearending&gt;B76,'5. Historical demand'!F77-'5. Historical demand'!C77-'5. Historical demand'!D77,""),"")</f>
        <v>-44.970000000000027</v>
      </c>
      <c r="I77" s="22">
        <f t="shared" si="2"/>
        <v>563.03399999999999</v>
      </c>
    </row>
    <row r="78" spans="2:9" x14ac:dyDescent="0.2">
      <c r="B78" s="201">
        <f t="shared" si="0"/>
        <v>45509</v>
      </c>
      <c r="C78" s="92">
        <v>749.97</v>
      </c>
      <c r="D78" s="92"/>
      <c r="E78" s="92">
        <v>263.99700000000001</v>
      </c>
      <c r="F78" s="92">
        <v>705</v>
      </c>
      <c r="G78" s="22">
        <f t="shared" si="1"/>
        <v>441.00299999999999</v>
      </c>
      <c r="H78" s="22">
        <f>IFERROR(IF(Yearending&gt;B77,'5. Historical demand'!F78-'5. Historical demand'!C78-'5. Historical demand'!D78,""),"")</f>
        <v>-44.970000000000027</v>
      </c>
      <c r="I78" s="22">
        <f t="shared" si="2"/>
        <v>485.97300000000001</v>
      </c>
    </row>
    <row r="79" spans="2:9" x14ac:dyDescent="0.2">
      <c r="B79" s="201">
        <f t="shared" si="0"/>
        <v>45510</v>
      </c>
      <c r="C79" s="92">
        <v>749.97</v>
      </c>
      <c r="D79" s="92"/>
      <c r="E79" s="92">
        <v>290.56700000000001</v>
      </c>
      <c r="F79" s="92">
        <v>705</v>
      </c>
      <c r="G79" s="22">
        <f t="shared" si="1"/>
        <v>414.43299999999999</v>
      </c>
      <c r="H79" s="22">
        <f>IFERROR(IF(Yearending&gt;B78,'5. Historical demand'!F79-'5. Historical demand'!C79-'5. Historical demand'!D79,""),"")</f>
        <v>-44.970000000000027</v>
      </c>
      <c r="I79" s="22">
        <f t="shared" si="2"/>
        <v>459.40300000000002</v>
      </c>
    </row>
    <row r="80" spans="2:9" x14ac:dyDescent="0.2">
      <c r="B80" s="201">
        <f t="shared" si="0"/>
        <v>45511</v>
      </c>
      <c r="C80" s="92">
        <v>749.97</v>
      </c>
      <c r="D80" s="92"/>
      <c r="E80" s="92">
        <v>303.99599999999998</v>
      </c>
      <c r="F80" s="92">
        <v>705</v>
      </c>
      <c r="G80" s="22">
        <f t="shared" si="1"/>
        <v>401.00400000000002</v>
      </c>
      <c r="H80" s="22">
        <f>IFERROR(IF(Yearending&gt;B79,'5. Historical demand'!F80-'5. Historical demand'!C80-'5. Historical demand'!D80,""),"")</f>
        <v>-44.970000000000027</v>
      </c>
      <c r="I80" s="22">
        <f t="shared" si="2"/>
        <v>445.97400000000005</v>
      </c>
    </row>
    <row r="81" spans="2:9" x14ac:dyDescent="0.2">
      <c r="B81" s="201">
        <f t="shared" si="0"/>
        <v>45512</v>
      </c>
      <c r="C81" s="92">
        <v>749.97</v>
      </c>
      <c r="D81" s="92"/>
      <c r="E81" s="92">
        <v>270.00400000000002</v>
      </c>
      <c r="F81" s="92">
        <v>705</v>
      </c>
      <c r="G81" s="22">
        <f t="shared" si="1"/>
        <v>434.99599999999998</v>
      </c>
      <c r="H81" s="22">
        <f>IFERROR(IF(Yearending&gt;B80,'5. Historical demand'!F81-'5. Historical demand'!C81-'5. Historical demand'!D81,""),"")</f>
        <v>-44.970000000000027</v>
      </c>
      <c r="I81" s="22">
        <f t="shared" si="2"/>
        <v>479.96600000000001</v>
      </c>
    </row>
    <row r="82" spans="2:9" x14ac:dyDescent="0.2">
      <c r="B82" s="201">
        <f t="shared" si="0"/>
        <v>45513</v>
      </c>
      <c r="C82" s="92">
        <v>749.97</v>
      </c>
      <c r="D82" s="92"/>
      <c r="E82" s="92">
        <v>342.15600000000001</v>
      </c>
      <c r="F82" s="92">
        <v>705</v>
      </c>
      <c r="G82" s="22">
        <f t="shared" si="1"/>
        <v>362.84399999999999</v>
      </c>
      <c r="H82" s="22">
        <f>IFERROR(IF(Yearending&gt;B81,'5. Historical demand'!F82-'5. Historical demand'!C82-'5. Historical demand'!D82,""),"")</f>
        <v>-44.970000000000027</v>
      </c>
      <c r="I82" s="22">
        <f t="shared" si="2"/>
        <v>407.81400000000002</v>
      </c>
    </row>
    <row r="83" spans="2:9" x14ac:dyDescent="0.2">
      <c r="B83" s="201">
        <f t="shared" si="0"/>
        <v>45514</v>
      </c>
      <c r="C83" s="92">
        <v>749.97</v>
      </c>
      <c r="D83" s="92"/>
      <c r="E83" s="92">
        <v>258.98700000000002</v>
      </c>
      <c r="F83" s="92">
        <v>705</v>
      </c>
      <c r="G83" s="22">
        <f t="shared" si="1"/>
        <v>446.01299999999998</v>
      </c>
      <c r="H83" s="22">
        <f>IFERROR(IF(Yearending&gt;B82,'5. Historical demand'!F83-'5. Historical demand'!C83-'5. Historical demand'!D83,""),"")</f>
        <v>-44.970000000000027</v>
      </c>
      <c r="I83" s="22">
        <f t="shared" si="2"/>
        <v>490.983</v>
      </c>
    </row>
    <row r="84" spans="2:9" x14ac:dyDescent="0.2">
      <c r="B84" s="201">
        <f t="shared" si="0"/>
        <v>45515</v>
      </c>
      <c r="C84" s="92">
        <v>749.97</v>
      </c>
      <c r="D84" s="92"/>
      <c r="E84" s="92">
        <v>285</v>
      </c>
      <c r="F84" s="92">
        <v>705</v>
      </c>
      <c r="G84" s="22">
        <f t="shared" si="1"/>
        <v>420</v>
      </c>
      <c r="H84" s="22">
        <f>IFERROR(IF(Yearending&gt;B83,'5. Historical demand'!F84-'5. Historical demand'!C84-'5. Historical demand'!D84,""),"")</f>
        <v>-44.970000000000027</v>
      </c>
      <c r="I84" s="22">
        <f t="shared" si="2"/>
        <v>464.97</v>
      </c>
    </row>
    <row r="85" spans="2:9" x14ac:dyDescent="0.2">
      <c r="B85" s="201">
        <f t="shared" si="0"/>
        <v>45516</v>
      </c>
      <c r="C85" s="92">
        <v>749.97</v>
      </c>
      <c r="D85" s="92"/>
      <c r="E85" s="92">
        <v>291.30399999999997</v>
      </c>
      <c r="F85" s="92">
        <v>705</v>
      </c>
      <c r="G85" s="22">
        <f t="shared" si="1"/>
        <v>413.69600000000003</v>
      </c>
      <c r="H85" s="22">
        <f>IFERROR(IF(Yearending&gt;B84,'5. Historical demand'!F85-'5. Historical demand'!C85-'5. Historical demand'!D85,""),"")</f>
        <v>-44.970000000000027</v>
      </c>
      <c r="I85" s="22">
        <f t="shared" si="2"/>
        <v>458.66600000000005</v>
      </c>
    </row>
    <row r="86" spans="2:9" x14ac:dyDescent="0.2">
      <c r="B86" s="201">
        <f t="shared" si="0"/>
        <v>45517</v>
      </c>
      <c r="C86" s="92">
        <v>749.97</v>
      </c>
      <c r="D86" s="92"/>
      <c r="E86" s="92">
        <v>237.53</v>
      </c>
      <c r="F86" s="92">
        <v>705</v>
      </c>
      <c r="G86" s="22">
        <f t="shared" si="1"/>
        <v>467.47</v>
      </c>
      <c r="H86" s="22">
        <f>IFERROR(IF(Yearending&gt;B85,'5. Historical demand'!F86-'5. Historical demand'!C86-'5. Historical demand'!D86,""),"")</f>
        <v>-44.970000000000027</v>
      </c>
      <c r="I86" s="22">
        <f t="shared" si="2"/>
        <v>512.44000000000005</v>
      </c>
    </row>
    <row r="87" spans="2:9" x14ac:dyDescent="0.2">
      <c r="B87" s="201">
        <f t="shared" si="0"/>
        <v>45518</v>
      </c>
      <c r="C87" s="92">
        <v>749.97</v>
      </c>
      <c r="D87" s="92"/>
      <c r="E87" s="92">
        <v>259.99700000000001</v>
      </c>
      <c r="F87" s="92">
        <v>705</v>
      </c>
      <c r="G87" s="22">
        <f t="shared" si="1"/>
        <v>445.00299999999999</v>
      </c>
      <c r="H87" s="22">
        <f>IFERROR(IF(Yearending&gt;B86,'5. Historical demand'!F87-'5. Historical demand'!C87-'5. Historical demand'!D87,""),"")</f>
        <v>-44.970000000000027</v>
      </c>
      <c r="I87" s="22">
        <f t="shared" si="2"/>
        <v>489.97300000000001</v>
      </c>
    </row>
    <row r="88" spans="2:9" x14ac:dyDescent="0.2">
      <c r="B88" s="201">
        <f t="shared" si="0"/>
        <v>45519</v>
      </c>
      <c r="C88" s="92">
        <v>749.97</v>
      </c>
      <c r="D88" s="92"/>
      <c r="E88" s="92">
        <v>260.79000000000002</v>
      </c>
      <c r="F88" s="92">
        <v>705</v>
      </c>
      <c r="G88" s="22">
        <f t="shared" si="1"/>
        <v>444.21</v>
      </c>
      <c r="H88" s="22">
        <f>IFERROR(IF(Yearending&gt;B87,'5. Historical demand'!F88-'5. Historical demand'!C88-'5. Historical demand'!D88,""),"")</f>
        <v>-44.970000000000027</v>
      </c>
      <c r="I88" s="22">
        <f t="shared" si="2"/>
        <v>489.18</v>
      </c>
    </row>
    <row r="89" spans="2:9" x14ac:dyDescent="0.2">
      <c r="B89" s="201">
        <f t="shared" si="0"/>
        <v>45520</v>
      </c>
      <c r="C89" s="92">
        <v>749.97</v>
      </c>
      <c r="D89" s="92"/>
      <c r="E89" s="92">
        <v>178.16800000000001</v>
      </c>
      <c r="F89" s="92">
        <v>705</v>
      </c>
      <c r="G89" s="22">
        <f t="shared" si="1"/>
        <v>526.83199999999999</v>
      </c>
      <c r="H89" s="22">
        <f>IFERROR(IF(Yearending&gt;B88,'5. Historical demand'!F89-'5. Historical demand'!C89-'5. Historical demand'!D89,""),"")</f>
        <v>-44.970000000000027</v>
      </c>
      <c r="I89" s="22">
        <f t="shared" si="2"/>
        <v>571.80200000000002</v>
      </c>
    </row>
    <row r="90" spans="2:9" x14ac:dyDescent="0.2">
      <c r="B90" s="201">
        <f t="shared" si="0"/>
        <v>45521</v>
      </c>
      <c r="C90" s="92">
        <v>749.97</v>
      </c>
      <c r="D90" s="92"/>
      <c r="E90" s="92">
        <v>128.57300000000001</v>
      </c>
      <c r="F90" s="92">
        <v>705</v>
      </c>
      <c r="G90" s="22">
        <f t="shared" si="1"/>
        <v>576.42700000000002</v>
      </c>
      <c r="H90" s="22">
        <f>IFERROR(IF(Yearending&gt;B89,'5. Historical demand'!F90-'5. Historical demand'!C90-'5. Historical demand'!D90,""),"")</f>
        <v>-44.970000000000027</v>
      </c>
      <c r="I90" s="22">
        <f t="shared" si="2"/>
        <v>621.39700000000005</v>
      </c>
    </row>
    <row r="91" spans="2:9" x14ac:dyDescent="0.2">
      <c r="B91" s="201">
        <f t="shared" si="0"/>
        <v>45522</v>
      </c>
      <c r="C91" s="92">
        <v>749.97</v>
      </c>
      <c r="D91" s="92"/>
      <c r="E91" s="92">
        <v>138.83199999999999</v>
      </c>
      <c r="F91" s="92">
        <v>705</v>
      </c>
      <c r="G91" s="22">
        <f t="shared" si="1"/>
        <v>566.16800000000001</v>
      </c>
      <c r="H91" s="22">
        <f>IFERROR(IF(Yearending&gt;B90,'5. Historical demand'!F91-'5. Historical demand'!C91-'5. Historical demand'!D91,""),"")</f>
        <v>-44.970000000000027</v>
      </c>
      <c r="I91" s="22">
        <f t="shared" si="2"/>
        <v>611.13800000000003</v>
      </c>
    </row>
    <row r="92" spans="2:9" x14ac:dyDescent="0.2">
      <c r="B92" s="201">
        <f t="shared" si="0"/>
        <v>45523</v>
      </c>
      <c r="C92" s="92">
        <v>749.97</v>
      </c>
      <c r="D92" s="92"/>
      <c r="E92" s="92">
        <v>402.00799999999998</v>
      </c>
      <c r="F92" s="92">
        <v>705</v>
      </c>
      <c r="G92" s="22">
        <f t="shared" si="1"/>
        <v>302.99200000000002</v>
      </c>
      <c r="H92" s="22">
        <f>IFERROR(IF(Yearending&gt;B91,'5. Historical demand'!F92-'5. Historical demand'!C92-'5. Historical demand'!D92,""),"")</f>
        <v>-44.970000000000027</v>
      </c>
      <c r="I92" s="22">
        <f t="shared" si="2"/>
        <v>347.96200000000005</v>
      </c>
    </row>
    <row r="93" spans="2:9" x14ac:dyDescent="0.2">
      <c r="B93" s="201">
        <f t="shared" si="0"/>
        <v>45524</v>
      </c>
      <c r="C93" s="92">
        <v>749.97</v>
      </c>
      <c r="D93" s="92"/>
      <c r="E93" s="92">
        <v>248</v>
      </c>
      <c r="F93" s="92">
        <v>705</v>
      </c>
      <c r="G93" s="22">
        <f t="shared" si="1"/>
        <v>457</v>
      </c>
      <c r="H93" s="22">
        <f>IFERROR(IF(Yearending&gt;B92,'5. Historical demand'!F93-'5. Historical demand'!C93-'5. Historical demand'!D93,""),"")</f>
        <v>-44.970000000000027</v>
      </c>
      <c r="I93" s="22">
        <f t="shared" si="2"/>
        <v>501.97</v>
      </c>
    </row>
    <row r="94" spans="2:9" x14ac:dyDescent="0.2">
      <c r="B94" s="201">
        <f t="shared" si="0"/>
        <v>45525</v>
      </c>
      <c r="C94" s="92">
        <v>749.97</v>
      </c>
      <c r="D94" s="92"/>
      <c r="E94" s="92">
        <v>231.99600000000001</v>
      </c>
      <c r="F94" s="92">
        <v>705</v>
      </c>
      <c r="G94" s="22">
        <f t="shared" si="1"/>
        <v>473.00400000000002</v>
      </c>
      <c r="H94" s="22">
        <f>IFERROR(IF(Yearending&gt;B93,'5. Historical demand'!F94-'5. Historical demand'!C94-'5. Historical demand'!D94,""),"")</f>
        <v>-44.970000000000027</v>
      </c>
      <c r="I94" s="22">
        <f t="shared" si="2"/>
        <v>517.97400000000005</v>
      </c>
    </row>
    <row r="95" spans="2:9" x14ac:dyDescent="0.2">
      <c r="B95" s="201">
        <f t="shared" si="0"/>
        <v>45526</v>
      </c>
      <c r="C95" s="92">
        <v>749.97</v>
      </c>
      <c r="D95" s="92"/>
      <c r="E95" s="92">
        <v>253.77099999999999</v>
      </c>
      <c r="F95" s="92">
        <v>705</v>
      </c>
      <c r="G95" s="22">
        <f t="shared" si="1"/>
        <v>451.22900000000004</v>
      </c>
      <c r="H95" s="22">
        <f>IFERROR(IF(Yearending&gt;B94,'5. Historical demand'!F95-'5. Historical demand'!C95-'5. Historical demand'!D95,""),"")</f>
        <v>-44.970000000000027</v>
      </c>
      <c r="I95" s="22">
        <f t="shared" si="2"/>
        <v>496.19900000000007</v>
      </c>
    </row>
    <row r="96" spans="2:9" x14ac:dyDescent="0.2">
      <c r="B96" s="201">
        <f t="shared" si="0"/>
        <v>45527</v>
      </c>
      <c r="C96" s="92">
        <v>749.97</v>
      </c>
      <c r="D96" s="92"/>
      <c r="E96" s="92">
        <v>206.92099999999999</v>
      </c>
      <c r="F96" s="92">
        <v>705</v>
      </c>
      <c r="G96" s="22">
        <f t="shared" si="1"/>
        <v>498.07900000000001</v>
      </c>
      <c r="H96" s="22">
        <f>IFERROR(IF(Yearending&gt;B95,'5. Historical demand'!F96-'5. Historical demand'!C96-'5. Historical demand'!D96,""),"")</f>
        <v>-44.970000000000027</v>
      </c>
      <c r="I96" s="22">
        <f t="shared" si="2"/>
        <v>543.04899999999998</v>
      </c>
    </row>
    <row r="97" spans="2:9" x14ac:dyDescent="0.2">
      <c r="B97" s="201">
        <f t="shared" si="0"/>
        <v>45528</v>
      </c>
      <c r="C97" s="92">
        <v>749.97</v>
      </c>
      <c r="D97" s="92"/>
      <c r="E97" s="92">
        <v>19.064</v>
      </c>
      <c r="F97" s="92">
        <v>705</v>
      </c>
      <c r="G97" s="22">
        <f t="shared" si="1"/>
        <v>685.93600000000004</v>
      </c>
      <c r="H97" s="22">
        <f>IFERROR(IF(Yearending&gt;B96,'5. Historical demand'!F97-'5. Historical demand'!C97-'5. Historical demand'!D97,""),"")</f>
        <v>-44.970000000000027</v>
      </c>
      <c r="I97" s="22">
        <f t="shared" si="2"/>
        <v>730.90600000000006</v>
      </c>
    </row>
    <row r="98" spans="2:9" x14ac:dyDescent="0.2">
      <c r="B98" s="201">
        <f t="shared" si="0"/>
        <v>45529</v>
      </c>
      <c r="C98" s="92">
        <v>749.97</v>
      </c>
      <c r="D98" s="92"/>
      <c r="E98" s="92">
        <v>37.102000000000004</v>
      </c>
      <c r="F98" s="92">
        <v>705</v>
      </c>
      <c r="G98" s="22">
        <f t="shared" si="1"/>
        <v>667.89800000000002</v>
      </c>
      <c r="H98" s="22">
        <f>IFERROR(IF(Yearending&gt;B97,'5. Historical demand'!F98-'5. Historical demand'!C98-'5. Historical demand'!D98,""),"")</f>
        <v>-44.970000000000027</v>
      </c>
      <c r="I98" s="22">
        <f t="shared" si="2"/>
        <v>712.86800000000005</v>
      </c>
    </row>
    <row r="99" spans="2:9" x14ac:dyDescent="0.2">
      <c r="B99" s="201">
        <f t="shared" si="0"/>
        <v>45530</v>
      </c>
      <c r="C99" s="92">
        <v>749.97</v>
      </c>
      <c r="D99" s="92"/>
      <c r="E99" s="92">
        <v>199.46199999999999</v>
      </c>
      <c r="F99" s="92">
        <v>705</v>
      </c>
      <c r="G99" s="22">
        <f t="shared" si="1"/>
        <v>505.53800000000001</v>
      </c>
      <c r="H99" s="22">
        <f>IFERROR(IF(Yearending&gt;B98,'5. Historical demand'!F99-'5. Historical demand'!C99-'5. Historical demand'!D99,""),"")</f>
        <v>-44.970000000000027</v>
      </c>
      <c r="I99" s="22">
        <f t="shared" si="2"/>
        <v>550.50800000000004</v>
      </c>
    </row>
    <row r="100" spans="2:9" x14ac:dyDescent="0.2">
      <c r="B100" s="201">
        <f t="shared" si="0"/>
        <v>45531</v>
      </c>
      <c r="C100" s="92">
        <v>749.97</v>
      </c>
      <c r="D100" s="92"/>
      <c r="E100" s="92">
        <v>240.23</v>
      </c>
      <c r="F100" s="92">
        <v>705</v>
      </c>
      <c r="G100" s="22">
        <f t="shared" si="1"/>
        <v>464.77</v>
      </c>
      <c r="H100" s="22">
        <f>IFERROR(IF(Yearending&gt;B99,'5. Historical demand'!F100-'5. Historical demand'!C100-'5. Historical demand'!D100,""),"")</f>
        <v>-44.970000000000027</v>
      </c>
      <c r="I100" s="22">
        <f t="shared" si="2"/>
        <v>509.74</v>
      </c>
    </row>
    <row r="101" spans="2:9" x14ac:dyDescent="0.2">
      <c r="B101" s="201">
        <f t="shared" si="0"/>
        <v>45532</v>
      </c>
      <c r="C101" s="92">
        <v>749.97</v>
      </c>
      <c r="D101" s="92"/>
      <c r="E101" s="92">
        <v>82.199999999999989</v>
      </c>
      <c r="F101" s="92">
        <v>705</v>
      </c>
      <c r="G101" s="22">
        <f t="shared" si="1"/>
        <v>622.79999999999995</v>
      </c>
      <c r="H101" s="22">
        <f>IFERROR(IF(Yearending&gt;B100,'5. Historical demand'!F101-'5. Historical demand'!C101-'5. Historical demand'!D101,""),"")</f>
        <v>-44.970000000000027</v>
      </c>
      <c r="I101" s="22">
        <f t="shared" si="2"/>
        <v>667.77</v>
      </c>
    </row>
    <row r="102" spans="2:9" x14ac:dyDescent="0.2">
      <c r="B102" s="201">
        <f t="shared" si="0"/>
        <v>45533</v>
      </c>
      <c r="C102" s="92">
        <v>749.97</v>
      </c>
      <c r="D102" s="92"/>
      <c r="E102" s="92">
        <v>197.15899999999999</v>
      </c>
      <c r="F102" s="92">
        <v>705</v>
      </c>
      <c r="G102" s="22">
        <f t="shared" si="1"/>
        <v>507.84100000000001</v>
      </c>
      <c r="H102" s="22">
        <f>IFERROR(IF(Yearending&gt;B101,'5. Historical demand'!F102-'5. Historical demand'!C102-'5. Historical demand'!D102,""),"")</f>
        <v>-44.970000000000027</v>
      </c>
      <c r="I102" s="22">
        <f t="shared" si="2"/>
        <v>552.81100000000004</v>
      </c>
    </row>
    <row r="103" spans="2:9" x14ac:dyDescent="0.2">
      <c r="B103" s="201">
        <f t="shared" si="0"/>
        <v>45534</v>
      </c>
      <c r="C103" s="92">
        <v>749.97</v>
      </c>
      <c r="D103" s="92"/>
      <c r="E103" s="92">
        <v>168.21799999999999</v>
      </c>
      <c r="F103" s="92">
        <v>705</v>
      </c>
      <c r="G103" s="22">
        <f t="shared" si="1"/>
        <v>536.78200000000004</v>
      </c>
      <c r="H103" s="22">
        <f>IFERROR(IF(Yearending&gt;B102,'5. Historical demand'!F103-'5. Historical demand'!C103-'5. Historical demand'!D103,""),"")</f>
        <v>-44.970000000000027</v>
      </c>
      <c r="I103" s="22">
        <f t="shared" si="2"/>
        <v>581.75200000000007</v>
      </c>
    </row>
    <row r="104" spans="2:9" x14ac:dyDescent="0.2">
      <c r="B104" s="201">
        <f t="shared" si="0"/>
        <v>45535</v>
      </c>
      <c r="C104" s="92">
        <v>749.97</v>
      </c>
      <c r="D104" s="92"/>
      <c r="E104" s="92">
        <v>20.525000000000002</v>
      </c>
      <c r="F104" s="92">
        <v>705</v>
      </c>
      <c r="G104" s="22">
        <f t="shared" si="1"/>
        <v>684.47500000000002</v>
      </c>
      <c r="H104" s="22">
        <f>IFERROR(IF(Yearending&gt;B103,'5. Historical demand'!F104-'5. Historical demand'!C104-'5. Historical demand'!D104,""),"")</f>
        <v>-44.970000000000027</v>
      </c>
      <c r="I104" s="22">
        <f t="shared" si="2"/>
        <v>729.44500000000005</v>
      </c>
    </row>
    <row r="105" spans="2:9" x14ac:dyDescent="0.2">
      <c r="B105" s="201">
        <f t="shared" si="0"/>
        <v>45536</v>
      </c>
      <c r="C105" s="92">
        <v>769.97</v>
      </c>
      <c r="D105" s="92"/>
      <c r="E105" s="92">
        <v>61.731000000000002</v>
      </c>
      <c r="F105" s="92">
        <v>705</v>
      </c>
      <c r="G105" s="22">
        <f t="shared" si="1"/>
        <v>643.26900000000001</v>
      </c>
      <c r="H105" s="22">
        <f>IFERROR(IF(Yearending&gt;B104,'5. Historical demand'!F105-'5. Historical demand'!C105-'5. Historical demand'!D105,""),"")</f>
        <v>-64.970000000000027</v>
      </c>
      <c r="I105" s="22">
        <f t="shared" si="2"/>
        <v>708.23900000000003</v>
      </c>
    </row>
    <row r="106" spans="2:9" x14ac:dyDescent="0.2">
      <c r="B106" s="201">
        <f t="shared" si="0"/>
        <v>45537</v>
      </c>
      <c r="C106" s="92">
        <v>769.97</v>
      </c>
      <c r="D106" s="92"/>
      <c r="E106" s="92">
        <v>301.995</v>
      </c>
      <c r="F106" s="92">
        <v>705</v>
      </c>
      <c r="G106" s="22">
        <f t="shared" si="1"/>
        <v>403.005</v>
      </c>
      <c r="H106" s="22">
        <f>IFERROR(IF(Yearending&gt;B105,'5. Historical demand'!F106-'5. Historical demand'!C106-'5. Historical demand'!D106,""),"")</f>
        <v>-64.970000000000027</v>
      </c>
      <c r="I106" s="22">
        <f t="shared" si="2"/>
        <v>467.97500000000002</v>
      </c>
    </row>
    <row r="107" spans="2:9" x14ac:dyDescent="0.2">
      <c r="B107" s="201">
        <f t="shared" si="0"/>
        <v>45538</v>
      </c>
      <c r="C107" s="92">
        <v>769.97</v>
      </c>
      <c r="D107" s="92"/>
      <c r="E107" s="92">
        <v>243.999</v>
      </c>
      <c r="F107" s="92">
        <v>705</v>
      </c>
      <c r="G107" s="22">
        <f t="shared" si="1"/>
        <v>461.00099999999998</v>
      </c>
      <c r="H107" s="22">
        <f>IFERROR(IF(Yearending&gt;B106,'5. Historical demand'!F107-'5. Historical demand'!C107-'5. Historical demand'!D107,""),"")</f>
        <v>-64.970000000000027</v>
      </c>
      <c r="I107" s="22">
        <f t="shared" si="2"/>
        <v>525.971</v>
      </c>
    </row>
    <row r="108" spans="2:9" x14ac:dyDescent="0.2">
      <c r="B108" s="201">
        <f t="shared" ref="B108:B171" si="3">IFERROR(IF(Yearending&gt;B107, B107+1, ""),"")</f>
        <v>45539</v>
      </c>
      <c r="C108" s="92">
        <v>769.97</v>
      </c>
      <c r="D108" s="92"/>
      <c r="E108" s="92">
        <v>242.499</v>
      </c>
      <c r="F108" s="92">
        <v>705</v>
      </c>
      <c r="G108" s="22">
        <f t="shared" ref="G108:G171" si="4">IFERROR(IF(Yearending&gt;B107,F108-E108,""),"")</f>
        <v>462.50099999999998</v>
      </c>
      <c r="H108" s="22">
        <f>IFERROR(IF(Yearending&gt;B107,'5. Historical demand'!F108-'5. Historical demand'!C108-'5. Historical demand'!D108,""),"")</f>
        <v>-64.970000000000027</v>
      </c>
      <c r="I108" s="22">
        <f t="shared" ref="I108:I171" si="5">IFERROR(IF(Yearending&gt;B107,C108+D108-E108,""),"")</f>
        <v>527.471</v>
      </c>
    </row>
    <row r="109" spans="2:9" x14ac:dyDescent="0.2">
      <c r="B109" s="201">
        <f t="shared" si="3"/>
        <v>45540</v>
      </c>
      <c r="C109" s="92">
        <v>769.97</v>
      </c>
      <c r="D109" s="92"/>
      <c r="E109" s="92">
        <v>202.24600000000001</v>
      </c>
      <c r="F109" s="92">
        <v>705</v>
      </c>
      <c r="G109" s="22">
        <f t="shared" si="4"/>
        <v>502.75400000000002</v>
      </c>
      <c r="H109" s="22">
        <f>IFERROR(IF(Yearending&gt;B108,'5. Historical demand'!F109-'5. Historical demand'!C109-'5. Historical demand'!D109,""),"")</f>
        <v>-64.970000000000027</v>
      </c>
      <c r="I109" s="22">
        <f t="shared" si="5"/>
        <v>567.72400000000005</v>
      </c>
    </row>
    <row r="110" spans="2:9" x14ac:dyDescent="0.2">
      <c r="B110" s="201">
        <f t="shared" si="3"/>
        <v>45541</v>
      </c>
      <c r="C110" s="92">
        <v>769.97</v>
      </c>
      <c r="D110" s="92"/>
      <c r="E110" s="92">
        <v>147.001</v>
      </c>
      <c r="F110" s="92">
        <v>705</v>
      </c>
      <c r="G110" s="22">
        <f t="shared" si="4"/>
        <v>557.99900000000002</v>
      </c>
      <c r="H110" s="22">
        <f>IFERROR(IF(Yearending&gt;B109,'5. Historical demand'!F110-'5. Historical demand'!C110-'5. Historical demand'!D110,""),"")</f>
        <v>-64.970000000000027</v>
      </c>
      <c r="I110" s="22">
        <f t="shared" si="5"/>
        <v>622.96900000000005</v>
      </c>
    </row>
    <row r="111" spans="2:9" x14ac:dyDescent="0.2">
      <c r="B111" s="201">
        <f t="shared" si="3"/>
        <v>45542</v>
      </c>
      <c r="C111" s="92">
        <v>769.97</v>
      </c>
      <c r="D111" s="92"/>
      <c r="E111" s="92">
        <v>127.104</v>
      </c>
      <c r="F111" s="92">
        <v>705</v>
      </c>
      <c r="G111" s="22">
        <f t="shared" si="4"/>
        <v>577.89599999999996</v>
      </c>
      <c r="H111" s="22">
        <f>IFERROR(IF(Yearending&gt;B110,'5. Historical demand'!F111-'5. Historical demand'!C111-'5. Historical demand'!D111,""),"")</f>
        <v>-64.970000000000027</v>
      </c>
      <c r="I111" s="22">
        <f t="shared" si="5"/>
        <v>642.86599999999999</v>
      </c>
    </row>
    <row r="112" spans="2:9" x14ac:dyDescent="0.2">
      <c r="B112" s="201">
        <f t="shared" si="3"/>
        <v>45543</v>
      </c>
      <c r="C112" s="92">
        <v>769.97</v>
      </c>
      <c r="D112" s="92"/>
      <c r="E112" s="92">
        <v>173.15299999999999</v>
      </c>
      <c r="F112" s="92">
        <v>705</v>
      </c>
      <c r="G112" s="22">
        <f t="shared" si="4"/>
        <v>531.84699999999998</v>
      </c>
      <c r="H112" s="22">
        <f>IFERROR(IF(Yearending&gt;B111,'5. Historical demand'!F112-'5. Historical demand'!C112-'5. Historical demand'!D112,""),"")</f>
        <v>-64.970000000000027</v>
      </c>
      <c r="I112" s="22">
        <f t="shared" si="5"/>
        <v>596.81700000000001</v>
      </c>
    </row>
    <row r="113" spans="2:9" x14ac:dyDescent="0.2">
      <c r="B113" s="201">
        <f t="shared" si="3"/>
        <v>45544</v>
      </c>
      <c r="C113" s="92">
        <v>769.97</v>
      </c>
      <c r="D113" s="92"/>
      <c r="E113" s="92">
        <v>155.10599999999999</v>
      </c>
      <c r="F113" s="92">
        <v>705</v>
      </c>
      <c r="G113" s="22">
        <f t="shared" si="4"/>
        <v>549.89400000000001</v>
      </c>
      <c r="H113" s="22">
        <f>IFERROR(IF(Yearending&gt;B112,'5. Historical demand'!F113-'5. Historical demand'!C113-'5. Historical demand'!D113,""),"")</f>
        <v>-64.970000000000027</v>
      </c>
      <c r="I113" s="22">
        <f t="shared" si="5"/>
        <v>614.86400000000003</v>
      </c>
    </row>
    <row r="114" spans="2:9" x14ac:dyDescent="0.2">
      <c r="B114" s="201">
        <f t="shared" si="3"/>
        <v>45545</v>
      </c>
      <c r="C114" s="92">
        <v>769.97</v>
      </c>
      <c r="D114" s="92"/>
      <c r="E114" s="92">
        <v>156.41800000000001</v>
      </c>
      <c r="F114" s="92">
        <v>705</v>
      </c>
      <c r="G114" s="22">
        <f t="shared" si="4"/>
        <v>548.58199999999999</v>
      </c>
      <c r="H114" s="22">
        <f>IFERROR(IF(Yearending&gt;B113,'5. Historical demand'!F114-'5. Historical demand'!C114-'5. Historical demand'!D114,""),"")</f>
        <v>-64.970000000000027</v>
      </c>
      <c r="I114" s="22">
        <f t="shared" si="5"/>
        <v>613.55200000000002</v>
      </c>
    </row>
    <row r="115" spans="2:9" x14ac:dyDescent="0.2">
      <c r="B115" s="201">
        <f t="shared" si="3"/>
        <v>45546</v>
      </c>
      <c r="C115" s="92">
        <v>769.97</v>
      </c>
      <c r="D115" s="92"/>
      <c r="E115" s="92">
        <v>110.58500000000001</v>
      </c>
      <c r="F115" s="92">
        <v>705</v>
      </c>
      <c r="G115" s="22">
        <f t="shared" si="4"/>
        <v>594.41499999999996</v>
      </c>
      <c r="H115" s="22">
        <f>IFERROR(IF(Yearending&gt;B114,'5. Historical demand'!F115-'5. Historical demand'!C115-'5. Historical demand'!D115,""),"")</f>
        <v>-64.970000000000027</v>
      </c>
      <c r="I115" s="22">
        <f t="shared" si="5"/>
        <v>659.38499999999999</v>
      </c>
    </row>
    <row r="116" spans="2:9" x14ac:dyDescent="0.2">
      <c r="B116" s="201">
        <f t="shared" si="3"/>
        <v>45547</v>
      </c>
      <c r="C116" s="92">
        <v>769.97</v>
      </c>
      <c r="D116" s="92"/>
      <c r="E116" s="92">
        <v>206.71499999999997</v>
      </c>
      <c r="F116" s="92">
        <v>705</v>
      </c>
      <c r="G116" s="22">
        <f t="shared" si="4"/>
        <v>498.28500000000003</v>
      </c>
      <c r="H116" s="22">
        <f>IFERROR(IF(Yearending&gt;B115,'5. Historical demand'!F116-'5. Historical demand'!C116-'5. Historical demand'!D116,""),"")</f>
        <v>-64.970000000000027</v>
      </c>
      <c r="I116" s="22">
        <f t="shared" si="5"/>
        <v>563.25500000000011</v>
      </c>
    </row>
    <row r="117" spans="2:9" x14ac:dyDescent="0.2">
      <c r="B117" s="201">
        <f t="shared" si="3"/>
        <v>45548</v>
      </c>
      <c r="C117" s="92">
        <v>769.97</v>
      </c>
      <c r="D117" s="92"/>
      <c r="E117" s="92">
        <v>225.17099999999999</v>
      </c>
      <c r="F117" s="92">
        <v>705</v>
      </c>
      <c r="G117" s="22">
        <f t="shared" si="4"/>
        <v>479.82900000000001</v>
      </c>
      <c r="H117" s="22">
        <f>IFERROR(IF(Yearending&gt;B116,'5. Historical demand'!F117-'5. Historical demand'!C117-'5. Historical demand'!D117,""),"")</f>
        <v>-64.970000000000027</v>
      </c>
      <c r="I117" s="22">
        <f t="shared" si="5"/>
        <v>544.79899999999998</v>
      </c>
    </row>
    <row r="118" spans="2:9" x14ac:dyDescent="0.2">
      <c r="B118" s="201">
        <f t="shared" si="3"/>
        <v>45549</v>
      </c>
      <c r="C118" s="92">
        <v>769.97</v>
      </c>
      <c r="D118" s="92"/>
      <c r="E118" s="92">
        <v>8.3040000000000003</v>
      </c>
      <c r="F118" s="92">
        <v>705</v>
      </c>
      <c r="G118" s="22">
        <f t="shared" si="4"/>
        <v>696.69600000000003</v>
      </c>
      <c r="H118" s="22">
        <f>IFERROR(IF(Yearending&gt;B117,'5. Historical demand'!F118-'5. Historical demand'!C118-'5. Historical demand'!D118,""),"")</f>
        <v>-64.970000000000027</v>
      </c>
      <c r="I118" s="22">
        <f t="shared" si="5"/>
        <v>761.66600000000005</v>
      </c>
    </row>
    <row r="119" spans="2:9" x14ac:dyDescent="0.2">
      <c r="B119" s="201">
        <f t="shared" si="3"/>
        <v>45550</v>
      </c>
      <c r="C119" s="92">
        <v>769.97</v>
      </c>
      <c r="D119" s="92"/>
      <c r="E119" s="92">
        <v>174.46099999999998</v>
      </c>
      <c r="F119" s="92">
        <v>705</v>
      </c>
      <c r="G119" s="22">
        <f t="shared" si="4"/>
        <v>530.53899999999999</v>
      </c>
      <c r="H119" s="22">
        <f>IFERROR(IF(Yearending&gt;B118,'5. Historical demand'!F119-'5. Historical demand'!C119-'5. Historical demand'!D119,""),"")</f>
        <v>-64.970000000000027</v>
      </c>
      <c r="I119" s="22">
        <f t="shared" si="5"/>
        <v>595.50900000000001</v>
      </c>
    </row>
    <row r="120" spans="2:9" x14ac:dyDescent="0.2">
      <c r="B120" s="201">
        <f t="shared" si="3"/>
        <v>45551</v>
      </c>
      <c r="C120" s="92">
        <v>769.97</v>
      </c>
      <c r="D120" s="92"/>
      <c r="E120" s="92">
        <v>232.495</v>
      </c>
      <c r="F120" s="92">
        <v>705</v>
      </c>
      <c r="G120" s="22">
        <f t="shared" si="4"/>
        <v>472.505</v>
      </c>
      <c r="H120" s="22">
        <f>IFERROR(IF(Yearending&gt;B119,'5. Historical demand'!F120-'5. Historical demand'!C120-'5. Historical demand'!D120,""),"")</f>
        <v>-64.970000000000027</v>
      </c>
      <c r="I120" s="22">
        <f t="shared" si="5"/>
        <v>537.47500000000002</v>
      </c>
    </row>
    <row r="121" spans="2:9" x14ac:dyDescent="0.2">
      <c r="B121" s="201">
        <f t="shared" si="3"/>
        <v>45552</v>
      </c>
      <c r="C121" s="92">
        <v>769.97</v>
      </c>
      <c r="D121" s="92"/>
      <c r="E121" s="92">
        <v>222.62200000000001</v>
      </c>
      <c r="F121" s="92">
        <v>705</v>
      </c>
      <c r="G121" s="22">
        <f t="shared" si="4"/>
        <v>482.37799999999999</v>
      </c>
      <c r="H121" s="22">
        <f>IFERROR(IF(Yearending&gt;B120,'5. Historical demand'!F121-'5. Historical demand'!C121-'5. Historical demand'!D121,""),"")</f>
        <v>-64.970000000000027</v>
      </c>
      <c r="I121" s="22">
        <f t="shared" si="5"/>
        <v>547.34799999999996</v>
      </c>
    </row>
    <row r="122" spans="2:9" x14ac:dyDescent="0.2">
      <c r="B122" s="201">
        <f t="shared" si="3"/>
        <v>45553</v>
      </c>
      <c r="C122" s="92">
        <v>769.97</v>
      </c>
      <c r="D122" s="92"/>
      <c r="E122" s="92">
        <v>178.33</v>
      </c>
      <c r="F122" s="92">
        <v>705</v>
      </c>
      <c r="G122" s="22">
        <f t="shared" si="4"/>
        <v>526.66999999999996</v>
      </c>
      <c r="H122" s="22">
        <f>IFERROR(IF(Yearending&gt;B121,'5. Historical demand'!F122-'5. Historical demand'!C122-'5. Historical demand'!D122,""),"")</f>
        <v>-64.970000000000027</v>
      </c>
      <c r="I122" s="22">
        <f t="shared" si="5"/>
        <v>591.64</v>
      </c>
    </row>
    <row r="123" spans="2:9" x14ac:dyDescent="0.2">
      <c r="B123" s="201">
        <f t="shared" si="3"/>
        <v>45554</v>
      </c>
      <c r="C123" s="92">
        <v>769.97</v>
      </c>
      <c r="D123" s="92"/>
      <c r="E123" s="92">
        <v>179.50899999999999</v>
      </c>
      <c r="F123" s="92">
        <v>705</v>
      </c>
      <c r="G123" s="22">
        <f t="shared" si="4"/>
        <v>525.49099999999999</v>
      </c>
      <c r="H123" s="22">
        <f>IFERROR(IF(Yearending&gt;B122,'5. Historical demand'!F123-'5. Historical demand'!C123-'5. Historical demand'!D123,""),"")</f>
        <v>-64.970000000000027</v>
      </c>
      <c r="I123" s="22">
        <f t="shared" si="5"/>
        <v>590.46100000000001</v>
      </c>
    </row>
    <row r="124" spans="2:9" x14ac:dyDescent="0.2">
      <c r="B124" s="201">
        <f t="shared" si="3"/>
        <v>45555</v>
      </c>
      <c r="C124" s="92">
        <v>769.97</v>
      </c>
      <c r="D124" s="92"/>
      <c r="E124" s="92">
        <v>165.47</v>
      </c>
      <c r="F124" s="92">
        <v>705</v>
      </c>
      <c r="G124" s="22">
        <f t="shared" si="4"/>
        <v>539.53</v>
      </c>
      <c r="H124" s="22">
        <f>IFERROR(IF(Yearending&gt;B123,'5. Historical demand'!F124-'5. Historical demand'!C124-'5. Historical demand'!D124,""),"")</f>
        <v>-64.970000000000027</v>
      </c>
      <c r="I124" s="22">
        <f t="shared" si="5"/>
        <v>604.5</v>
      </c>
    </row>
    <row r="125" spans="2:9" x14ac:dyDescent="0.2">
      <c r="B125" s="201">
        <f t="shared" si="3"/>
        <v>45556</v>
      </c>
      <c r="C125" s="92">
        <v>769.97</v>
      </c>
      <c r="D125" s="92"/>
      <c r="E125" s="92">
        <v>130.75299999999999</v>
      </c>
      <c r="F125" s="92">
        <v>705</v>
      </c>
      <c r="G125" s="22">
        <f t="shared" si="4"/>
        <v>574.24700000000007</v>
      </c>
      <c r="H125" s="22">
        <f>IFERROR(IF(Yearending&gt;B124,'5. Historical demand'!F125-'5. Historical demand'!C125-'5. Historical demand'!D125,""),"")</f>
        <v>-64.970000000000027</v>
      </c>
      <c r="I125" s="22">
        <f t="shared" si="5"/>
        <v>639.2170000000001</v>
      </c>
    </row>
    <row r="126" spans="2:9" x14ac:dyDescent="0.2">
      <c r="B126" s="201">
        <f t="shared" si="3"/>
        <v>45557</v>
      </c>
      <c r="C126" s="92">
        <v>769.97</v>
      </c>
      <c r="D126" s="92"/>
      <c r="E126" s="92">
        <v>145.99699999999999</v>
      </c>
      <c r="F126" s="92">
        <v>705</v>
      </c>
      <c r="G126" s="22">
        <f t="shared" si="4"/>
        <v>559.00300000000004</v>
      </c>
      <c r="H126" s="22">
        <f>IFERROR(IF(Yearending&gt;B125,'5. Historical demand'!F126-'5. Historical demand'!C126-'5. Historical demand'!D126,""),"")</f>
        <v>-64.970000000000027</v>
      </c>
      <c r="I126" s="22">
        <f t="shared" si="5"/>
        <v>623.97300000000007</v>
      </c>
    </row>
    <row r="127" spans="2:9" x14ac:dyDescent="0.2">
      <c r="B127" s="201">
        <f t="shared" si="3"/>
        <v>45558</v>
      </c>
      <c r="C127" s="92">
        <v>769.97</v>
      </c>
      <c r="D127" s="92"/>
      <c r="E127" s="92">
        <v>89.532000000000011</v>
      </c>
      <c r="F127" s="92">
        <v>705</v>
      </c>
      <c r="G127" s="22">
        <f t="shared" si="4"/>
        <v>615.46799999999996</v>
      </c>
      <c r="H127" s="22">
        <f>IFERROR(IF(Yearending&gt;B126,'5. Historical demand'!F127-'5. Historical demand'!C127-'5. Historical demand'!D127,""),"")</f>
        <v>-64.970000000000027</v>
      </c>
      <c r="I127" s="22">
        <f t="shared" si="5"/>
        <v>680.43799999999999</v>
      </c>
    </row>
    <row r="128" spans="2:9" x14ac:dyDescent="0.2">
      <c r="B128" s="201">
        <f t="shared" si="3"/>
        <v>45559</v>
      </c>
      <c r="C128" s="92">
        <v>769.97</v>
      </c>
      <c r="D128" s="92"/>
      <c r="E128" s="92">
        <v>123.57499999999999</v>
      </c>
      <c r="F128" s="92">
        <v>705</v>
      </c>
      <c r="G128" s="22">
        <f t="shared" si="4"/>
        <v>581.42499999999995</v>
      </c>
      <c r="H128" s="22">
        <f>IFERROR(IF(Yearending&gt;B127,'5. Historical demand'!F128-'5. Historical demand'!C128-'5. Historical demand'!D128,""),"")</f>
        <v>-64.970000000000027</v>
      </c>
      <c r="I128" s="22">
        <f t="shared" si="5"/>
        <v>646.39499999999998</v>
      </c>
    </row>
    <row r="129" spans="2:9" x14ac:dyDescent="0.2">
      <c r="B129" s="201">
        <f t="shared" si="3"/>
        <v>45560</v>
      </c>
      <c r="C129" s="92">
        <v>769.97</v>
      </c>
      <c r="D129" s="92"/>
      <c r="E129" s="92">
        <v>30.030999999999999</v>
      </c>
      <c r="F129" s="92">
        <v>705</v>
      </c>
      <c r="G129" s="22">
        <f t="shared" si="4"/>
        <v>674.96900000000005</v>
      </c>
      <c r="H129" s="22">
        <f>IFERROR(IF(Yearending&gt;B128,'5. Historical demand'!F129-'5. Historical demand'!C129-'5. Historical demand'!D129,""),"")</f>
        <v>-64.970000000000027</v>
      </c>
      <c r="I129" s="22">
        <f t="shared" si="5"/>
        <v>739.93900000000008</v>
      </c>
    </row>
    <row r="130" spans="2:9" x14ac:dyDescent="0.2">
      <c r="B130" s="201">
        <f t="shared" si="3"/>
        <v>45561</v>
      </c>
      <c r="C130" s="92">
        <v>769.97</v>
      </c>
      <c r="D130" s="92"/>
      <c r="E130" s="92">
        <v>222.92599999999999</v>
      </c>
      <c r="F130" s="92">
        <v>705</v>
      </c>
      <c r="G130" s="22">
        <f t="shared" si="4"/>
        <v>482.07400000000001</v>
      </c>
      <c r="H130" s="22">
        <f>IFERROR(IF(Yearending&gt;B129,'5. Historical demand'!F130-'5. Historical demand'!C130-'5. Historical demand'!D130,""),"")</f>
        <v>-64.970000000000027</v>
      </c>
      <c r="I130" s="22">
        <f t="shared" si="5"/>
        <v>547.0440000000001</v>
      </c>
    </row>
    <row r="131" spans="2:9" x14ac:dyDescent="0.2">
      <c r="B131" s="201">
        <f t="shared" si="3"/>
        <v>45562</v>
      </c>
      <c r="C131" s="92">
        <v>769.97</v>
      </c>
      <c r="D131" s="92"/>
      <c r="E131" s="92">
        <v>134.119</v>
      </c>
      <c r="F131" s="92">
        <v>705</v>
      </c>
      <c r="G131" s="22">
        <f t="shared" si="4"/>
        <v>570.88099999999997</v>
      </c>
      <c r="H131" s="22">
        <f>IFERROR(IF(Yearending&gt;B130,'5. Historical demand'!F131-'5. Historical demand'!C131-'5. Historical demand'!D131,""),"")</f>
        <v>-64.970000000000027</v>
      </c>
      <c r="I131" s="22">
        <f t="shared" si="5"/>
        <v>635.851</v>
      </c>
    </row>
    <row r="132" spans="2:9" x14ac:dyDescent="0.2">
      <c r="B132" s="201">
        <f t="shared" si="3"/>
        <v>45563</v>
      </c>
      <c r="C132" s="92">
        <v>769.97</v>
      </c>
      <c r="D132" s="92"/>
      <c r="E132" s="92">
        <v>41.564999999999998</v>
      </c>
      <c r="F132" s="92">
        <v>705</v>
      </c>
      <c r="G132" s="22">
        <f t="shared" si="4"/>
        <v>663.43499999999995</v>
      </c>
      <c r="H132" s="22">
        <f>IFERROR(IF(Yearending&gt;B131,'5. Historical demand'!F132-'5. Historical demand'!C132-'5. Historical demand'!D132,""),"")</f>
        <v>-64.970000000000027</v>
      </c>
      <c r="I132" s="22">
        <f t="shared" si="5"/>
        <v>728.40499999999997</v>
      </c>
    </row>
    <row r="133" spans="2:9" x14ac:dyDescent="0.2">
      <c r="B133" s="201">
        <f t="shared" si="3"/>
        <v>45564</v>
      </c>
      <c r="C133" s="92">
        <v>769.97</v>
      </c>
      <c r="D133" s="92"/>
      <c r="E133" s="92">
        <v>123.285</v>
      </c>
      <c r="F133" s="92">
        <v>705</v>
      </c>
      <c r="G133" s="22">
        <f t="shared" si="4"/>
        <v>581.71500000000003</v>
      </c>
      <c r="H133" s="22">
        <f>IFERROR(IF(Yearending&gt;B132,'5. Historical demand'!F133-'5. Historical demand'!C133-'5. Historical demand'!D133,""),"")</f>
        <v>-64.970000000000027</v>
      </c>
      <c r="I133" s="22">
        <f t="shared" si="5"/>
        <v>646.68500000000006</v>
      </c>
    </row>
    <row r="134" spans="2:9" x14ac:dyDescent="0.2">
      <c r="B134" s="201">
        <f t="shared" si="3"/>
        <v>45565</v>
      </c>
      <c r="C134" s="92">
        <v>769.97</v>
      </c>
      <c r="D134" s="92"/>
      <c r="E134" s="92">
        <v>50.15</v>
      </c>
      <c r="F134" s="92">
        <v>705</v>
      </c>
      <c r="G134" s="22">
        <f t="shared" si="4"/>
        <v>654.85</v>
      </c>
      <c r="H134" s="22">
        <f>IFERROR(IF(Yearending&gt;B133,'5. Historical demand'!F134-'5. Historical demand'!C134-'5. Historical demand'!D134,""),"")</f>
        <v>-64.970000000000027</v>
      </c>
      <c r="I134" s="22">
        <f t="shared" si="5"/>
        <v>719.82</v>
      </c>
    </row>
    <row r="135" spans="2:9" x14ac:dyDescent="0.2">
      <c r="B135" s="201">
        <f t="shared" si="3"/>
        <v>45566</v>
      </c>
      <c r="C135" s="92">
        <v>590.97</v>
      </c>
      <c r="D135" s="92"/>
      <c r="E135" s="92">
        <v>117.50999999999999</v>
      </c>
      <c r="F135" s="92">
        <v>680</v>
      </c>
      <c r="G135" s="22">
        <f t="shared" si="4"/>
        <v>562.49</v>
      </c>
      <c r="H135" s="22">
        <f>IFERROR(IF(Yearending&gt;B134,'5. Historical demand'!F135-'5. Historical demand'!C135-'5. Historical demand'!D135,""),"")</f>
        <v>89.029999999999973</v>
      </c>
      <c r="I135" s="22">
        <f t="shared" si="5"/>
        <v>473.46000000000004</v>
      </c>
    </row>
    <row r="136" spans="2:9" x14ac:dyDescent="0.2">
      <c r="B136" s="201">
        <f t="shared" si="3"/>
        <v>45567</v>
      </c>
      <c r="C136" s="92">
        <v>590.97</v>
      </c>
      <c r="D136" s="92"/>
      <c r="E136" s="92">
        <v>126.536</v>
      </c>
      <c r="F136" s="92">
        <v>680</v>
      </c>
      <c r="G136" s="22">
        <f t="shared" si="4"/>
        <v>553.46399999999994</v>
      </c>
      <c r="H136" s="22">
        <f>IFERROR(IF(Yearending&gt;B135,'5. Historical demand'!F136-'5. Historical demand'!C136-'5. Historical demand'!D136,""),"")</f>
        <v>89.029999999999973</v>
      </c>
      <c r="I136" s="22">
        <f t="shared" si="5"/>
        <v>464.43400000000003</v>
      </c>
    </row>
    <row r="137" spans="2:9" x14ac:dyDescent="0.2">
      <c r="B137" s="201">
        <f t="shared" si="3"/>
        <v>45568</v>
      </c>
      <c r="C137" s="92">
        <v>590.97</v>
      </c>
      <c r="D137" s="92"/>
      <c r="E137" s="92">
        <v>139.393</v>
      </c>
      <c r="F137" s="92">
        <v>680</v>
      </c>
      <c r="G137" s="22">
        <f t="shared" si="4"/>
        <v>540.60699999999997</v>
      </c>
      <c r="H137" s="22">
        <f>IFERROR(IF(Yearending&gt;B136,'5. Historical demand'!F137-'5. Historical demand'!C137-'5. Historical demand'!D137,""),"")</f>
        <v>89.029999999999973</v>
      </c>
      <c r="I137" s="22">
        <f t="shared" si="5"/>
        <v>451.577</v>
      </c>
    </row>
    <row r="138" spans="2:9" x14ac:dyDescent="0.2">
      <c r="B138" s="201">
        <f t="shared" si="3"/>
        <v>45569</v>
      </c>
      <c r="C138" s="92">
        <v>590.97</v>
      </c>
      <c r="D138" s="92"/>
      <c r="E138" s="92">
        <v>173.81800000000001</v>
      </c>
      <c r="F138" s="92">
        <v>680</v>
      </c>
      <c r="G138" s="22">
        <f t="shared" si="4"/>
        <v>506.18200000000002</v>
      </c>
      <c r="H138" s="22">
        <f>IFERROR(IF(Yearending&gt;B137,'5. Historical demand'!F138-'5. Historical demand'!C138-'5. Historical demand'!D138,""),"")</f>
        <v>89.029999999999973</v>
      </c>
      <c r="I138" s="22">
        <f t="shared" si="5"/>
        <v>417.15200000000004</v>
      </c>
    </row>
    <row r="139" spans="2:9" x14ac:dyDescent="0.2">
      <c r="B139" s="201">
        <f t="shared" si="3"/>
        <v>45570</v>
      </c>
      <c r="C139" s="92">
        <v>590.97</v>
      </c>
      <c r="D139" s="92"/>
      <c r="E139" s="92">
        <v>140.06700000000001</v>
      </c>
      <c r="F139" s="92">
        <v>680</v>
      </c>
      <c r="G139" s="22">
        <f t="shared" si="4"/>
        <v>539.93299999999999</v>
      </c>
      <c r="H139" s="22">
        <f>IFERROR(IF(Yearending&gt;B138,'5. Historical demand'!F139-'5. Historical demand'!C139-'5. Historical demand'!D139,""),"")</f>
        <v>89.029999999999973</v>
      </c>
      <c r="I139" s="22">
        <f t="shared" si="5"/>
        <v>450.90300000000002</v>
      </c>
    </row>
    <row r="140" spans="2:9" x14ac:dyDescent="0.2">
      <c r="B140" s="201">
        <f t="shared" si="3"/>
        <v>45571</v>
      </c>
      <c r="C140" s="92">
        <v>590.97</v>
      </c>
      <c r="D140" s="92"/>
      <c r="E140" s="92">
        <v>118.33699999999999</v>
      </c>
      <c r="F140" s="92">
        <v>680</v>
      </c>
      <c r="G140" s="22">
        <f t="shared" si="4"/>
        <v>561.66300000000001</v>
      </c>
      <c r="H140" s="22">
        <f>IFERROR(IF(Yearending&gt;B139,'5. Historical demand'!F140-'5. Historical demand'!C140-'5. Historical demand'!D140,""),"")</f>
        <v>89.029999999999973</v>
      </c>
      <c r="I140" s="22">
        <f t="shared" si="5"/>
        <v>472.63300000000004</v>
      </c>
    </row>
    <row r="141" spans="2:9" x14ac:dyDescent="0.2">
      <c r="B141" s="201">
        <f t="shared" si="3"/>
        <v>45572</v>
      </c>
      <c r="C141" s="92">
        <v>590.97</v>
      </c>
      <c r="D141" s="92"/>
      <c r="E141" s="92">
        <v>70.509</v>
      </c>
      <c r="F141" s="92">
        <v>680</v>
      </c>
      <c r="G141" s="22">
        <f t="shared" si="4"/>
        <v>609.49099999999999</v>
      </c>
      <c r="H141" s="22">
        <f>IFERROR(IF(Yearending&gt;B140,'5. Historical demand'!F141-'5. Historical demand'!C141-'5. Historical demand'!D141,""),"")</f>
        <v>89.029999999999973</v>
      </c>
      <c r="I141" s="22">
        <f t="shared" si="5"/>
        <v>520.46100000000001</v>
      </c>
    </row>
    <row r="142" spans="2:9" x14ac:dyDescent="0.2">
      <c r="B142" s="201">
        <f t="shared" si="3"/>
        <v>45573</v>
      </c>
      <c r="C142" s="92">
        <v>590.97</v>
      </c>
      <c r="D142" s="92"/>
      <c r="E142" s="92">
        <v>117.157</v>
      </c>
      <c r="F142" s="92">
        <v>680</v>
      </c>
      <c r="G142" s="22">
        <f t="shared" si="4"/>
        <v>562.84299999999996</v>
      </c>
      <c r="H142" s="22">
        <f>IFERROR(IF(Yearending&gt;B141,'5. Historical demand'!F142-'5. Historical demand'!C142-'5. Historical demand'!D142,""),"")</f>
        <v>89.029999999999973</v>
      </c>
      <c r="I142" s="22">
        <f t="shared" si="5"/>
        <v>473.81300000000005</v>
      </c>
    </row>
    <row r="143" spans="2:9" x14ac:dyDescent="0.2">
      <c r="B143" s="201">
        <f t="shared" si="3"/>
        <v>45574</v>
      </c>
      <c r="C143" s="92">
        <v>590.97</v>
      </c>
      <c r="D143" s="92"/>
      <c r="E143" s="92">
        <v>99.91</v>
      </c>
      <c r="F143" s="92">
        <v>680</v>
      </c>
      <c r="G143" s="22">
        <f t="shared" si="4"/>
        <v>580.09</v>
      </c>
      <c r="H143" s="22">
        <f>IFERROR(IF(Yearending&gt;B142,'5. Historical demand'!F143-'5. Historical demand'!C143-'5. Historical demand'!D143,""),"")</f>
        <v>89.029999999999973</v>
      </c>
      <c r="I143" s="22">
        <f t="shared" si="5"/>
        <v>491.06000000000006</v>
      </c>
    </row>
    <row r="144" spans="2:9" x14ac:dyDescent="0.2">
      <c r="B144" s="201">
        <f t="shared" si="3"/>
        <v>45575</v>
      </c>
      <c r="C144" s="92">
        <v>590.97</v>
      </c>
      <c r="D144" s="92"/>
      <c r="E144" s="92">
        <v>129.18</v>
      </c>
      <c r="F144" s="92">
        <v>680</v>
      </c>
      <c r="G144" s="22">
        <f t="shared" si="4"/>
        <v>550.81999999999994</v>
      </c>
      <c r="H144" s="22">
        <f>IFERROR(IF(Yearending&gt;B143,'5. Historical demand'!F144-'5. Historical demand'!C144-'5. Historical demand'!D144,""),"")</f>
        <v>89.029999999999973</v>
      </c>
      <c r="I144" s="22">
        <f t="shared" si="5"/>
        <v>461.79</v>
      </c>
    </row>
    <row r="145" spans="2:9" x14ac:dyDescent="0.2">
      <c r="B145" s="201">
        <f t="shared" si="3"/>
        <v>45576</v>
      </c>
      <c r="C145" s="92">
        <v>590.97</v>
      </c>
      <c r="D145" s="92"/>
      <c r="E145" s="92">
        <v>114.14100000000001</v>
      </c>
      <c r="F145" s="92">
        <v>680</v>
      </c>
      <c r="G145" s="22">
        <f t="shared" si="4"/>
        <v>565.85900000000004</v>
      </c>
      <c r="H145" s="22">
        <f>IFERROR(IF(Yearending&gt;B144,'5. Historical demand'!F145-'5. Historical demand'!C145-'5. Historical demand'!D145,""),"")</f>
        <v>89.029999999999973</v>
      </c>
      <c r="I145" s="22">
        <f t="shared" si="5"/>
        <v>476.82900000000001</v>
      </c>
    </row>
    <row r="146" spans="2:9" x14ac:dyDescent="0.2">
      <c r="B146" s="201">
        <f t="shared" si="3"/>
        <v>45577</v>
      </c>
      <c r="C146" s="92">
        <v>590.97</v>
      </c>
      <c r="D146" s="92"/>
      <c r="E146" s="92">
        <v>144.75300000000001</v>
      </c>
      <c r="F146" s="92">
        <v>680</v>
      </c>
      <c r="G146" s="22">
        <f t="shared" si="4"/>
        <v>535.24699999999996</v>
      </c>
      <c r="H146" s="22">
        <f>IFERROR(IF(Yearending&gt;B145,'5. Historical demand'!F146-'5. Historical demand'!C146-'5. Historical demand'!D146,""),"")</f>
        <v>89.029999999999973</v>
      </c>
      <c r="I146" s="22">
        <f t="shared" si="5"/>
        <v>446.21699999999998</v>
      </c>
    </row>
    <row r="147" spans="2:9" x14ac:dyDescent="0.2">
      <c r="B147" s="201">
        <f t="shared" si="3"/>
        <v>45578</v>
      </c>
      <c r="C147" s="92">
        <v>590.97</v>
      </c>
      <c r="D147" s="92"/>
      <c r="E147" s="92">
        <v>153.49400000000003</v>
      </c>
      <c r="F147" s="92">
        <v>680</v>
      </c>
      <c r="G147" s="22">
        <f t="shared" si="4"/>
        <v>526.50599999999997</v>
      </c>
      <c r="H147" s="22">
        <f>IFERROR(IF(Yearending&gt;B146,'5. Historical demand'!F147-'5. Historical demand'!C147-'5. Historical demand'!D147,""),"")</f>
        <v>89.029999999999973</v>
      </c>
      <c r="I147" s="22">
        <f t="shared" si="5"/>
        <v>437.476</v>
      </c>
    </row>
    <row r="148" spans="2:9" x14ac:dyDescent="0.2">
      <c r="B148" s="201">
        <f t="shared" si="3"/>
        <v>45579</v>
      </c>
      <c r="C148" s="92">
        <v>590.97</v>
      </c>
      <c r="D148" s="92"/>
      <c r="E148" s="92">
        <v>10.112</v>
      </c>
      <c r="F148" s="92">
        <v>680</v>
      </c>
      <c r="G148" s="22">
        <f t="shared" si="4"/>
        <v>669.88800000000003</v>
      </c>
      <c r="H148" s="22">
        <f>IFERROR(IF(Yearending&gt;B147,'5. Historical demand'!F148-'5. Historical demand'!C148-'5. Historical demand'!D148,""),"")</f>
        <v>89.029999999999973</v>
      </c>
      <c r="I148" s="22">
        <f t="shared" si="5"/>
        <v>580.85800000000006</v>
      </c>
    </row>
    <row r="149" spans="2:9" x14ac:dyDescent="0.2">
      <c r="B149" s="201">
        <f t="shared" si="3"/>
        <v>45580</v>
      </c>
      <c r="C149" s="92">
        <v>590.97</v>
      </c>
      <c r="D149" s="92"/>
      <c r="E149" s="92">
        <v>113.09699999999999</v>
      </c>
      <c r="F149" s="92">
        <v>680</v>
      </c>
      <c r="G149" s="22">
        <f t="shared" si="4"/>
        <v>566.90300000000002</v>
      </c>
      <c r="H149" s="22">
        <f>IFERROR(IF(Yearending&gt;B148,'5. Historical demand'!F149-'5. Historical demand'!C149-'5. Historical demand'!D149,""),"")</f>
        <v>89.029999999999973</v>
      </c>
      <c r="I149" s="22">
        <f t="shared" si="5"/>
        <v>477.87300000000005</v>
      </c>
    </row>
    <row r="150" spans="2:9" x14ac:dyDescent="0.2">
      <c r="B150" s="201">
        <f t="shared" si="3"/>
        <v>45581</v>
      </c>
      <c r="C150" s="92">
        <v>590.97</v>
      </c>
      <c r="D150" s="92"/>
      <c r="E150" s="92">
        <v>157.29399999999998</v>
      </c>
      <c r="F150" s="92">
        <v>680</v>
      </c>
      <c r="G150" s="22">
        <f t="shared" si="4"/>
        <v>522.70600000000002</v>
      </c>
      <c r="H150" s="22">
        <f>IFERROR(IF(Yearending&gt;B149,'5. Historical demand'!F150-'5. Historical demand'!C150-'5. Historical demand'!D150,""),"")</f>
        <v>89.029999999999973</v>
      </c>
      <c r="I150" s="22">
        <f t="shared" si="5"/>
        <v>433.67600000000004</v>
      </c>
    </row>
    <row r="151" spans="2:9" x14ac:dyDescent="0.2">
      <c r="B151" s="201">
        <f t="shared" si="3"/>
        <v>45582</v>
      </c>
      <c r="C151" s="92">
        <v>590.97</v>
      </c>
      <c r="D151" s="92"/>
      <c r="E151" s="92">
        <v>116.697</v>
      </c>
      <c r="F151" s="92">
        <v>680</v>
      </c>
      <c r="G151" s="22">
        <f t="shared" si="4"/>
        <v>563.303</v>
      </c>
      <c r="H151" s="22">
        <f>IFERROR(IF(Yearending&gt;B150,'5. Historical demand'!F151-'5. Historical demand'!C151-'5. Historical demand'!D151,""),"")</f>
        <v>89.029999999999973</v>
      </c>
      <c r="I151" s="22">
        <f t="shared" si="5"/>
        <v>474.27300000000002</v>
      </c>
    </row>
    <row r="152" spans="2:9" x14ac:dyDescent="0.2">
      <c r="B152" s="201">
        <f t="shared" si="3"/>
        <v>45583</v>
      </c>
      <c r="C152" s="92">
        <v>590.97</v>
      </c>
      <c r="D152" s="92"/>
      <c r="E152" s="92">
        <v>98.995000000000005</v>
      </c>
      <c r="F152" s="92">
        <v>680</v>
      </c>
      <c r="G152" s="22">
        <f t="shared" si="4"/>
        <v>581.005</v>
      </c>
      <c r="H152" s="22">
        <f>IFERROR(IF(Yearending&gt;B151,'5. Historical demand'!F152-'5. Historical demand'!C152-'5. Historical demand'!D152,""),"")</f>
        <v>89.029999999999973</v>
      </c>
      <c r="I152" s="22">
        <f t="shared" si="5"/>
        <v>491.97500000000002</v>
      </c>
    </row>
    <row r="153" spans="2:9" x14ac:dyDescent="0.2">
      <c r="B153" s="201">
        <f t="shared" si="3"/>
        <v>45584</v>
      </c>
      <c r="C153" s="92">
        <v>590.97</v>
      </c>
      <c r="D153" s="92"/>
      <c r="E153" s="92">
        <v>32.04</v>
      </c>
      <c r="F153" s="92">
        <v>680</v>
      </c>
      <c r="G153" s="22">
        <f t="shared" si="4"/>
        <v>647.96</v>
      </c>
      <c r="H153" s="22">
        <f>IFERROR(IF(Yearending&gt;B152,'5. Historical demand'!F153-'5. Historical demand'!C153-'5. Historical demand'!D153,""),"")</f>
        <v>89.029999999999973</v>
      </c>
      <c r="I153" s="22">
        <f t="shared" si="5"/>
        <v>558.93000000000006</v>
      </c>
    </row>
    <row r="154" spans="2:9" x14ac:dyDescent="0.2">
      <c r="B154" s="201">
        <f t="shared" si="3"/>
        <v>45585</v>
      </c>
      <c r="C154" s="92">
        <v>590.97</v>
      </c>
      <c r="D154" s="92"/>
      <c r="E154" s="92">
        <v>84.856999999999999</v>
      </c>
      <c r="F154" s="92">
        <v>680</v>
      </c>
      <c r="G154" s="22">
        <f t="shared" si="4"/>
        <v>595.14300000000003</v>
      </c>
      <c r="H154" s="22">
        <f>IFERROR(IF(Yearending&gt;B153,'5. Historical demand'!F154-'5. Historical demand'!C154-'5. Historical demand'!D154,""),"")</f>
        <v>89.029999999999973</v>
      </c>
      <c r="I154" s="22">
        <f t="shared" si="5"/>
        <v>506.11300000000006</v>
      </c>
    </row>
    <row r="155" spans="2:9" x14ac:dyDescent="0.2">
      <c r="B155" s="201">
        <f t="shared" si="3"/>
        <v>45586</v>
      </c>
      <c r="C155" s="92">
        <v>590.97</v>
      </c>
      <c r="D155" s="92"/>
      <c r="E155" s="92">
        <v>153.55000000000001</v>
      </c>
      <c r="F155" s="92">
        <v>680</v>
      </c>
      <c r="G155" s="22">
        <f t="shared" si="4"/>
        <v>526.45000000000005</v>
      </c>
      <c r="H155" s="22">
        <f>IFERROR(IF(Yearending&gt;B154,'5. Historical demand'!F155-'5. Historical demand'!C155-'5. Historical demand'!D155,""),"")</f>
        <v>89.029999999999973</v>
      </c>
      <c r="I155" s="22">
        <f t="shared" si="5"/>
        <v>437.42</v>
      </c>
    </row>
    <row r="156" spans="2:9" x14ac:dyDescent="0.2">
      <c r="B156" s="201">
        <f t="shared" si="3"/>
        <v>45587</v>
      </c>
      <c r="C156" s="92">
        <v>590.97</v>
      </c>
      <c r="D156" s="92"/>
      <c r="E156" s="92">
        <v>119.208</v>
      </c>
      <c r="F156" s="92">
        <v>680</v>
      </c>
      <c r="G156" s="22">
        <f t="shared" si="4"/>
        <v>560.79200000000003</v>
      </c>
      <c r="H156" s="22">
        <f>IFERROR(IF(Yearending&gt;B155,'5. Historical demand'!F156-'5. Historical demand'!C156-'5. Historical demand'!D156,""),"")</f>
        <v>89.029999999999973</v>
      </c>
      <c r="I156" s="22">
        <f t="shared" si="5"/>
        <v>471.76200000000006</v>
      </c>
    </row>
    <row r="157" spans="2:9" x14ac:dyDescent="0.2">
      <c r="B157" s="201">
        <f t="shared" si="3"/>
        <v>45588</v>
      </c>
      <c r="C157" s="92">
        <v>590.97</v>
      </c>
      <c r="D157" s="92"/>
      <c r="E157" s="92">
        <v>79.19</v>
      </c>
      <c r="F157" s="92">
        <v>680</v>
      </c>
      <c r="G157" s="22">
        <f t="shared" si="4"/>
        <v>600.80999999999995</v>
      </c>
      <c r="H157" s="22">
        <f>IFERROR(IF(Yearending&gt;B156,'5. Historical demand'!F157-'5. Historical demand'!C157-'5. Historical demand'!D157,""),"")</f>
        <v>89.029999999999973</v>
      </c>
      <c r="I157" s="22">
        <f t="shared" si="5"/>
        <v>511.78000000000003</v>
      </c>
    </row>
    <row r="158" spans="2:9" x14ac:dyDescent="0.2">
      <c r="B158" s="201">
        <f t="shared" si="3"/>
        <v>45589</v>
      </c>
      <c r="C158" s="92">
        <v>590.97</v>
      </c>
      <c r="D158" s="92"/>
      <c r="E158" s="92">
        <v>120.355</v>
      </c>
      <c r="F158" s="92">
        <v>680</v>
      </c>
      <c r="G158" s="22">
        <f t="shared" si="4"/>
        <v>559.64499999999998</v>
      </c>
      <c r="H158" s="22">
        <f>IFERROR(IF(Yearending&gt;B157,'5. Historical demand'!F158-'5. Historical demand'!C158-'5. Historical demand'!D158,""),"")</f>
        <v>89.029999999999973</v>
      </c>
      <c r="I158" s="22">
        <f t="shared" si="5"/>
        <v>470.61500000000001</v>
      </c>
    </row>
    <row r="159" spans="2:9" x14ac:dyDescent="0.2">
      <c r="B159" s="201">
        <f t="shared" si="3"/>
        <v>45590</v>
      </c>
      <c r="C159" s="92">
        <v>590.97</v>
      </c>
      <c r="D159" s="92"/>
      <c r="E159" s="92">
        <v>110.60899999999999</v>
      </c>
      <c r="F159" s="92">
        <v>680</v>
      </c>
      <c r="G159" s="22">
        <f t="shared" si="4"/>
        <v>569.39099999999996</v>
      </c>
      <c r="H159" s="22">
        <f>IFERROR(IF(Yearending&gt;B158,'5. Historical demand'!F159-'5. Historical demand'!C159-'5. Historical demand'!D159,""),"")</f>
        <v>89.029999999999973</v>
      </c>
      <c r="I159" s="22">
        <f t="shared" si="5"/>
        <v>480.36100000000005</v>
      </c>
    </row>
    <row r="160" spans="2:9" x14ac:dyDescent="0.2">
      <c r="B160" s="201">
        <f t="shared" si="3"/>
        <v>45591</v>
      </c>
      <c r="C160" s="92">
        <v>590.97</v>
      </c>
      <c r="D160" s="92"/>
      <c r="E160" s="92">
        <v>132.40799999999999</v>
      </c>
      <c r="F160" s="92">
        <v>680</v>
      </c>
      <c r="G160" s="22">
        <f t="shared" si="4"/>
        <v>547.59199999999998</v>
      </c>
      <c r="H160" s="22">
        <f>IFERROR(IF(Yearending&gt;B159,'5. Historical demand'!F160-'5. Historical demand'!C160-'5. Historical demand'!D160,""),"")</f>
        <v>89.029999999999973</v>
      </c>
      <c r="I160" s="22">
        <f t="shared" si="5"/>
        <v>458.56200000000001</v>
      </c>
    </row>
    <row r="161" spans="2:9" x14ac:dyDescent="0.2">
      <c r="B161" s="201">
        <f t="shared" si="3"/>
        <v>45592</v>
      </c>
      <c r="C161" s="92">
        <v>590.97</v>
      </c>
      <c r="D161" s="92"/>
      <c r="E161" s="92">
        <v>69.811999999999998</v>
      </c>
      <c r="F161" s="92">
        <v>680</v>
      </c>
      <c r="G161" s="22">
        <f t="shared" si="4"/>
        <v>610.18799999999999</v>
      </c>
      <c r="H161" s="22">
        <f>IFERROR(IF(Yearending&gt;B160,'5. Historical demand'!F161-'5. Historical demand'!C161-'5. Historical demand'!D161,""),"")</f>
        <v>89.029999999999973</v>
      </c>
      <c r="I161" s="22">
        <f t="shared" si="5"/>
        <v>521.15800000000002</v>
      </c>
    </row>
    <row r="162" spans="2:9" x14ac:dyDescent="0.2">
      <c r="B162" s="201">
        <f t="shared" si="3"/>
        <v>45593</v>
      </c>
      <c r="C162" s="92">
        <v>590.97</v>
      </c>
      <c r="D162" s="92"/>
      <c r="E162" s="92">
        <v>96.504000000000005</v>
      </c>
      <c r="F162" s="92">
        <v>680</v>
      </c>
      <c r="G162" s="22">
        <f t="shared" si="4"/>
        <v>583.49599999999998</v>
      </c>
      <c r="H162" s="22">
        <f>IFERROR(IF(Yearending&gt;B161,'5. Historical demand'!F162-'5. Historical demand'!C162-'5. Historical demand'!D162,""),"")</f>
        <v>89.029999999999973</v>
      </c>
      <c r="I162" s="22">
        <f t="shared" si="5"/>
        <v>494.46600000000001</v>
      </c>
    </row>
    <row r="163" spans="2:9" x14ac:dyDescent="0.2">
      <c r="B163" s="201">
        <f t="shared" si="3"/>
        <v>45594</v>
      </c>
      <c r="C163" s="92">
        <v>590.97</v>
      </c>
      <c r="D163" s="92"/>
      <c r="E163" s="92">
        <v>107.935</v>
      </c>
      <c r="F163" s="92">
        <v>680</v>
      </c>
      <c r="G163" s="22">
        <f t="shared" si="4"/>
        <v>572.06500000000005</v>
      </c>
      <c r="H163" s="22">
        <f>IFERROR(IF(Yearending&gt;B162,'5. Historical demand'!F163-'5. Historical demand'!C163-'5. Historical demand'!D163,""),"")</f>
        <v>89.029999999999973</v>
      </c>
      <c r="I163" s="22">
        <f t="shared" si="5"/>
        <v>483.03500000000003</v>
      </c>
    </row>
    <row r="164" spans="2:9" x14ac:dyDescent="0.2">
      <c r="B164" s="201">
        <f t="shared" si="3"/>
        <v>45595</v>
      </c>
      <c r="C164" s="92">
        <v>590.97</v>
      </c>
      <c r="D164" s="92"/>
      <c r="E164" s="92">
        <v>65.787000000000006</v>
      </c>
      <c r="F164" s="92">
        <v>680</v>
      </c>
      <c r="G164" s="22">
        <f t="shared" si="4"/>
        <v>614.21299999999997</v>
      </c>
      <c r="H164" s="22">
        <f>IFERROR(IF(Yearending&gt;B163,'5. Historical demand'!F164-'5. Historical demand'!C164-'5. Historical demand'!D164,""),"")</f>
        <v>89.029999999999973</v>
      </c>
      <c r="I164" s="22">
        <f t="shared" si="5"/>
        <v>525.18299999999999</v>
      </c>
    </row>
    <row r="165" spans="2:9" x14ac:dyDescent="0.2">
      <c r="B165" s="201">
        <f t="shared" si="3"/>
        <v>45596</v>
      </c>
      <c r="C165" s="92">
        <v>590.97</v>
      </c>
      <c r="D165" s="92"/>
      <c r="E165" s="92">
        <v>42.123000000000005</v>
      </c>
      <c r="F165" s="92">
        <v>680</v>
      </c>
      <c r="G165" s="22">
        <f t="shared" si="4"/>
        <v>637.87699999999995</v>
      </c>
      <c r="H165" s="22">
        <f>IFERROR(IF(Yearending&gt;B164,'5. Historical demand'!F165-'5. Historical demand'!C165-'5. Historical demand'!D165,""),"")</f>
        <v>89.029999999999973</v>
      </c>
      <c r="I165" s="22">
        <f t="shared" si="5"/>
        <v>548.84699999999998</v>
      </c>
    </row>
    <row r="166" spans="2:9" x14ac:dyDescent="0.2">
      <c r="B166" s="201">
        <f t="shared" si="3"/>
        <v>45597</v>
      </c>
      <c r="C166" s="92">
        <v>590.97</v>
      </c>
      <c r="D166" s="92"/>
      <c r="E166" s="92">
        <v>91.872</v>
      </c>
      <c r="F166" s="92">
        <v>680</v>
      </c>
      <c r="G166" s="22">
        <f t="shared" si="4"/>
        <v>588.12800000000004</v>
      </c>
      <c r="H166" s="22">
        <f>IFERROR(IF(Yearending&gt;B165,'5. Historical demand'!F166-'5. Historical demand'!C166-'5. Historical demand'!D166,""),"")</f>
        <v>89.029999999999973</v>
      </c>
      <c r="I166" s="22">
        <f t="shared" si="5"/>
        <v>499.09800000000001</v>
      </c>
    </row>
    <row r="167" spans="2:9" x14ac:dyDescent="0.2">
      <c r="B167" s="201">
        <f t="shared" si="3"/>
        <v>45598</v>
      </c>
      <c r="C167" s="92">
        <v>590.97</v>
      </c>
      <c r="D167" s="92"/>
      <c r="E167" s="92">
        <v>143.285</v>
      </c>
      <c r="F167" s="92">
        <v>680</v>
      </c>
      <c r="G167" s="22">
        <f t="shared" si="4"/>
        <v>536.71500000000003</v>
      </c>
      <c r="H167" s="22">
        <f>IFERROR(IF(Yearending&gt;B166,'5. Historical demand'!F167-'5. Historical demand'!C167-'5. Historical demand'!D167,""),"")</f>
        <v>89.029999999999973</v>
      </c>
      <c r="I167" s="22">
        <f t="shared" si="5"/>
        <v>447.68500000000006</v>
      </c>
    </row>
    <row r="168" spans="2:9" x14ac:dyDescent="0.2">
      <c r="B168" s="201">
        <f t="shared" si="3"/>
        <v>45599</v>
      </c>
      <c r="C168" s="92">
        <v>590.97</v>
      </c>
      <c r="D168" s="92"/>
      <c r="E168" s="92">
        <v>147.77500000000001</v>
      </c>
      <c r="F168" s="92">
        <v>680</v>
      </c>
      <c r="G168" s="22">
        <f t="shared" si="4"/>
        <v>532.22500000000002</v>
      </c>
      <c r="H168" s="22">
        <f>IFERROR(IF(Yearending&gt;B167,'5. Historical demand'!F168-'5. Historical demand'!C168-'5. Historical demand'!D168,""),"")</f>
        <v>89.029999999999973</v>
      </c>
      <c r="I168" s="22">
        <f t="shared" si="5"/>
        <v>443.19500000000005</v>
      </c>
    </row>
    <row r="169" spans="2:9" x14ac:dyDescent="0.2">
      <c r="B169" s="201">
        <f t="shared" si="3"/>
        <v>45600</v>
      </c>
      <c r="C169" s="92">
        <v>590.97</v>
      </c>
      <c r="D169" s="92"/>
      <c r="E169" s="92">
        <v>189.82800000000003</v>
      </c>
      <c r="F169" s="92">
        <v>680</v>
      </c>
      <c r="G169" s="22">
        <f t="shared" si="4"/>
        <v>490.17199999999997</v>
      </c>
      <c r="H169" s="22">
        <f>IFERROR(IF(Yearending&gt;B168,'5. Historical demand'!F169-'5. Historical demand'!C169-'5. Historical demand'!D169,""),"")</f>
        <v>89.029999999999973</v>
      </c>
      <c r="I169" s="22">
        <f t="shared" si="5"/>
        <v>401.142</v>
      </c>
    </row>
    <row r="170" spans="2:9" x14ac:dyDescent="0.2">
      <c r="B170" s="201">
        <f t="shared" si="3"/>
        <v>45601</v>
      </c>
      <c r="C170" s="92">
        <v>590.97</v>
      </c>
      <c r="D170" s="92"/>
      <c r="E170" s="92">
        <v>150.58099999999999</v>
      </c>
      <c r="F170" s="92">
        <v>680</v>
      </c>
      <c r="G170" s="22">
        <f t="shared" si="4"/>
        <v>529.41899999999998</v>
      </c>
      <c r="H170" s="22">
        <f>IFERROR(IF(Yearending&gt;B169,'5. Historical demand'!F170-'5. Historical demand'!C170-'5. Historical demand'!D170,""),"")</f>
        <v>89.029999999999973</v>
      </c>
      <c r="I170" s="22">
        <f t="shared" si="5"/>
        <v>440.38900000000001</v>
      </c>
    </row>
    <row r="171" spans="2:9" x14ac:dyDescent="0.2">
      <c r="B171" s="201">
        <f t="shared" si="3"/>
        <v>45602</v>
      </c>
      <c r="C171" s="92">
        <v>590.97</v>
      </c>
      <c r="D171" s="92"/>
      <c r="E171" s="92">
        <v>152.28700000000001</v>
      </c>
      <c r="F171" s="92">
        <v>680</v>
      </c>
      <c r="G171" s="22">
        <f t="shared" si="4"/>
        <v>527.71299999999997</v>
      </c>
      <c r="H171" s="22">
        <f>IFERROR(IF(Yearending&gt;B170,'5. Historical demand'!F171-'5. Historical demand'!C171-'5. Historical demand'!D171,""),"")</f>
        <v>89.029999999999973</v>
      </c>
      <c r="I171" s="22">
        <f t="shared" si="5"/>
        <v>438.68299999999999</v>
      </c>
    </row>
    <row r="172" spans="2:9" x14ac:dyDescent="0.2">
      <c r="B172" s="201">
        <f t="shared" ref="B172:B235" si="6">IFERROR(IF(Yearending&gt;B171, B171+1, ""),"")</f>
        <v>45603</v>
      </c>
      <c r="C172" s="92">
        <v>590.97</v>
      </c>
      <c r="D172" s="92"/>
      <c r="E172" s="92">
        <v>185.315</v>
      </c>
      <c r="F172" s="92">
        <v>680</v>
      </c>
      <c r="G172" s="22">
        <f t="shared" ref="G172:G235" si="7">IFERROR(IF(Yearending&gt;B171,F172-E172,""),"")</f>
        <v>494.685</v>
      </c>
      <c r="H172" s="22">
        <f>IFERROR(IF(Yearending&gt;B171,'5. Historical demand'!F172-'5. Historical demand'!C172-'5. Historical demand'!D172,""),"")</f>
        <v>89.029999999999973</v>
      </c>
      <c r="I172" s="22">
        <f t="shared" ref="I172:I235" si="8">IFERROR(IF(Yearending&gt;B171,C172+D172-E172,""),"")</f>
        <v>405.65500000000003</v>
      </c>
    </row>
    <row r="173" spans="2:9" x14ac:dyDescent="0.2">
      <c r="B173" s="201">
        <f t="shared" si="6"/>
        <v>45604</v>
      </c>
      <c r="C173" s="92">
        <v>590.97</v>
      </c>
      <c r="D173" s="92"/>
      <c r="E173" s="92">
        <v>139.75399999999999</v>
      </c>
      <c r="F173" s="92">
        <v>680</v>
      </c>
      <c r="G173" s="22">
        <f t="shared" si="7"/>
        <v>540.24599999999998</v>
      </c>
      <c r="H173" s="22">
        <f>IFERROR(IF(Yearending&gt;B172,'5. Historical demand'!F173-'5. Historical demand'!C173-'5. Historical demand'!D173,""),"")</f>
        <v>89.029999999999973</v>
      </c>
      <c r="I173" s="22">
        <f t="shared" si="8"/>
        <v>451.21600000000001</v>
      </c>
    </row>
    <row r="174" spans="2:9" x14ac:dyDescent="0.2">
      <c r="B174" s="201">
        <f t="shared" si="6"/>
        <v>45605</v>
      </c>
      <c r="C174" s="92">
        <v>590.97</v>
      </c>
      <c r="D174" s="92"/>
      <c r="E174" s="92">
        <v>146.26300000000001</v>
      </c>
      <c r="F174" s="92">
        <v>680</v>
      </c>
      <c r="G174" s="22">
        <f t="shared" si="7"/>
        <v>533.73699999999997</v>
      </c>
      <c r="H174" s="22">
        <f>IFERROR(IF(Yearending&gt;B173,'5. Historical demand'!F174-'5. Historical demand'!C174-'5. Historical demand'!D174,""),"")</f>
        <v>89.029999999999973</v>
      </c>
      <c r="I174" s="22">
        <f t="shared" si="8"/>
        <v>444.70699999999999</v>
      </c>
    </row>
    <row r="175" spans="2:9" x14ac:dyDescent="0.2">
      <c r="B175" s="201">
        <f t="shared" si="6"/>
        <v>45606</v>
      </c>
      <c r="C175" s="92">
        <v>590.97</v>
      </c>
      <c r="D175" s="92"/>
      <c r="E175" s="92">
        <v>165.36199999999999</v>
      </c>
      <c r="F175" s="92">
        <v>680</v>
      </c>
      <c r="G175" s="22">
        <f t="shared" si="7"/>
        <v>514.63800000000003</v>
      </c>
      <c r="H175" s="22">
        <f>IFERROR(IF(Yearending&gt;B174,'5. Historical demand'!F175-'5. Historical demand'!C175-'5. Historical demand'!D175,""),"")</f>
        <v>89.029999999999973</v>
      </c>
      <c r="I175" s="22">
        <f t="shared" si="8"/>
        <v>425.60800000000006</v>
      </c>
    </row>
    <row r="176" spans="2:9" x14ac:dyDescent="0.2">
      <c r="B176" s="201">
        <f t="shared" si="6"/>
        <v>45607</v>
      </c>
      <c r="C176" s="92">
        <v>590.97</v>
      </c>
      <c r="D176" s="92"/>
      <c r="E176" s="92">
        <v>173.21999999999997</v>
      </c>
      <c r="F176" s="92">
        <v>680</v>
      </c>
      <c r="G176" s="22">
        <f t="shared" si="7"/>
        <v>506.78000000000003</v>
      </c>
      <c r="H176" s="22">
        <f>IFERROR(IF(Yearending&gt;B175,'5. Historical demand'!F176-'5. Historical demand'!C176-'5. Historical demand'!D176,""),"")</f>
        <v>89.029999999999973</v>
      </c>
      <c r="I176" s="22">
        <f t="shared" si="8"/>
        <v>417.75000000000006</v>
      </c>
    </row>
    <row r="177" spans="2:9" x14ac:dyDescent="0.2">
      <c r="B177" s="201">
        <f t="shared" si="6"/>
        <v>45608</v>
      </c>
      <c r="C177" s="92">
        <v>590.97</v>
      </c>
      <c r="D177" s="92"/>
      <c r="E177" s="92">
        <v>197.92799999999997</v>
      </c>
      <c r="F177" s="92">
        <v>680</v>
      </c>
      <c r="G177" s="22">
        <f t="shared" si="7"/>
        <v>482.072</v>
      </c>
      <c r="H177" s="22">
        <f>IFERROR(IF(Yearending&gt;B176,'5. Historical demand'!F177-'5. Historical demand'!C177-'5. Historical demand'!D177,""),"")</f>
        <v>89.029999999999973</v>
      </c>
      <c r="I177" s="22">
        <f t="shared" si="8"/>
        <v>393.04200000000003</v>
      </c>
    </row>
    <row r="178" spans="2:9" x14ac:dyDescent="0.2">
      <c r="B178" s="201">
        <f t="shared" si="6"/>
        <v>45609</v>
      </c>
      <c r="C178" s="92">
        <v>590.97</v>
      </c>
      <c r="D178" s="92"/>
      <c r="E178" s="92">
        <v>166.04000000000002</v>
      </c>
      <c r="F178" s="92">
        <v>680</v>
      </c>
      <c r="G178" s="22">
        <f t="shared" si="7"/>
        <v>513.96</v>
      </c>
      <c r="H178" s="22">
        <f>IFERROR(IF(Yearending&gt;B177,'5. Historical demand'!F178-'5. Historical demand'!C178-'5. Historical demand'!D178,""),"")</f>
        <v>89.029999999999973</v>
      </c>
      <c r="I178" s="22">
        <f t="shared" si="8"/>
        <v>424.93</v>
      </c>
    </row>
    <row r="179" spans="2:9" x14ac:dyDescent="0.2">
      <c r="B179" s="201">
        <f t="shared" si="6"/>
        <v>45610</v>
      </c>
      <c r="C179" s="92">
        <v>590.97</v>
      </c>
      <c r="D179" s="92"/>
      <c r="E179" s="92">
        <v>182.43899999999996</v>
      </c>
      <c r="F179" s="92">
        <v>680</v>
      </c>
      <c r="G179" s="22">
        <f t="shared" si="7"/>
        <v>497.56100000000004</v>
      </c>
      <c r="H179" s="22">
        <f>IFERROR(IF(Yearending&gt;B178,'5. Historical demand'!F179-'5. Historical demand'!C179-'5. Historical demand'!D179,""),"")</f>
        <v>89.029999999999973</v>
      </c>
      <c r="I179" s="22">
        <f t="shared" si="8"/>
        <v>408.53100000000006</v>
      </c>
    </row>
    <row r="180" spans="2:9" x14ac:dyDescent="0.2">
      <c r="B180" s="201">
        <f t="shared" si="6"/>
        <v>45611</v>
      </c>
      <c r="C180" s="92">
        <v>590.97</v>
      </c>
      <c r="D180" s="92"/>
      <c r="E180" s="92">
        <v>179.25299999999999</v>
      </c>
      <c r="F180" s="92">
        <v>680</v>
      </c>
      <c r="G180" s="22">
        <f t="shared" si="7"/>
        <v>500.74700000000001</v>
      </c>
      <c r="H180" s="22">
        <f>IFERROR(IF(Yearending&gt;B179,'5. Historical demand'!F180-'5. Historical demand'!C180-'5. Historical demand'!D180,""),"")</f>
        <v>89.029999999999973</v>
      </c>
      <c r="I180" s="22">
        <f t="shared" si="8"/>
        <v>411.71700000000004</v>
      </c>
    </row>
    <row r="181" spans="2:9" x14ac:dyDescent="0.2">
      <c r="B181" s="201">
        <f t="shared" si="6"/>
        <v>45612</v>
      </c>
      <c r="C181" s="92">
        <v>590.97</v>
      </c>
      <c r="D181" s="92"/>
      <c r="E181" s="92">
        <v>206.66800000000001</v>
      </c>
      <c r="F181" s="92">
        <v>680</v>
      </c>
      <c r="G181" s="22">
        <f t="shared" si="7"/>
        <v>473.33199999999999</v>
      </c>
      <c r="H181" s="22">
        <f>IFERROR(IF(Yearending&gt;B180,'5. Historical demand'!F181-'5. Historical demand'!C181-'5. Historical demand'!D181,""),"")</f>
        <v>89.029999999999973</v>
      </c>
      <c r="I181" s="22">
        <f t="shared" si="8"/>
        <v>384.30200000000002</v>
      </c>
    </row>
    <row r="182" spans="2:9" x14ac:dyDescent="0.2">
      <c r="B182" s="201">
        <f t="shared" si="6"/>
        <v>45613</v>
      </c>
      <c r="C182" s="92">
        <v>590.97</v>
      </c>
      <c r="D182" s="92"/>
      <c r="E182" s="92">
        <v>226.834</v>
      </c>
      <c r="F182" s="92">
        <v>680</v>
      </c>
      <c r="G182" s="22">
        <f t="shared" si="7"/>
        <v>453.166</v>
      </c>
      <c r="H182" s="22">
        <f>IFERROR(IF(Yearending&gt;B181,'5. Historical demand'!F182-'5. Historical demand'!C182-'5. Historical demand'!D182,""),"")</f>
        <v>89.029999999999973</v>
      </c>
      <c r="I182" s="22">
        <f t="shared" si="8"/>
        <v>364.13600000000002</v>
      </c>
    </row>
    <row r="183" spans="2:9" x14ac:dyDescent="0.2">
      <c r="B183" s="201">
        <f t="shared" si="6"/>
        <v>45614</v>
      </c>
      <c r="C183" s="92">
        <v>590.97</v>
      </c>
      <c r="D183" s="92"/>
      <c r="E183" s="92">
        <v>225.28299999999999</v>
      </c>
      <c r="F183" s="92">
        <v>680</v>
      </c>
      <c r="G183" s="22">
        <f t="shared" si="7"/>
        <v>454.71699999999998</v>
      </c>
      <c r="H183" s="22">
        <f>IFERROR(IF(Yearending&gt;B182,'5. Historical demand'!F183-'5. Historical demand'!C183-'5. Historical demand'!D183,""),"")</f>
        <v>89.029999999999973</v>
      </c>
      <c r="I183" s="22">
        <f t="shared" si="8"/>
        <v>365.68700000000001</v>
      </c>
    </row>
    <row r="184" spans="2:9" x14ac:dyDescent="0.2">
      <c r="B184" s="201">
        <f t="shared" si="6"/>
        <v>45615</v>
      </c>
      <c r="C184" s="92">
        <v>590.97</v>
      </c>
      <c r="D184" s="92"/>
      <c r="E184" s="92">
        <v>205.178</v>
      </c>
      <c r="F184" s="92">
        <v>680</v>
      </c>
      <c r="G184" s="22">
        <f t="shared" si="7"/>
        <v>474.822</v>
      </c>
      <c r="H184" s="22">
        <f>IFERROR(IF(Yearending&gt;B183,'5. Historical demand'!F184-'5. Historical demand'!C184-'5. Historical demand'!D184,""),"")</f>
        <v>89.029999999999973</v>
      </c>
      <c r="I184" s="22">
        <f t="shared" si="8"/>
        <v>385.79200000000003</v>
      </c>
    </row>
    <row r="185" spans="2:9" x14ac:dyDescent="0.2">
      <c r="B185" s="201">
        <f t="shared" si="6"/>
        <v>45616</v>
      </c>
      <c r="C185" s="92">
        <v>590.97</v>
      </c>
      <c r="D185" s="92"/>
      <c r="E185" s="92">
        <v>211.66099999999997</v>
      </c>
      <c r="F185" s="92">
        <v>680</v>
      </c>
      <c r="G185" s="22">
        <f t="shared" si="7"/>
        <v>468.33900000000006</v>
      </c>
      <c r="H185" s="22">
        <f>IFERROR(IF(Yearending&gt;B184,'5. Historical demand'!F185-'5. Historical demand'!C185-'5. Historical demand'!D185,""),"")</f>
        <v>89.029999999999973</v>
      </c>
      <c r="I185" s="22">
        <f t="shared" si="8"/>
        <v>379.30900000000008</v>
      </c>
    </row>
    <row r="186" spans="2:9" x14ac:dyDescent="0.2">
      <c r="B186" s="201">
        <f t="shared" si="6"/>
        <v>45617</v>
      </c>
      <c r="C186" s="92">
        <v>590.97</v>
      </c>
      <c r="D186" s="92"/>
      <c r="E186" s="92">
        <v>161.51400000000001</v>
      </c>
      <c r="F186" s="92">
        <v>680</v>
      </c>
      <c r="G186" s="22">
        <f t="shared" si="7"/>
        <v>518.48599999999999</v>
      </c>
      <c r="H186" s="22">
        <f>IFERROR(IF(Yearending&gt;B185,'5. Historical demand'!F186-'5. Historical demand'!C186-'5. Historical demand'!D186,""),"")</f>
        <v>89.029999999999973</v>
      </c>
      <c r="I186" s="22">
        <f t="shared" si="8"/>
        <v>429.45600000000002</v>
      </c>
    </row>
    <row r="187" spans="2:9" x14ac:dyDescent="0.2">
      <c r="B187" s="201">
        <f t="shared" si="6"/>
        <v>45618</v>
      </c>
      <c r="C187" s="92">
        <v>590.97</v>
      </c>
      <c r="D187" s="92"/>
      <c r="E187" s="92">
        <v>167.34799999999998</v>
      </c>
      <c r="F187" s="92">
        <v>680</v>
      </c>
      <c r="G187" s="22">
        <f t="shared" si="7"/>
        <v>512.65200000000004</v>
      </c>
      <c r="H187" s="22">
        <f>IFERROR(IF(Yearending&gt;B186,'5. Historical demand'!F187-'5. Historical demand'!C187-'5. Historical demand'!D187,""),"")</f>
        <v>89.029999999999973</v>
      </c>
      <c r="I187" s="22">
        <f t="shared" si="8"/>
        <v>423.62200000000007</v>
      </c>
    </row>
    <row r="188" spans="2:9" x14ac:dyDescent="0.2">
      <c r="B188" s="201">
        <f t="shared" si="6"/>
        <v>45619</v>
      </c>
      <c r="C188" s="92">
        <v>590.97</v>
      </c>
      <c r="D188" s="92"/>
      <c r="E188" s="92">
        <v>257.18700000000001</v>
      </c>
      <c r="F188" s="92">
        <v>680</v>
      </c>
      <c r="G188" s="22">
        <f t="shared" si="7"/>
        <v>422.81299999999999</v>
      </c>
      <c r="H188" s="22">
        <f>IFERROR(IF(Yearending&gt;B187,'5. Historical demand'!F188-'5. Historical demand'!C188-'5. Historical demand'!D188,""),"")</f>
        <v>89.029999999999973</v>
      </c>
      <c r="I188" s="22">
        <f t="shared" si="8"/>
        <v>333.78300000000002</v>
      </c>
    </row>
    <row r="189" spans="2:9" x14ac:dyDescent="0.2">
      <c r="B189" s="201">
        <f t="shared" si="6"/>
        <v>45620</v>
      </c>
      <c r="C189" s="92">
        <v>590.97</v>
      </c>
      <c r="D189" s="92"/>
      <c r="E189" s="92">
        <v>289</v>
      </c>
      <c r="F189" s="92">
        <v>680</v>
      </c>
      <c r="G189" s="22">
        <f t="shared" si="7"/>
        <v>391</v>
      </c>
      <c r="H189" s="22">
        <f>IFERROR(IF(Yearending&gt;B188,'5. Historical demand'!F189-'5. Historical demand'!C189-'5. Historical demand'!D189,""),"")</f>
        <v>89.029999999999973</v>
      </c>
      <c r="I189" s="22">
        <f t="shared" si="8"/>
        <v>301.97000000000003</v>
      </c>
    </row>
    <row r="190" spans="2:9" x14ac:dyDescent="0.2">
      <c r="B190" s="201">
        <f t="shared" si="6"/>
        <v>45621</v>
      </c>
      <c r="C190" s="92">
        <v>590.97</v>
      </c>
      <c r="D190" s="92"/>
      <c r="E190" s="92">
        <v>267.483</v>
      </c>
      <c r="F190" s="92">
        <v>680</v>
      </c>
      <c r="G190" s="22">
        <f t="shared" si="7"/>
        <v>412.517</v>
      </c>
      <c r="H190" s="22">
        <f>IFERROR(IF(Yearending&gt;B189,'5. Historical demand'!F190-'5. Historical demand'!C190-'5. Historical demand'!D190,""),"")</f>
        <v>89.029999999999973</v>
      </c>
      <c r="I190" s="22">
        <f t="shared" si="8"/>
        <v>323.48700000000002</v>
      </c>
    </row>
    <row r="191" spans="2:9" x14ac:dyDescent="0.2">
      <c r="B191" s="201">
        <f t="shared" si="6"/>
        <v>45622</v>
      </c>
      <c r="C191" s="92">
        <v>590.97</v>
      </c>
      <c r="D191" s="92"/>
      <c r="E191" s="92">
        <v>203.61</v>
      </c>
      <c r="F191" s="92">
        <v>680</v>
      </c>
      <c r="G191" s="22">
        <f t="shared" si="7"/>
        <v>476.39</v>
      </c>
      <c r="H191" s="22">
        <f>IFERROR(IF(Yearending&gt;B190,'5. Historical demand'!F191-'5. Historical demand'!C191-'5. Historical demand'!D191,""),"")</f>
        <v>89.029999999999973</v>
      </c>
      <c r="I191" s="22">
        <f t="shared" si="8"/>
        <v>387.36</v>
      </c>
    </row>
    <row r="192" spans="2:9" x14ac:dyDescent="0.2">
      <c r="B192" s="201">
        <f t="shared" si="6"/>
        <v>45623</v>
      </c>
      <c r="C192" s="92">
        <v>590.97</v>
      </c>
      <c r="D192" s="92"/>
      <c r="E192" s="92">
        <v>190.14100000000002</v>
      </c>
      <c r="F192" s="92">
        <v>680</v>
      </c>
      <c r="G192" s="22">
        <f t="shared" si="7"/>
        <v>489.85899999999998</v>
      </c>
      <c r="H192" s="22">
        <f>IFERROR(IF(Yearending&gt;B191,'5. Historical demand'!F192-'5. Historical demand'!C192-'5. Historical demand'!D192,""),"")</f>
        <v>89.029999999999973</v>
      </c>
      <c r="I192" s="22">
        <f t="shared" si="8"/>
        <v>400.82900000000001</v>
      </c>
    </row>
    <row r="193" spans="2:9" x14ac:dyDescent="0.2">
      <c r="B193" s="201">
        <f t="shared" si="6"/>
        <v>45624</v>
      </c>
      <c r="C193" s="92">
        <v>590.97</v>
      </c>
      <c r="D193" s="92"/>
      <c r="E193" s="92">
        <v>218.90799999999999</v>
      </c>
      <c r="F193" s="92">
        <v>680</v>
      </c>
      <c r="G193" s="22">
        <f t="shared" si="7"/>
        <v>461.09199999999998</v>
      </c>
      <c r="H193" s="22">
        <f>IFERROR(IF(Yearending&gt;B192,'5. Historical demand'!F193-'5. Historical demand'!C193-'5. Historical demand'!D193,""),"")</f>
        <v>89.029999999999973</v>
      </c>
      <c r="I193" s="22">
        <f t="shared" si="8"/>
        <v>372.06200000000001</v>
      </c>
    </row>
    <row r="194" spans="2:9" x14ac:dyDescent="0.2">
      <c r="B194" s="201">
        <f t="shared" si="6"/>
        <v>45625</v>
      </c>
      <c r="C194" s="92">
        <v>590.97</v>
      </c>
      <c r="D194" s="92"/>
      <c r="E194" s="92">
        <v>216.667</v>
      </c>
      <c r="F194" s="92">
        <v>680</v>
      </c>
      <c r="G194" s="22">
        <f t="shared" si="7"/>
        <v>463.33299999999997</v>
      </c>
      <c r="H194" s="22">
        <f>IFERROR(IF(Yearending&gt;B193,'5. Historical demand'!F194-'5. Historical demand'!C194-'5. Historical demand'!D194,""),"")</f>
        <v>89.029999999999973</v>
      </c>
      <c r="I194" s="22">
        <f t="shared" si="8"/>
        <v>374.303</v>
      </c>
    </row>
    <row r="195" spans="2:9" x14ac:dyDescent="0.2">
      <c r="B195" s="201">
        <f t="shared" si="6"/>
        <v>45626</v>
      </c>
      <c r="C195" s="92">
        <v>590.97</v>
      </c>
      <c r="D195" s="92"/>
      <c r="E195" s="92">
        <v>216.51499999999999</v>
      </c>
      <c r="F195" s="92">
        <v>680</v>
      </c>
      <c r="G195" s="22">
        <f t="shared" si="7"/>
        <v>463.48500000000001</v>
      </c>
      <c r="H195" s="22">
        <f>IFERROR(IF(Yearending&gt;B194,'5. Historical demand'!F195-'5. Historical demand'!C195-'5. Historical demand'!D195,""),"")</f>
        <v>89.029999999999973</v>
      </c>
      <c r="I195" s="22">
        <f t="shared" si="8"/>
        <v>374.45500000000004</v>
      </c>
    </row>
    <row r="196" spans="2:9" x14ac:dyDescent="0.2">
      <c r="B196" s="201">
        <f t="shared" si="6"/>
        <v>45627</v>
      </c>
      <c r="C196" s="92">
        <v>590.97</v>
      </c>
      <c r="D196" s="92"/>
      <c r="E196" s="92">
        <v>193.255</v>
      </c>
      <c r="F196" s="92">
        <v>680</v>
      </c>
      <c r="G196" s="22">
        <f t="shared" si="7"/>
        <v>486.745</v>
      </c>
      <c r="H196" s="22">
        <f>IFERROR(IF(Yearending&gt;B195,'5. Historical demand'!F196-'5. Historical demand'!C196-'5. Historical demand'!D196,""),"")</f>
        <v>89.029999999999973</v>
      </c>
      <c r="I196" s="22">
        <f t="shared" si="8"/>
        <v>397.71500000000003</v>
      </c>
    </row>
    <row r="197" spans="2:9" x14ac:dyDescent="0.2">
      <c r="B197" s="201">
        <f t="shared" si="6"/>
        <v>45628</v>
      </c>
      <c r="C197" s="92">
        <v>590.97</v>
      </c>
      <c r="D197" s="92"/>
      <c r="E197" s="92">
        <v>210.983</v>
      </c>
      <c r="F197" s="92">
        <v>680</v>
      </c>
      <c r="G197" s="22">
        <f t="shared" si="7"/>
        <v>469.017</v>
      </c>
      <c r="H197" s="22">
        <f>IFERROR(IF(Yearending&gt;B196,'5. Historical demand'!F197-'5. Historical demand'!C197-'5. Historical demand'!D197,""),"")</f>
        <v>89.029999999999973</v>
      </c>
      <c r="I197" s="22">
        <f t="shared" si="8"/>
        <v>379.98700000000002</v>
      </c>
    </row>
    <row r="198" spans="2:9" x14ac:dyDescent="0.2">
      <c r="B198" s="201">
        <f t="shared" si="6"/>
        <v>45629</v>
      </c>
      <c r="C198" s="92">
        <v>590.97</v>
      </c>
      <c r="D198" s="92"/>
      <c r="E198" s="92">
        <v>202.44900000000001</v>
      </c>
      <c r="F198" s="92">
        <v>680</v>
      </c>
      <c r="G198" s="22">
        <f t="shared" si="7"/>
        <v>477.55099999999999</v>
      </c>
      <c r="H198" s="22">
        <f>IFERROR(IF(Yearending&gt;B197,'5. Historical demand'!F198-'5. Historical demand'!C198-'5. Historical demand'!D198,""),"")</f>
        <v>89.029999999999973</v>
      </c>
      <c r="I198" s="22">
        <f t="shared" si="8"/>
        <v>388.52100000000002</v>
      </c>
    </row>
    <row r="199" spans="2:9" x14ac:dyDescent="0.2">
      <c r="B199" s="201">
        <f t="shared" si="6"/>
        <v>45630</v>
      </c>
      <c r="C199" s="92">
        <v>590.97</v>
      </c>
      <c r="D199" s="92"/>
      <c r="E199" s="92">
        <v>208.89599999999999</v>
      </c>
      <c r="F199" s="92">
        <v>680</v>
      </c>
      <c r="G199" s="22">
        <f t="shared" si="7"/>
        <v>471.10400000000004</v>
      </c>
      <c r="H199" s="22">
        <f>IFERROR(IF(Yearending&gt;B198,'5. Historical demand'!F199-'5. Historical demand'!C199-'5. Historical demand'!D199,""),"")</f>
        <v>89.029999999999973</v>
      </c>
      <c r="I199" s="22">
        <f t="shared" si="8"/>
        <v>382.07400000000007</v>
      </c>
    </row>
    <row r="200" spans="2:9" x14ac:dyDescent="0.2">
      <c r="B200" s="201">
        <f t="shared" si="6"/>
        <v>45631</v>
      </c>
      <c r="C200" s="92">
        <v>590.97</v>
      </c>
      <c r="D200" s="92"/>
      <c r="E200" s="92">
        <v>206.20899999999997</v>
      </c>
      <c r="F200" s="92">
        <v>680</v>
      </c>
      <c r="G200" s="22">
        <f t="shared" si="7"/>
        <v>473.79100000000005</v>
      </c>
      <c r="H200" s="22">
        <f>IFERROR(IF(Yearending&gt;B199,'5. Historical demand'!F200-'5. Historical demand'!C200-'5. Historical demand'!D200,""),"")</f>
        <v>89.029999999999973</v>
      </c>
      <c r="I200" s="22">
        <f t="shared" si="8"/>
        <v>384.76100000000008</v>
      </c>
    </row>
    <row r="201" spans="2:9" x14ac:dyDescent="0.2">
      <c r="B201" s="201">
        <f t="shared" si="6"/>
        <v>45632</v>
      </c>
      <c r="C201" s="92">
        <v>590.97</v>
      </c>
      <c r="D201" s="92"/>
      <c r="E201" s="92">
        <v>217.49</v>
      </c>
      <c r="F201" s="92">
        <v>680</v>
      </c>
      <c r="G201" s="22">
        <f t="shared" si="7"/>
        <v>462.51</v>
      </c>
      <c r="H201" s="22">
        <f>IFERROR(IF(Yearending&gt;B200,'5. Historical demand'!F201-'5. Historical demand'!C201-'5. Historical demand'!D201,""),"")</f>
        <v>89.029999999999973</v>
      </c>
      <c r="I201" s="22">
        <f t="shared" si="8"/>
        <v>373.48</v>
      </c>
    </row>
    <row r="202" spans="2:9" x14ac:dyDescent="0.2">
      <c r="B202" s="201">
        <f t="shared" si="6"/>
        <v>45633</v>
      </c>
      <c r="C202" s="92">
        <v>590.97</v>
      </c>
      <c r="D202" s="92"/>
      <c r="E202" s="92">
        <v>192.87199999999999</v>
      </c>
      <c r="F202" s="92">
        <v>680</v>
      </c>
      <c r="G202" s="22">
        <f t="shared" si="7"/>
        <v>487.12800000000004</v>
      </c>
      <c r="H202" s="22">
        <f>IFERROR(IF(Yearending&gt;B201,'5. Historical demand'!F202-'5. Historical demand'!C202-'5. Historical demand'!D202,""),"")</f>
        <v>89.029999999999973</v>
      </c>
      <c r="I202" s="22">
        <f t="shared" si="8"/>
        <v>398.09800000000007</v>
      </c>
    </row>
    <row r="203" spans="2:9" x14ac:dyDescent="0.2">
      <c r="B203" s="201">
        <f t="shared" si="6"/>
        <v>45634</v>
      </c>
      <c r="C203" s="92">
        <v>590.97</v>
      </c>
      <c r="D203" s="92"/>
      <c r="E203" s="92">
        <v>191.99099999999999</v>
      </c>
      <c r="F203" s="92">
        <v>680</v>
      </c>
      <c r="G203" s="22">
        <f t="shared" si="7"/>
        <v>488.00900000000001</v>
      </c>
      <c r="H203" s="22">
        <f>IFERROR(IF(Yearending&gt;B202,'5. Historical demand'!F203-'5. Historical demand'!C203-'5. Historical demand'!D203,""),"")</f>
        <v>89.029999999999973</v>
      </c>
      <c r="I203" s="22">
        <f t="shared" si="8"/>
        <v>398.97900000000004</v>
      </c>
    </row>
    <row r="204" spans="2:9" x14ac:dyDescent="0.2">
      <c r="B204" s="201">
        <f t="shared" si="6"/>
        <v>45635</v>
      </c>
      <c r="C204" s="92">
        <v>590.97</v>
      </c>
      <c r="D204" s="92"/>
      <c r="E204" s="92">
        <v>212.67</v>
      </c>
      <c r="F204" s="92">
        <v>680</v>
      </c>
      <c r="G204" s="22">
        <f t="shared" si="7"/>
        <v>467.33000000000004</v>
      </c>
      <c r="H204" s="22">
        <f>IFERROR(IF(Yearending&gt;B203,'5. Historical demand'!F204-'5. Historical demand'!C204-'5. Historical demand'!D204,""),"")</f>
        <v>89.029999999999973</v>
      </c>
      <c r="I204" s="22">
        <f t="shared" si="8"/>
        <v>378.30000000000007</v>
      </c>
    </row>
    <row r="205" spans="2:9" x14ac:dyDescent="0.2">
      <c r="B205" s="201">
        <f t="shared" si="6"/>
        <v>45636</v>
      </c>
      <c r="C205" s="92">
        <v>590.97</v>
      </c>
      <c r="D205" s="92"/>
      <c r="E205" s="92">
        <v>189.90100000000001</v>
      </c>
      <c r="F205" s="92">
        <v>680</v>
      </c>
      <c r="G205" s="22">
        <f t="shared" si="7"/>
        <v>490.09899999999999</v>
      </c>
      <c r="H205" s="22">
        <f>IFERROR(IF(Yearending&gt;B204,'5. Historical demand'!F205-'5. Historical demand'!C205-'5. Historical demand'!D205,""),"")</f>
        <v>89.029999999999973</v>
      </c>
      <c r="I205" s="22">
        <f t="shared" si="8"/>
        <v>401.06900000000002</v>
      </c>
    </row>
    <row r="206" spans="2:9" x14ac:dyDescent="0.2">
      <c r="B206" s="201">
        <f t="shared" si="6"/>
        <v>45637</v>
      </c>
      <c r="C206" s="92">
        <v>590.97</v>
      </c>
      <c r="D206" s="92"/>
      <c r="E206" s="92">
        <v>227.73999999999998</v>
      </c>
      <c r="F206" s="92">
        <v>680</v>
      </c>
      <c r="G206" s="22">
        <f t="shared" si="7"/>
        <v>452.26</v>
      </c>
      <c r="H206" s="22">
        <f>IFERROR(IF(Yearending&gt;B205,'5. Historical demand'!F206-'5. Historical demand'!C206-'5. Historical demand'!D206,""),"")</f>
        <v>89.029999999999973</v>
      </c>
      <c r="I206" s="22">
        <f t="shared" si="8"/>
        <v>363.23</v>
      </c>
    </row>
    <row r="207" spans="2:9" x14ac:dyDescent="0.2">
      <c r="B207" s="201">
        <f t="shared" si="6"/>
        <v>45638</v>
      </c>
      <c r="C207" s="92">
        <v>590.97</v>
      </c>
      <c r="D207" s="92"/>
      <c r="E207" s="92">
        <v>271.32299999999998</v>
      </c>
      <c r="F207" s="92">
        <v>680</v>
      </c>
      <c r="G207" s="22">
        <f t="shared" si="7"/>
        <v>408.67700000000002</v>
      </c>
      <c r="H207" s="22">
        <f>IFERROR(IF(Yearending&gt;B206,'5. Historical demand'!F207-'5. Historical demand'!C207-'5. Historical demand'!D207,""),"")</f>
        <v>89.029999999999973</v>
      </c>
      <c r="I207" s="22">
        <f t="shared" si="8"/>
        <v>319.64700000000005</v>
      </c>
    </row>
    <row r="208" spans="2:9" x14ac:dyDescent="0.2">
      <c r="B208" s="201">
        <f t="shared" si="6"/>
        <v>45639</v>
      </c>
      <c r="C208" s="92">
        <v>590.97</v>
      </c>
      <c r="D208" s="92"/>
      <c r="E208" s="92">
        <v>253.75</v>
      </c>
      <c r="F208" s="92">
        <v>680</v>
      </c>
      <c r="G208" s="22">
        <f t="shared" si="7"/>
        <v>426.25</v>
      </c>
      <c r="H208" s="22">
        <f>IFERROR(IF(Yearending&gt;B207,'5. Historical demand'!F208-'5. Historical demand'!C208-'5. Historical demand'!D208,""),"")</f>
        <v>89.029999999999973</v>
      </c>
      <c r="I208" s="22">
        <f t="shared" si="8"/>
        <v>337.22</v>
      </c>
    </row>
    <row r="209" spans="2:9" x14ac:dyDescent="0.2">
      <c r="B209" s="201">
        <f t="shared" si="6"/>
        <v>45640</v>
      </c>
      <c r="C209" s="92">
        <v>590.97</v>
      </c>
      <c r="D209" s="92"/>
      <c r="E209" s="92">
        <v>265.85500000000002</v>
      </c>
      <c r="F209" s="92">
        <v>680</v>
      </c>
      <c r="G209" s="22">
        <f t="shared" si="7"/>
        <v>414.14499999999998</v>
      </c>
      <c r="H209" s="22">
        <f>IFERROR(IF(Yearending&gt;B208,'5. Historical demand'!F209-'5. Historical demand'!C209-'5. Historical demand'!D209,""),"")</f>
        <v>89.029999999999973</v>
      </c>
      <c r="I209" s="22">
        <f t="shared" si="8"/>
        <v>325.11500000000001</v>
      </c>
    </row>
    <row r="210" spans="2:9" x14ac:dyDescent="0.2">
      <c r="B210" s="201">
        <f t="shared" si="6"/>
        <v>45641</v>
      </c>
      <c r="C210" s="92">
        <v>590.97</v>
      </c>
      <c r="D210" s="92"/>
      <c r="E210" s="92">
        <v>247.61500000000001</v>
      </c>
      <c r="F210" s="92">
        <v>680</v>
      </c>
      <c r="G210" s="22">
        <f t="shared" si="7"/>
        <v>432.38499999999999</v>
      </c>
      <c r="H210" s="22">
        <f>IFERROR(IF(Yearending&gt;B209,'5. Historical demand'!F210-'5. Historical demand'!C210-'5. Historical demand'!D210,""),"")</f>
        <v>89.029999999999973</v>
      </c>
      <c r="I210" s="22">
        <f t="shared" si="8"/>
        <v>343.35500000000002</v>
      </c>
    </row>
    <row r="211" spans="2:9" x14ac:dyDescent="0.2">
      <c r="B211" s="201">
        <f t="shared" si="6"/>
        <v>45642</v>
      </c>
      <c r="C211" s="92">
        <v>590.97</v>
      </c>
      <c r="D211" s="92"/>
      <c r="E211" s="92">
        <v>213.43299999999999</v>
      </c>
      <c r="F211" s="92">
        <v>680</v>
      </c>
      <c r="G211" s="22">
        <f t="shared" si="7"/>
        <v>466.56700000000001</v>
      </c>
      <c r="H211" s="22">
        <f>IFERROR(IF(Yearending&gt;B210,'5. Historical demand'!F211-'5. Historical demand'!C211-'5. Historical demand'!D211,""),"")</f>
        <v>89.029999999999973</v>
      </c>
      <c r="I211" s="22">
        <f t="shared" si="8"/>
        <v>377.53700000000003</v>
      </c>
    </row>
    <row r="212" spans="2:9" x14ac:dyDescent="0.2">
      <c r="B212" s="201">
        <f t="shared" si="6"/>
        <v>45643</v>
      </c>
      <c r="C212" s="92">
        <v>590.97</v>
      </c>
      <c r="D212" s="92"/>
      <c r="E212" s="92">
        <v>226.58599999999998</v>
      </c>
      <c r="F212" s="92">
        <v>680</v>
      </c>
      <c r="G212" s="22">
        <f t="shared" si="7"/>
        <v>453.41399999999999</v>
      </c>
      <c r="H212" s="22">
        <f>IFERROR(IF(Yearending&gt;B211,'5. Historical demand'!F212-'5. Historical demand'!C212-'5. Historical demand'!D212,""),"")</f>
        <v>89.029999999999973</v>
      </c>
      <c r="I212" s="22">
        <f t="shared" si="8"/>
        <v>364.38400000000001</v>
      </c>
    </row>
    <row r="213" spans="2:9" x14ac:dyDescent="0.2">
      <c r="B213" s="201">
        <f t="shared" si="6"/>
        <v>45644</v>
      </c>
      <c r="C213" s="92">
        <v>590.97</v>
      </c>
      <c r="D213" s="92"/>
      <c r="E213" s="92">
        <v>155.61199999999999</v>
      </c>
      <c r="F213" s="92">
        <v>680</v>
      </c>
      <c r="G213" s="22">
        <f t="shared" si="7"/>
        <v>524.38800000000003</v>
      </c>
      <c r="H213" s="22">
        <f>IFERROR(IF(Yearending&gt;B212,'5. Historical demand'!F213-'5. Historical demand'!C213-'5. Historical demand'!D213,""),"")</f>
        <v>89.029999999999973</v>
      </c>
      <c r="I213" s="22">
        <f t="shared" si="8"/>
        <v>435.35800000000006</v>
      </c>
    </row>
    <row r="214" spans="2:9" x14ac:dyDescent="0.2">
      <c r="B214" s="201">
        <f t="shared" si="6"/>
        <v>45645</v>
      </c>
      <c r="C214" s="92">
        <v>590.97</v>
      </c>
      <c r="D214" s="92"/>
      <c r="E214" s="92">
        <v>163.02600000000001</v>
      </c>
      <c r="F214" s="92">
        <v>680</v>
      </c>
      <c r="G214" s="22">
        <f t="shared" si="7"/>
        <v>516.97399999999993</v>
      </c>
      <c r="H214" s="22">
        <f>IFERROR(IF(Yearending&gt;B213,'5. Historical demand'!F214-'5. Historical demand'!C214-'5. Historical demand'!D214,""),"")</f>
        <v>89.029999999999973</v>
      </c>
      <c r="I214" s="22">
        <f t="shared" si="8"/>
        <v>427.94400000000002</v>
      </c>
    </row>
    <row r="215" spans="2:9" x14ac:dyDescent="0.2">
      <c r="B215" s="201">
        <f t="shared" si="6"/>
        <v>45646</v>
      </c>
      <c r="C215" s="92">
        <v>590.97</v>
      </c>
      <c r="D215" s="92"/>
      <c r="E215" s="92">
        <v>101.59700000000001</v>
      </c>
      <c r="F215" s="92">
        <v>680</v>
      </c>
      <c r="G215" s="22">
        <f t="shared" si="7"/>
        <v>578.40300000000002</v>
      </c>
      <c r="H215" s="22">
        <f>IFERROR(IF(Yearending&gt;B214,'5. Historical demand'!F215-'5. Historical demand'!C215-'5. Historical demand'!D215,""),"")</f>
        <v>89.029999999999973</v>
      </c>
      <c r="I215" s="22">
        <f t="shared" si="8"/>
        <v>489.37300000000005</v>
      </c>
    </row>
    <row r="216" spans="2:9" x14ac:dyDescent="0.2">
      <c r="B216" s="201">
        <f t="shared" si="6"/>
        <v>45647</v>
      </c>
      <c r="C216" s="92">
        <v>590.97</v>
      </c>
      <c r="D216" s="92"/>
      <c r="E216" s="92">
        <v>161.90899999999999</v>
      </c>
      <c r="F216" s="92">
        <v>680</v>
      </c>
      <c r="G216" s="22">
        <f t="shared" si="7"/>
        <v>518.09100000000001</v>
      </c>
      <c r="H216" s="22">
        <f>IFERROR(IF(Yearending&gt;B215,'5. Historical demand'!F216-'5. Historical demand'!C216-'5. Historical demand'!D216,""),"")</f>
        <v>89.029999999999973</v>
      </c>
      <c r="I216" s="22">
        <f t="shared" si="8"/>
        <v>429.06100000000004</v>
      </c>
    </row>
    <row r="217" spans="2:9" x14ac:dyDescent="0.2">
      <c r="B217" s="201">
        <f t="shared" si="6"/>
        <v>45648</v>
      </c>
      <c r="C217" s="92">
        <v>590.97</v>
      </c>
      <c r="D217" s="92"/>
      <c r="E217" s="92">
        <v>98.462000000000003</v>
      </c>
      <c r="F217" s="92">
        <v>680</v>
      </c>
      <c r="G217" s="22">
        <f t="shared" si="7"/>
        <v>581.53800000000001</v>
      </c>
      <c r="H217" s="22">
        <f>IFERROR(IF(Yearending&gt;B216,'5. Historical demand'!F217-'5. Historical demand'!C217-'5. Historical demand'!D217,""),"")</f>
        <v>89.029999999999973</v>
      </c>
      <c r="I217" s="22">
        <f t="shared" si="8"/>
        <v>492.50800000000004</v>
      </c>
    </row>
    <row r="218" spans="2:9" x14ac:dyDescent="0.2">
      <c r="B218" s="201">
        <f t="shared" si="6"/>
        <v>45649</v>
      </c>
      <c r="C218" s="92">
        <v>590.97</v>
      </c>
      <c r="D218" s="92"/>
      <c r="E218" s="92">
        <v>84.596999999999994</v>
      </c>
      <c r="F218" s="92">
        <v>680</v>
      </c>
      <c r="G218" s="22">
        <f t="shared" si="7"/>
        <v>595.40300000000002</v>
      </c>
      <c r="H218" s="22">
        <f>IFERROR(IF(Yearending&gt;B217,'5. Historical demand'!F218-'5. Historical demand'!C218-'5. Historical demand'!D218,""),"")</f>
        <v>89.029999999999973</v>
      </c>
      <c r="I218" s="22">
        <f t="shared" si="8"/>
        <v>506.37300000000005</v>
      </c>
    </row>
    <row r="219" spans="2:9" x14ac:dyDescent="0.2">
      <c r="B219" s="201">
        <f t="shared" si="6"/>
        <v>45650</v>
      </c>
      <c r="C219" s="92">
        <v>590.97</v>
      </c>
      <c r="D219" s="92"/>
      <c r="E219" s="92">
        <v>99.786999999999992</v>
      </c>
      <c r="F219" s="92">
        <v>680</v>
      </c>
      <c r="G219" s="22">
        <f t="shared" si="7"/>
        <v>580.21299999999997</v>
      </c>
      <c r="H219" s="22">
        <f>IFERROR(IF(Yearending&gt;B218,'5. Historical demand'!F219-'5. Historical demand'!C219-'5. Historical demand'!D219,""),"")</f>
        <v>89.029999999999973</v>
      </c>
      <c r="I219" s="22">
        <f t="shared" si="8"/>
        <v>491.18300000000005</v>
      </c>
    </row>
    <row r="220" spans="2:9" x14ac:dyDescent="0.2">
      <c r="B220" s="201">
        <f t="shared" si="6"/>
        <v>45651</v>
      </c>
      <c r="C220" s="92">
        <v>590.97</v>
      </c>
      <c r="D220" s="92"/>
      <c r="E220" s="92">
        <v>129.316</v>
      </c>
      <c r="F220" s="92">
        <v>680</v>
      </c>
      <c r="G220" s="22">
        <f t="shared" si="7"/>
        <v>550.68399999999997</v>
      </c>
      <c r="H220" s="22">
        <f>IFERROR(IF(Yearending&gt;B219,'5. Historical demand'!F220-'5. Historical demand'!C220-'5. Historical demand'!D220,""),"")</f>
        <v>89.029999999999973</v>
      </c>
      <c r="I220" s="22">
        <f t="shared" si="8"/>
        <v>461.654</v>
      </c>
    </row>
    <row r="221" spans="2:9" x14ac:dyDescent="0.2">
      <c r="B221" s="201">
        <f t="shared" si="6"/>
        <v>45652</v>
      </c>
      <c r="C221" s="92">
        <v>590.97</v>
      </c>
      <c r="D221" s="92"/>
      <c r="E221" s="92">
        <v>148.92599999999999</v>
      </c>
      <c r="F221" s="92">
        <v>680</v>
      </c>
      <c r="G221" s="22">
        <f t="shared" si="7"/>
        <v>531.07400000000007</v>
      </c>
      <c r="H221" s="22">
        <f>IFERROR(IF(Yearending&gt;B220,'5. Historical demand'!F221-'5. Historical demand'!C221-'5. Historical demand'!D221,""),"")</f>
        <v>89.029999999999973</v>
      </c>
      <c r="I221" s="22">
        <f t="shared" si="8"/>
        <v>442.04400000000004</v>
      </c>
    </row>
    <row r="222" spans="2:9" x14ac:dyDescent="0.2">
      <c r="B222" s="201">
        <f t="shared" si="6"/>
        <v>45653</v>
      </c>
      <c r="C222" s="92">
        <v>590.97</v>
      </c>
      <c r="D222" s="92"/>
      <c r="E222" s="92">
        <v>110.279</v>
      </c>
      <c r="F222" s="92">
        <v>680</v>
      </c>
      <c r="G222" s="22">
        <f t="shared" si="7"/>
        <v>569.721</v>
      </c>
      <c r="H222" s="22">
        <f>IFERROR(IF(Yearending&gt;B221,'5. Historical demand'!F222-'5. Historical demand'!C222-'5. Historical demand'!D222,""),"")</f>
        <v>89.029999999999973</v>
      </c>
      <c r="I222" s="22">
        <f t="shared" si="8"/>
        <v>480.69100000000003</v>
      </c>
    </row>
    <row r="223" spans="2:9" x14ac:dyDescent="0.2">
      <c r="B223" s="201">
        <f t="shared" si="6"/>
        <v>45654</v>
      </c>
      <c r="C223" s="92">
        <v>590.97</v>
      </c>
      <c r="D223" s="92"/>
      <c r="E223" s="92">
        <v>147.21299999999999</v>
      </c>
      <c r="F223" s="92">
        <v>680</v>
      </c>
      <c r="G223" s="22">
        <f t="shared" si="7"/>
        <v>532.78700000000003</v>
      </c>
      <c r="H223" s="22">
        <f>IFERROR(IF(Yearending&gt;B222,'5. Historical demand'!F223-'5. Historical demand'!C223-'5. Historical demand'!D223,""),"")</f>
        <v>89.029999999999973</v>
      </c>
      <c r="I223" s="22">
        <f t="shared" si="8"/>
        <v>443.75700000000006</v>
      </c>
    </row>
    <row r="224" spans="2:9" x14ac:dyDescent="0.2">
      <c r="B224" s="201">
        <f t="shared" si="6"/>
        <v>45655</v>
      </c>
      <c r="C224" s="92">
        <v>590.97</v>
      </c>
      <c r="D224" s="92"/>
      <c r="E224" s="92">
        <v>146.05500000000001</v>
      </c>
      <c r="F224" s="92">
        <v>680</v>
      </c>
      <c r="G224" s="22">
        <f t="shared" si="7"/>
        <v>533.94499999999994</v>
      </c>
      <c r="H224" s="22">
        <f>IFERROR(IF(Yearending&gt;B223,'5. Historical demand'!F224-'5. Historical demand'!C224-'5. Historical demand'!D224,""),"")</f>
        <v>89.029999999999973</v>
      </c>
      <c r="I224" s="22">
        <f t="shared" si="8"/>
        <v>444.91500000000002</v>
      </c>
    </row>
    <row r="225" spans="2:9" x14ac:dyDescent="0.2">
      <c r="B225" s="201">
        <f t="shared" si="6"/>
        <v>45656</v>
      </c>
      <c r="C225" s="92">
        <v>590.97</v>
      </c>
      <c r="D225" s="92"/>
      <c r="E225" s="92">
        <v>186.55599999999998</v>
      </c>
      <c r="F225" s="92">
        <v>680</v>
      </c>
      <c r="G225" s="22">
        <f t="shared" si="7"/>
        <v>493.44400000000002</v>
      </c>
      <c r="H225" s="22">
        <f>IFERROR(IF(Yearending&gt;B224,'5. Historical demand'!F225-'5. Historical demand'!C225-'5. Historical demand'!D225,""),"")</f>
        <v>89.029999999999973</v>
      </c>
      <c r="I225" s="22">
        <f t="shared" si="8"/>
        <v>404.41400000000004</v>
      </c>
    </row>
    <row r="226" spans="2:9" x14ac:dyDescent="0.2">
      <c r="B226" s="201">
        <f t="shared" si="6"/>
        <v>45657</v>
      </c>
      <c r="C226" s="92">
        <v>590.97</v>
      </c>
      <c r="D226" s="92"/>
      <c r="E226" s="92">
        <v>185.66300000000001</v>
      </c>
      <c r="F226" s="92">
        <v>680</v>
      </c>
      <c r="G226" s="22">
        <f t="shared" si="7"/>
        <v>494.33699999999999</v>
      </c>
      <c r="H226" s="22">
        <f>IFERROR(IF(Yearending&gt;B225,'5. Historical demand'!F226-'5. Historical demand'!C226-'5. Historical demand'!D226,""),"")</f>
        <v>89.029999999999973</v>
      </c>
      <c r="I226" s="22">
        <f t="shared" si="8"/>
        <v>405.30700000000002</v>
      </c>
    </row>
    <row r="227" spans="2:9" x14ac:dyDescent="0.2">
      <c r="B227" s="201">
        <f t="shared" si="6"/>
        <v>45658</v>
      </c>
      <c r="C227" s="92">
        <v>569.06999999999994</v>
      </c>
      <c r="D227" s="92"/>
      <c r="E227" s="92">
        <v>99.492000000000004</v>
      </c>
      <c r="F227" s="92">
        <v>680</v>
      </c>
      <c r="G227" s="22">
        <f t="shared" si="7"/>
        <v>580.50800000000004</v>
      </c>
      <c r="H227" s="22">
        <f>IFERROR(IF(Yearending&gt;B226,'5. Historical demand'!F227-'5. Historical demand'!C227-'5. Historical demand'!D227,""),"")</f>
        <v>110.93000000000006</v>
      </c>
      <c r="I227" s="22">
        <f t="shared" si="8"/>
        <v>469.57799999999992</v>
      </c>
    </row>
    <row r="228" spans="2:9" x14ac:dyDescent="0.2">
      <c r="B228" s="201">
        <f t="shared" si="6"/>
        <v>45659</v>
      </c>
      <c r="C228" s="92">
        <v>569.06999999999994</v>
      </c>
      <c r="D228" s="92"/>
      <c r="E228" s="92">
        <v>160.52600000000001</v>
      </c>
      <c r="F228" s="92">
        <v>680</v>
      </c>
      <c r="G228" s="22">
        <f t="shared" si="7"/>
        <v>519.47399999999993</v>
      </c>
      <c r="H228" s="22">
        <f>IFERROR(IF(Yearending&gt;B227,'5. Historical demand'!F228-'5. Historical demand'!C228-'5. Historical demand'!D228,""),"")</f>
        <v>110.93000000000006</v>
      </c>
      <c r="I228" s="22">
        <f t="shared" si="8"/>
        <v>408.54399999999993</v>
      </c>
    </row>
    <row r="229" spans="2:9" x14ac:dyDescent="0.2">
      <c r="B229" s="201">
        <f t="shared" si="6"/>
        <v>45660</v>
      </c>
      <c r="C229" s="92">
        <v>569.06999999999994</v>
      </c>
      <c r="D229" s="92"/>
      <c r="E229" s="92">
        <v>112.178</v>
      </c>
      <c r="F229" s="92">
        <v>680</v>
      </c>
      <c r="G229" s="22">
        <f t="shared" si="7"/>
        <v>567.822</v>
      </c>
      <c r="H229" s="22">
        <f>IFERROR(IF(Yearending&gt;B228,'5. Historical demand'!F229-'5. Historical demand'!C229-'5. Historical demand'!D229,""),"")</f>
        <v>110.93000000000006</v>
      </c>
      <c r="I229" s="22">
        <f t="shared" si="8"/>
        <v>456.89199999999994</v>
      </c>
    </row>
    <row r="230" spans="2:9" x14ac:dyDescent="0.2">
      <c r="B230" s="201">
        <f t="shared" si="6"/>
        <v>45661</v>
      </c>
      <c r="C230" s="92">
        <v>569.06999999999994</v>
      </c>
      <c r="D230" s="92"/>
      <c r="E230" s="92">
        <v>83.116</v>
      </c>
      <c r="F230" s="92">
        <v>680</v>
      </c>
      <c r="G230" s="22">
        <f t="shared" si="7"/>
        <v>596.88400000000001</v>
      </c>
      <c r="H230" s="22">
        <f>IFERROR(IF(Yearending&gt;B229,'5. Historical demand'!F230-'5. Historical demand'!C230-'5. Historical demand'!D230,""),"")</f>
        <v>110.93000000000006</v>
      </c>
      <c r="I230" s="22">
        <f t="shared" si="8"/>
        <v>485.95399999999995</v>
      </c>
    </row>
    <row r="231" spans="2:9" x14ac:dyDescent="0.2">
      <c r="B231" s="201">
        <f t="shared" si="6"/>
        <v>45662</v>
      </c>
      <c r="C231" s="92">
        <v>569.06999999999994</v>
      </c>
      <c r="D231" s="92"/>
      <c r="E231" s="92">
        <v>118.46000000000001</v>
      </c>
      <c r="F231" s="92">
        <v>680</v>
      </c>
      <c r="G231" s="22">
        <f t="shared" si="7"/>
        <v>561.54</v>
      </c>
      <c r="H231" s="22">
        <f>IFERROR(IF(Yearending&gt;B230,'5. Historical demand'!F231-'5. Historical demand'!C231-'5. Historical demand'!D231,""),"")</f>
        <v>110.93000000000006</v>
      </c>
      <c r="I231" s="22">
        <f t="shared" si="8"/>
        <v>450.6099999999999</v>
      </c>
    </row>
    <row r="232" spans="2:9" x14ac:dyDescent="0.2">
      <c r="B232" s="201">
        <f t="shared" si="6"/>
        <v>45663</v>
      </c>
      <c r="C232" s="92">
        <v>569.06999999999994</v>
      </c>
      <c r="D232" s="92"/>
      <c r="E232" s="92">
        <v>171.01900000000001</v>
      </c>
      <c r="F232" s="92">
        <v>680</v>
      </c>
      <c r="G232" s="22">
        <f t="shared" si="7"/>
        <v>508.98099999999999</v>
      </c>
      <c r="H232" s="22">
        <f>IFERROR(IF(Yearending&gt;B231,'5. Historical demand'!F232-'5. Historical demand'!C232-'5. Historical demand'!D232,""),"")</f>
        <v>110.93000000000006</v>
      </c>
      <c r="I232" s="22">
        <f t="shared" si="8"/>
        <v>398.05099999999993</v>
      </c>
    </row>
    <row r="233" spans="2:9" x14ac:dyDescent="0.2">
      <c r="B233" s="201">
        <f t="shared" si="6"/>
        <v>45664</v>
      </c>
      <c r="C233" s="92">
        <v>569.06999999999994</v>
      </c>
      <c r="D233" s="92"/>
      <c r="E233" s="92">
        <v>74.541999999999987</v>
      </c>
      <c r="F233" s="92">
        <v>680</v>
      </c>
      <c r="G233" s="22">
        <f t="shared" si="7"/>
        <v>605.45799999999997</v>
      </c>
      <c r="H233" s="22">
        <f>IFERROR(IF(Yearending&gt;B232,'5. Historical demand'!F233-'5. Historical demand'!C233-'5. Historical demand'!D233,""),"")</f>
        <v>110.93000000000006</v>
      </c>
      <c r="I233" s="22">
        <f t="shared" si="8"/>
        <v>494.52799999999996</v>
      </c>
    </row>
    <row r="234" spans="2:9" x14ac:dyDescent="0.2">
      <c r="B234" s="201">
        <f t="shared" si="6"/>
        <v>45665</v>
      </c>
      <c r="C234" s="92">
        <v>569.06999999999994</v>
      </c>
      <c r="D234" s="92"/>
      <c r="E234" s="92">
        <v>73.534999999999997</v>
      </c>
      <c r="F234" s="92">
        <v>680</v>
      </c>
      <c r="G234" s="22">
        <f t="shared" si="7"/>
        <v>606.46500000000003</v>
      </c>
      <c r="H234" s="22">
        <f>IFERROR(IF(Yearending&gt;B233,'5. Historical demand'!F234-'5. Historical demand'!C234-'5. Historical demand'!D234,""),"")</f>
        <v>110.93000000000006</v>
      </c>
      <c r="I234" s="22">
        <f t="shared" si="8"/>
        <v>495.53499999999997</v>
      </c>
    </row>
    <row r="235" spans="2:9" x14ac:dyDescent="0.2">
      <c r="B235" s="201">
        <f t="shared" si="6"/>
        <v>45666</v>
      </c>
      <c r="C235" s="92">
        <v>569.06999999999994</v>
      </c>
      <c r="D235" s="92"/>
      <c r="E235" s="92">
        <v>131.26300000000001</v>
      </c>
      <c r="F235" s="92">
        <v>680</v>
      </c>
      <c r="G235" s="22">
        <f t="shared" si="7"/>
        <v>548.73699999999997</v>
      </c>
      <c r="H235" s="22">
        <f>IFERROR(IF(Yearending&gt;B234,'5. Historical demand'!F235-'5. Historical demand'!C235-'5. Historical demand'!D235,""),"")</f>
        <v>110.93000000000006</v>
      </c>
      <c r="I235" s="22">
        <f t="shared" si="8"/>
        <v>437.8069999999999</v>
      </c>
    </row>
    <row r="236" spans="2:9" x14ac:dyDescent="0.2">
      <c r="B236" s="201">
        <f t="shared" ref="B236:B299" si="9">IFERROR(IF(Yearending&gt;B235, B235+1, ""),"")</f>
        <v>45667</v>
      </c>
      <c r="C236" s="92">
        <v>569.06999999999994</v>
      </c>
      <c r="D236" s="92"/>
      <c r="E236" s="92">
        <v>155.72399999999999</v>
      </c>
      <c r="F236" s="92">
        <v>680</v>
      </c>
      <c r="G236" s="22">
        <f t="shared" ref="G236:G299" si="10">IFERROR(IF(Yearending&gt;B235,F236-E236,""),"")</f>
        <v>524.27600000000007</v>
      </c>
      <c r="H236" s="22">
        <f>IFERROR(IF(Yearending&gt;B235,'5. Historical demand'!F236-'5. Historical demand'!C236-'5. Historical demand'!D236,""),"")</f>
        <v>110.93000000000006</v>
      </c>
      <c r="I236" s="22">
        <f t="shared" ref="I236:I299" si="11">IFERROR(IF(Yearending&gt;B235,C236+D236-E236,""),"")</f>
        <v>413.34599999999995</v>
      </c>
    </row>
    <row r="237" spans="2:9" x14ac:dyDescent="0.2">
      <c r="B237" s="201">
        <f t="shared" si="9"/>
        <v>45668</v>
      </c>
      <c r="C237" s="92">
        <v>569.06999999999994</v>
      </c>
      <c r="D237" s="92"/>
      <c r="E237" s="92">
        <v>170.86699999999999</v>
      </c>
      <c r="F237" s="92">
        <v>680</v>
      </c>
      <c r="G237" s="22">
        <f t="shared" si="10"/>
        <v>509.13300000000004</v>
      </c>
      <c r="H237" s="22">
        <f>IFERROR(IF(Yearending&gt;B236,'5. Historical demand'!F237-'5. Historical demand'!C237-'5. Historical demand'!D237,""),"")</f>
        <v>110.93000000000006</v>
      </c>
      <c r="I237" s="22">
        <f t="shared" si="11"/>
        <v>398.20299999999997</v>
      </c>
    </row>
    <row r="238" spans="2:9" x14ac:dyDescent="0.2">
      <c r="B238" s="201">
        <f t="shared" si="9"/>
        <v>45669</v>
      </c>
      <c r="C238" s="92">
        <v>569.06999999999994</v>
      </c>
      <c r="D238" s="92"/>
      <c r="E238" s="92">
        <v>163.78299999999999</v>
      </c>
      <c r="F238" s="92">
        <v>680</v>
      </c>
      <c r="G238" s="22">
        <f t="shared" si="10"/>
        <v>516.21699999999998</v>
      </c>
      <c r="H238" s="22">
        <f>IFERROR(IF(Yearending&gt;B237,'5. Historical demand'!F238-'5. Historical demand'!C238-'5. Historical demand'!D238,""),"")</f>
        <v>110.93000000000006</v>
      </c>
      <c r="I238" s="22">
        <f t="shared" si="11"/>
        <v>405.28699999999992</v>
      </c>
    </row>
    <row r="239" spans="2:9" x14ac:dyDescent="0.2">
      <c r="B239" s="201">
        <f t="shared" si="9"/>
        <v>45670</v>
      </c>
      <c r="C239" s="92">
        <v>569.06999999999994</v>
      </c>
      <c r="D239" s="92"/>
      <c r="E239" s="92">
        <v>142.185</v>
      </c>
      <c r="F239" s="92">
        <v>680</v>
      </c>
      <c r="G239" s="22">
        <f t="shared" si="10"/>
        <v>537.81500000000005</v>
      </c>
      <c r="H239" s="22">
        <f>IFERROR(IF(Yearending&gt;B238,'5. Historical demand'!F239-'5. Historical demand'!C239-'5. Historical demand'!D239,""),"")</f>
        <v>110.93000000000006</v>
      </c>
      <c r="I239" s="22">
        <f t="shared" si="11"/>
        <v>426.88499999999993</v>
      </c>
    </row>
    <row r="240" spans="2:9" x14ac:dyDescent="0.2">
      <c r="B240" s="201">
        <f t="shared" si="9"/>
        <v>45671</v>
      </c>
      <c r="C240" s="92">
        <v>569.06999999999994</v>
      </c>
      <c r="D240" s="92"/>
      <c r="E240" s="92">
        <v>178.96699999999998</v>
      </c>
      <c r="F240" s="92">
        <v>680</v>
      </c>
      <c r="G240" s="22">
        <f t="shared" si="10"/>
        <v>501.03300000000002</v>
      </c>
      <c r="H240" s="22">
        <f>IFERROR(IF(Yearending&gt;B239,'5. Historical demand'!F240-'5. Historical demand'!C240-'5. Historical demand'!D240,""),"")</f>
        <v>110.93000000000006</v>
      </c>
      <c r="I240" s="22">
        <f t="shared" si="11"/>
        <v>390.10299999999995</v>
      </c>
    </row>
    <row r="241" spans="2:9" x14ac:dyDescent="0.2">
      <c r="B241" s="201">
        <f t="shared" si="9"/>
        <v>45672</v>
      </c>
      <c r="C241" s="92">
        <v>569.06999999999994</v>
      </c>
      <c r="D241" s="92"/>
      <c r="E241" s="92">
        <v>140.947</v>
      </c>
      <c r="F241" s="92">
        <v>680</v>
      </c>
      <c r="G241" s="22">
        <f t="shared" si="10"/>
        <v>539.053</v>
      </c>
      <c r="H241" s="22">
        <f>IFERROR(IF(Yearending&gt;B240,'5. Historical demand'!F241-'5. Historical demand'!C241-'5. Historical demand'!D241,""),"")</f>
        <v>110.93000000000006</v>
      </c>
      <c r="I241" s="22">
        <f t="shared" si="11"/>
        <v>428.12299999999993</v>
      </c>
    </row>
    <row r="242" spans="2:9" x14ac:dyDescent="0.2">
      <c r="B242" s="201">
        <f t="shared" si="9"/>
        <v>45673</v>
      </c>
      <c r="C242" s="92">
        <v>569.06999999999994</v>
      </c>
      <c r="D242" s="92"/>
      <c r="E242" s="92">
        <v>146.596</v>
      </c>
      <c r="F242" s="92">
        <v>680</v>
      </c>
      <c r="G242" s="22">
        <f t="shared" si="10"/>
        <v>533.404</v>
      </c>
      <c r="H242" s="22">
        <f>IFERROR(IF(Yearending&gt;B241,'5. Historical demand'!F242-'5. Historical demand'!C242-'5. Historical demand'!D242,""),"")</f>
        <v>110.93000000000006</v>
      </c>
      <c r="I242" s="22">
        <f t="shared" si="11"/>
        <v>422.47399999999993</v>
      </c>
    </row>
    <row r="243" spans="2:9" x14ac:dyDescent="0.2">
      <c r="B243" s="201">
        <f t="shared" si="9"/>
        <v>45674</v>
      </c>
      <c r="C243" s="92">
        <v>569.06999999999994</v>
      </c>
      <c r="D243" s="92"/>
      <c r="E243" s="92">
        <v>103.89100000000001</v>
      </c>
      <c r="F243" s="92">
        <v>680</v>
      </c>
      <c r="G243" s="22">
        <f t="shared" si="10"/>
        <v>576.10900000000004</v>
      </c>
      <c r="H243" s="22">
        <f>IFERROR(IF(Yearending&gt;B242,'5. Historical demand'!F243-'5. Historical demand'!C243-'5. Historical demand'!D243,""),"")</f>
        <v>110.93000000000006</v>
      </c>
      <c r="I243" s="22">
        <f t="shared" si="11"/>
        <v>465.17899999999992</v>
      </c>
    </row>
    <row r="244" spans="2:9" x14ac:dyDescent="0.2">
      <c r="B244" s="201">
        <f t="shared" si="9"/>
        <v>45675</v>
      </c>
      <c r="C244" s="92">
        <v>569.06999999999994</v>
      </c>
      <c r="D244" s="92"/>
      <c r="E244" s="92">
        <v>128.79900000000001</v>
      </c>
      <c r="F244" s="92">
        <v>680</v>
      </c>
      <c r="G244" s="22">
        <f t="shared" si="10"/>
        <v>551.20100000000002</v>
      </c>
      <c r="H244" s="22">
        <f>IFERROR(IF(Yearending&gt;B243,'5. Historical demand'!F244-'5. Historical demand'!C244-'5. Historical demand'!D244,""),"")</f>
        <v>110.93000000000006</v>
      </c>
      <c r="I244" s="22">
        <f t="shared" si="11"/>
        <v>440.27099999999996</v>
      </c>
    </row>
    <row r="245" spans="2:9" x14ac:dyDescent="0.2">
      <c r="B245" s="201">
        <f t="shared" si="9"/>
        <v>45676</v>
      </c>
      <c r="C245" s="92">
        <v>569.06999999999994</v>
      </c>
      <c r="D245" s="92"/>
      <c r="E245" s="92">
        <v>114.62400000000001</v>
      </c>
      <c r="F245" s="92">
        <v>680</v>
      </c>
      <c r="G245" s="22">
        <f t="shared" si="10"/>
        <v>565.37599999999998</v>
      </c>
      <c r="H245" s="22">
        <f>IFERROR(IF(Yearending&gt;B244,'5. Historical demand'!F245-'5. Historical demand'!C245-'5. Historical demand'!D245,""),"")</f>
        <v>110.93000000000006</v>
      </c>
      <c r="I245" s="22">
        <f t="shared" si="11"/>
        <v>454.44599999999991</v>
      </c>
    </row>
    <row r="246" spans="2:9" x14ac:dyDescent="0.2">
      <c r="B246" s="201">
        <f t="shared" si="9"/>
        <v>45677</v>
      </c>
      <c r="C246" s="92">
        <v>569.06999999999994</v>
      </c>
      <c r="D246" s="92"/>
      <c r="E246" s="92">
        <v>115.07600000000001</v>
      </c>
      <c r="F246" s="92">
        <v>680</v>
      </c>
      <c r="G246" s="22">
        <f t="shared" si="10"/>
        <v>564.92399999999998</v>
      </c>
      <c r="H246" s="22">
        <f>IFERROR(IF(Yearending&gt;B245,'5. Historical demand'!F246-'5. Historical demand'!C246-'5. Historical demand'!D246,""),"")</f>
        <v>110.93000000000006</v>
      </c>
      <c r="I246" s="22">
        <f t="shared" si="11"/>
        <v>453.99399999999991</v>
      </c>
    </row>
    <row r="247" spans="2:9" x14ac:dyDescent="0.2">
      <c r="B247" s="201">
        <f t="shared" si="9"/>
        <v>45678</v>
      </c>
      <c r="C247" s="92">
        <v>569.06999999999994</v>
      </c>
      <c r="D247" s="92"/>
      <c r="E247" s="92">
        <v>149.31199999999998</v>
      </c>
      <c r="F247" s="92">
        <v>680</v>
      </c>
      <c r="G247" s="22">
        <f t="shared" si="10"/>
        <v>530.68799999999999</v>
      </c>
      <c r="H247" s="22">
        <f>IFERROR(IF(Yearending&gt;B246,'5. Historical demand'!F247-'5. Historical demand'!C247-'5. Historical demand'!D247,""),"")</f>
        <v>110.93000000000006</v>
      </c>
      <c r="I247" s="22">
        <f t="shared" si="11"/>
        <v>419.75799999999992</v>
      </c>
    </row>
    <row r="248" spans="2:9" x14ac:dyDescent="0.2">
      <c r="B248" s="201">
        <f t="shared" si="9"/>
        <v>45679</v>
      </c>
      <c r="C248" s="92">
        <v>569.06999999999994</v>
      </c>
      <c r="D248" s="92"/>
      <c r="E248" s="92">
        <v>177.83699999999999</v>
      </c>
      <c r="F248" s="92">
        <v>680</v>
      </c>
      <c r="G248" s="22">
        <f t="shared" si="10"/>
        <v>502.16300000000001</v>
      </c>
      <c r="H248" s="22">
        <f>IFERROR(IF(Yearending&gt;B247,'5. Historical demand'!F248-'5. Historical demand'!C248-'5. Historical demand'!D248,""),"")</f>
        <v>110.93000000000006</v>
      </c>
      <c r="I248" s="22">
        <f t="shared" si="11"/>
        <v>391.23299999999995</v>
      </c>
    </row>
    <row r="249" spans="2:9" x14ac:dyDescent="0.2">
      <c r="B249" s="201">
        <f t="shared" si="9"/>
        <v>45680</v>
      </c>
      <c r="C249" s="92">
        <v>569.06999999999994</v>
      </c>
      <c r="D249" s="92"/>
      <c r="E249" s="92">
        <v>154.10400000000001</v>
      </c>
      <c r="F249" s="92">
        <v>680</v>
      </c>
      <c r="G249" s="22">
        <f t="shared" si="10"/>
        <v>525.89599999999996</v>
      </c>
      <c r="H249" s="22">
        <f>IFERROR(IF(Yearending&gt;B248,'5. Historical demand'!F249-'5. Historical demand'!C249-'5. Historical demand'!D249,""),"")</f>
        <v>110.93000000000006</v>
      </c>
      <c r="I249" s="22">
        <f t="shared" si="11"/>
        <v>414.96599999999989</v>
      </c>
    </row>
    <row r="250" spans="2:9" x14ac:dyDescent="0.2">
      <c r="B250" s="201">
        <f t="shared" si="9"/>
        <v>45681</v>
      </c>
      <c r="C250" s="92">
        <v>569.06999999999994</v>
      </c>
      <c r="D250" s="92"/>
      <c r="E250" s="92">
        <v>140.84699999999998</v>
      </c>
      <c r="F250" s="92">
        <v>680</v>
      </c>
      <c r="G250" s="22">
        <f t="shared" si="10"/>
        <v>539.15300000000002</v>
      </c>
      <c r="H250" s="22">
        <f>IFERROR(IF(Yearending&gt;B249,'5. Historical demand'!F250-'5. Historical demand'!C250-'5. Historical demand'!D250,""),"")</f>
        <v>110.93000000000006</v>
      </c>
      <c r="I250" s="22">
        <f t="shared" si="11"/>
        <v>428.22299999999996</v>
      </c>
    </row>
    <row r="251" spans="2:9" x14ac:dyDescent="0.2">
      <c r="B251" s="201">
        <f t="shared" si="9"/>
        <v>45682</v>
      </c>
      <c r="C251" s="92">
        <v>569.06999999999994</v>
      </c>
      <c r="D251" s="92"/>
      <c r="E251" s="92">
        <v>143.63999999999999</v>
      </c>
      <c r="F251" s="92">
        <v>680</v>
      </c>
      <c r="G251" s="22">
        <f t="shared" si="10"/>
        <v>536.36</v>
      </c>
      <c r="H251" s="22">
        <f>IFERROR(IF(Yearending&gt;B250,'5. Historical demand'!F251-'5. Historical demand'!C251-'5. Historical demand'!D251,""),"")</f>
        <v>110.93000000000006</v>
      </c>
      <c r="I251" s="22">
        <f t="shared" si="11"/>
        <v>425.42999999999995</v>
      </c>
    </row>
    <row r="252" spans="2:9" x14ac:dyDescent="0.2">
      <c r="B252" s="201">
        <f t="shared" si="9"/>
        <v>45683</v>
      </c>
      <c r="C252" s="92">
        <v>569.06999999999994</v>
      </c>
      <c r="D252" s="92"/>
      <c r="E252" s="92">
        <v>74.903000000000006</v>
      </c>
      <c r="F252" s="92">
        <v>680</v>
      </c>
      <c r="G252" s="22">
        <f t="shared" si="10"/>
        <v>605.09699999999998</v>
      </c>
      <c r="H252" s="22">
        <f>IFERROR(IF(Yearending&gt;B251,'5. Historical demand'!F252-'5. Historical demand'!C252-'5. Historical demand'!D252,""),"")</f>
        <v>110.93000000000006</v>
      </c>
      <c r="I252" s="22">
        <f t="shared" si="11"/>
        <v>494.16699999999992</v>
      </c>
    </row>
    <row r="253" spans="2:9" x14ac:dyDescent="0.2">
      <c r="B253" s="201">
        <f t="shared" si="9"/>
        <v>45684</v>
      </c>
      <c r="C253" s="92">
        <v>569.06999999999994</v>
      </c>
      <c r="D253" s="92"/>
      <c r="E253" s="92">
        <v>150.88</v>
      </c>
      <c r="F253" s="92">
        <v>680</v>
      </c>
      <c r="G253" s="22">
        <f t="shared" si="10"/>
        <v>529.12</v>
      </c>
      <c r="H253" s="22">
        <f>IFERROR(IF(Yearending&gt;B252,'5. Historical demand'!F253-'5. Historical demand'!C253-'5. Historical demand'!D253,""),"")</f>
        <v>110.93000000000006</v>
      </c>
      <c r="I253" s="22">
        <f t="shared" si="11"/>
        <v>418.18999999999994</v>
      </c>
    </row>
    <row r="254" spans="2:9" x14ac:dyDescent="0.2">
      <c r="B254" s="201">
        <f t="shared" si="9"/>
        <v>45685</v>
      </c>
      <c r="C254" s="92">
        <v>569.06999999999994</v>
      </c>
      <c r="D254" s="92"/>
      <c r="E254" s="92">
        <v>143.489</v>
      </c>
      <c r="F254" s="92">
        <v>680</v>
      </c>
      <c r="G254" s="22">
        <f t="shared" si="10"/>
        <v>536.51099999999997</v>
      </c>
      <c r="H254" s="22">
        <f>IFERROR(IF(Yearending&gt;B253,'5. Historical demand'!F254-'5. Historical demand'!C254-'5. Historical demand'!D254,""),"")</f>
        <v>110.93000000000006</v>
      </c>
      <c r="I254" s="22">
        <f t="shared" si="11"/>
        <v>425.5809999999999</v>
      </c>
    </row>
    <row r="255" spans="2:9" x14ac:dyDescent="0.2">
      <c r="B255" s="201">
        <f t="shared" si="9"/>
        <v>45686</v>
      </c>
      <c r="C255" s="92">
        <v>569.06999999999994</v>
      </c>
      <c r="D255" s="92"/>
      <c r="E255" s="92">
        <v>76.097999999999999</v>
      </c>
      <c r="F255" s="92">
        <v>680</v>
      </c>
      <c r="G255" s="22">
        <f t="shared" si="10"/>
        <v>603.90200000000004</v>
      </c>
      <c r="H255" s="22">
        <f>IFERROR(IF(Yearending&gt;B254,'5. Historical demand'!F255-'5. Historical demand'!C255-'5. Historical demand'!D255,""),"")</f>
        <v>110.93000000000006</v>
      </c>
      <c r="I255" s="22">
        <f t="shared" si="11"/>
        <v>492.97199999999992</v>
      </c>
    </row>
    <row r="256" spans="2:9" x14ac:dyDescent="0.2">
      <c r="B256" s="201">
        <f t="shared" si="9"/>
        <v>45687</v>
      </c>
      <c r="C256" s="92">
        <v>569.06999999999994</v>
      </c>
      <c r="D256" s="92"/>
      <c r="E256" s="92">
        <v>50.875</v>
      </c>
      <c r="F256" s="92">
        <v>680</v>
      </c>
      <c r="G256" s="22">
        <f t="shared" si="10"/>
        <v>629.125</v>
      </c>
      <c r="H256" s="22">
        <f>IFERROR(IF(Yearending&gt;B255,'5. Historical demand'!F256-'5. Historical demand'!C256-'5. Historical demand'!D256,""),"")</f>
        <v>110.93000000000006</v>
      </c>
      <c r="I256" s="22">
        <f t="shared" si="11"/>
        <v>518.19499999999994</v>
      </c>
    </row>
    <row r="257" spans="2:9" x14ac:dyDescent="0.2">
      <c r="B257" s="201">
        <f t="shared" si="9"/>
        <v>45688</v>
      </c>
      <c r="C257" s="92">
        <v>569.06999999999994</v>
      </c>
      <c r="D257" s="92"/>
      <c r="E257" s="92">
        <v>59.954000000000001</v>
      </c>
      <c r="F257" s="92">
        <v>680</v>
      </c>
      <c r="G257" s="22">
        <f t="shared" si="10"/>
        <v>620.04600000000005</v>
      </c>
      <c r="H257" s="22">
        <f>IFERROR(IF(Yearending&gt;B256,'5. Historical demand'!F257-'5. Historical demand'!C257-'5. Historical demand'!D257,""),"")</f>
        <v>110.93000000000006</v>
      </c>
      <c r="I257" s="22">
        <f t="shared" si="11"/>
        <v>509.11599999999993</v>
      </c>
    </row>
    <row r="258" spans="2:9" x14ac:dyDescent="0.2">
      <c r="B258" s="201">
        <f t="shared" si="9"/>
        <v>45689</v>
      </c>
      <c r="C258" s="92">
        <v>569.69000000000005</v>
      </c>
      <c r="D258" s="92"/>
      <c r="E258" s="92">
        <v>78.257000000000005</v>
      </c>
      <c r="F258" s="92">
        <v>680</v>
      </c>
      <c r="G258" s="22">
        <f t="shared" si="10"/>
        <v>601.74299999999994</v>
      </c>
      <c r="H258" s="22">
        <f>IFERROR(IF(Yearending&gt;B257,'5. Historical demand'!F258-'5. Historical demand'!C258-'5. Historical demand'!D258,""),"")</f>
        <v>110.30999999999995</v>
      </c>
      <c r="I258" s="22">
        <f t="shared" si="11"/>
        <v>491.43300000000005</v>
      </c>
    </row>
    <row r="259" spans="2:9" x14ac:dyDescent="0.2">
      <c r="B259" s="201">
        <f t="shared" si="9"/>
        <v>45690</v>
      </c>
      <c r="C259" s="92">
        <v>569.69000000000005</v>
      </c>
      <c r="D259" s="92"/>
      <c r="E259" s="92">
        <v>107.759</v>
      </c>
      <c r="F259" s="92">
        <v>680</v>
      </c>
      <c r="G259" s="22">
        <f t="shared" si="10"/>
        <v>572.24099999999999</v>
      </c>
      <c r="H259" s="22">
        <f>IFERROR(IF(Yearending&gt;B258,'5. Historical demand'!F259-'5. Historical demand'!C259-'5. Historical demand'!D259,""),"")</f>
        <v>110.30999999999995</v>
      </c>
      <c r="I259" s="22">
        <f t="shared" si="11"/>
        <v>461.93100000000004</v>
      </c>
    </row>
    <row r="260" spans="2:9" x14ac:dyDescent="0.2">
      <c r="B260" s="201">
        <f t="shared" si="9"/>
        <v>45691</v>
      </c>
      <c r="C260" s="92">
        <v>569.69000000000005</v>
      </c>
      <c r="D260" s="92"/>
      <c r="E260" s="92">
        <v>97.600999999999999</v>
      </c>
      <c r="F260" s="92">
        <v>680</v>
      </c>
      <c r="G260" s="22">
        <f t="shared" si="10"/>
        <v>582.399</v>
      </c>
      <c r="H260" s="22">
        <f>IFERROR(IF(Yearending&gt;B259,'5. Historical demand'!F260-'5. Historical demand'!C260-'5. Historical demand'!D260,""),"")</f>
        <v>110.30999999999995</v>
      </c>
      <c r="I260" s="22">
        <f t="shared" si="11"/>
        <v>472.08900000000006</v>
      </c>
    </row>
    <row r="261" spans="2:9" x14ac:dyDescent="0.2">
      <c r="B261" s="201">
        <f t="shared" si="9"/>
        <v>45692</v>
      </c>
      <c r="C261" s="92">
        <v>569.69000000000005</v>
      </c>
      <c r="D261" s="92"/>
      <c r="E261" s="92">
        <v>217.04499999999999</v>
      </c>
      <c r="F261" s="92">
        <v>680</v>
      </c>
      <c r="G261" s="22">
        <f t="shared" si="10"/>
        <v>462.95500000000004</v>
      </c>
      <c r="H261" s="22">
        <f>IFERROR(IF(Yearending&gt;B260,'5. Historical demand'!F261-'5. Historical demand'!C261-'5. Historical demand'!D261,""),"")</f>
        <v>110.30999999999995</v>
      </c>
      <c r="I261" s="22">
        <f t="shared" si="11"/>
        <v>352.6450000000001</v>
      </c>
    </row>
    <row r="262" spans="2:9" x14ac:dyDescent="0.2">
      <c r="B262" s="201">
        <f t="shared" si="9"/>
        <v>45693</v>
      </c>
      <c r="C262" s="92">
        <v>569.69000000000005</v>
      </c>
      <c r="D262" s="92"/>
      <c r="E262" s="92">
        <v>177.34100000000001</v>
      </c>
      <c r="F262" s="92">
        <v>680</v>
      </c>
      <c r="G262" s="22">
        <f t="shared" si="10"/>
        <v>502.65899999999999</v>
      </c>
      <c r="H262" s="22">
        <f>IFERROR(IF(Yearending&gt;B261,'5. Historical demand'!F262-'5. Historical demand'!C262-'5. Historical demand'!D262,""),"")</f>
        <v>110.30999999999995</v>
      </c>
      <c r="I262" s="22">
        <f t="shared" si="11"/>
        <v>392.34900000000005</v>
      </c>
    </row>
    <row r="263" spans="2:9" x14ac:dyDescent="0.2">
      <c r="B263" s="201">
        <f t="shared" si="9"/>
        <v>45694</v>
      </c>
      <c r="C263" s="92">
        <v>569.69000000000005</v>
      </c>
      <c r="D263" s="92"/>
      <c r="E263" s="92">
        <v>166.36900000000003</v>
      </c>
      <c r="F263" s="92">
        <v>680</v>
      </c>
      <c r="G263" s="22">
        <f t="shared" si="10"/>
        <v>513.63099999999997</v>
      </c>
      <c r="H263" s="22">
        <f>IFERROR(IF(Yearending&gt;B262,'5. Historical demand'!F263-'5. Historical demand'!C263-'5. Historical demand'!D263,""),"")</f>
        <v>110.30999999999995</v>
      </c>
      <c r="I263" s="22">
        <f t="shared" si="11"/>
        <v>403.32100000000003</v>
      </c>
    </row>
    <row r="264" spans="2:9" x14ac:dyDescent="0.2">
      <c r="B264" s="201">
        <f t="shared" si="9"/>
        <v>45695</v>
      </c>
      <c r="C264" s="92">
        <v>569.69000000000005</v>
      </c>
      <c r="D264" s="92"/>
      <c r="E264" s="92">
        <v>139.476</v>
      </c>
      <c r="F264" s="92">
        <v>680</v>
      </c>
      <c r="G264" s="22">
        <f t="shared" si="10"/>
        <v>540.524</v>
      </c>
      <c r="H264" s="22">
        <f>IFERROR(IF(Yearending&gt;B263,'5. Historical demand'!F264-'5. Historical demand'!C264-'5. Historical demand'!D264,""),"")</f>
        <v>110.30999999999995</v>
      </c>
      <c r="I264" s="22">
        <f t="shared" si="11"/>
        <v>430.21400000000006</v>
      </c>
    </row>
    <row r="265" spans="2:9" x14ac:dyDescent="0.2">
      <c r="B265" s="201">
        <f t="shared" si="9"/>
        <v>45696</v>
      </c>
      <c r="C265" s="92">
        <v>569.69000000000005</v>
      </c>
      <c r="D265" s="92"/>
      <c r="E265" s="92">
        <v>144.381</v>
      </c>
      <c r="F265" s="92">
        <v>680</v>
      </c>
      <c r="G265" s="22">
        <f t="shared" si="10"/>
        <v>535.61900000000003</v>
      </c>
      <c r="H265" s="22">
        <f>IFERROR(IF(Yearending&gt;B264,'5. Historical demand'!F265-'5. Historical demand'!C265-'5. Historical demand'!D265,""),"")</f>
        <v>110.30999999999995</v>
      </c>
      <c r="I265" s="22">
        <f t="shared" si="11"/>
        <v>425.30900000000008</v>
      </c>
    </row>
    <row r="266" spans="2:9" x14ac:dyDescent="0.2">
      <c r="B266" s="201">
        <f t="shared" si="9"/>
        <v>45697</v>
      </c>
      <c r="C266" s="92">
        <v>569.69000000000005</v>
      </c>
      <c r="D266" s="92"/>
      <c r="E266" s="92">
        <v>161.274</v>
      </c>
      <c r="F266" s="92">
        <v>680</v>
      </c>
      <c r="G266" s="22">
        <f t="shared" si="10"/>
        <v>518.726</v>
      </c>
      <c r="H266" s="22">
        <f>IFERROR(IF(Yearending&gt;B265,'5. Historical demand'!F266-'5. Historical demand'!C266-'5. Historical demand'!D266,""),"")</f>
        <v>110.30999999999995</v>
      </c>
      <c r="I266" s="22">
        <f t="shared" si="11"/>
        <v>408.41600000000005</v>
      </c>
    </row>
    <row r="267" spans="2:9" x14ac:dyDescent="0.2">
      <c r="B267" s="201">
        <f t="shared" si="9"/>
        <v>45698</v>
      </c>
      <c r="C267" s="92">
        <v>569.69000000000005</v>
      </c>
      <c r="D267" s="92"/>
      <c r="E267" s="92">
        <v>121.111</v>
      </c>
      <c r="F267" s="92">
        <v>680</v>
      </c>
      <c r="G267" s="22">
        <f t="shared" si="10"/>
        <v>558.88900000000001</v>
      </c>
      <c r="H267" s="22">
        <f>IFERROR(IF(Yearending&gt;B266,'5. Historical demand'!F267-'5. Historical demand'!C267-'5. Historical demand'!D267,""),"")</f>
        <v>110.30999999999995</v>
      </c>
      <c r="I267" s="22">
        <f t="shared" si="11"/>
        <v>448.57900000000006</v>
      </c>
    </row>
    <row r="268" spans="2:9" x14ac:dyDescent="0.2">
      <c r="B268" s="201">
        <f t="shared" si="9"/>
        <v>45699</v>
      </c>
      <c r="C268" s="92">
        <v>569.69000000000005</v>
      </c>
      <c r="D268" s="92"/>
      <c r="E268" s="92">
        <v>196.35399999999998</v>
      </c>
      <c r="F268" s="92">
        <v>680</v>
      </c>
      <c r="G268" s="22">
        <f t="shared" si="10"/>
        <v>483.64600000000002</v>
      </c>
      <c r="H268" s="22">
        <f>IFERROR(IF(Yearending&gt;B267,'5. Historical demand'!F268-'5. Historical demand'!C268-'5. Historical demand'!D268,""),"")</f>
        <v>110.30999999999995</v>
      </c>
      <c r="I268" s="22">
        <f t="shared" si="11"/>
        <v>373.33600000000007</v>
      </c>
    </row>
    <row r="269" spans="2:9" x14ac:dyDescent="0.2">
      <c r="B269" s="201">
        <f t="shared" si="9"/>
        <v>45700</v>
      </c>
      <c r="C269" s="92">
        <v>569.69000000000005</v>
      </c>
      <c r="D269" s="92"/>
      <c r="E269" s="92">
        <v>157.71100000000001</v>
      </c>
      <c r="F269" s="92">
        <v>680</v>
      </c>
      <c r="G269" s="22">
        <f t="shared" si="10"/>
        <v>522.28899999999999</v>
      </c>
      <c r="H269" s="22">
        <f>IFERROR(IF(Yearending&gt;B268,'5. Historical demand'!F269-'5. Historical demand'!C269-'5. Historical demand'!D269,""),"")</f>
        <v>110.30999999999995</v>
      </c>
      <c r="I269" s="22">
        <f t="shared" si="11"/>
        <v>411.97900000000004</v>
      </c>
    </row>
    <row r="270" spans="2:9" x14ac:dyDescent="0.2">
      <c r="B270" s="201">
        <f t="shared" si="9"/>
        <v>45701</v>
      </c>
      <c r="C270" s="92">
        <v>569.69000000000005</v>
      </c>
      <c r="D270" s="92"/>
      <c r="E270" s="92">
        <v>116.96899999999999</v>
      </c>
      <c r="F270" s="92">
        <v>680</v>
      </c>
      <c r="G270" s="22">
        <f t="shared" si="10"/>
        <v>563.03099999999995</v>
      </c>
      <c r="H270" s="22">
        <f>IFERROR(IF(Yearending&gt;B269,'5. Historical demand'!F270-'5. Historical demand'!C270-'5. Historical demand'!D270,""),"")</f>
        <v>110.30999999999995</v>
      </c>
      <c r="I270" s="22">
        <f t="shared" si="11"/>
        <v>452.72100000000006</v>
      </c>
    </row>
    <row r="271" spans="2:9" x14ac:dyDescent="0.2">
      <c r="B271" s="201">
        <f t="shared" si="9"/>
        <v>45702</v>
      </c>
      <c r="C271" s="92">
        <v>569.69000000000005</v>
      </c>
      <c r="D271" s="92"/>
      <c r="E271" s="92">
        <v>121.56399999999999</v>
      </c>
      <c r="F271" s="92">
        <v>680</v>
      </c>
      <c r="G271" s="22">
        <f t="shared" si="10"/>
        <v>558.43600000000004</v>
      </c>
      <c r="H271" s="22">
        <f>IFERROR(IF(Yearending&gt;B270,'5. Historical demand'!F271-'5. Historical demand'!C271-'5. Historical demand'!D271,""),"")</f>
        <v>110.30999999999995</v>
      </c>
      <c r="I271" s="22">
        <f t="shared" si="11"/>
        <v>448.12600000000009</v>
      </c>
    </row>
    <row r="272" spans="2:9" x14ac:dyDescent="0.2">
      <c r="B272" s="201">
        <f t="shared" si="9"/>
        <v>45703</v>
      </c>
      <c r="C272" s="92">
        <v>569.69000000000005</v>
      </c>
      <c r="D272" s="92"/>
      <c r="E272" s="92">
        <v>91.331999999999994</v>
      </c>
      <c r="F272" s="92">
        <v>680</v>
      </c>
      <c r="G272" s="22">
        <f t="shared" si="10"/>
        <v>588.66800000000001</v>
      </c>
      <c r="H272" s="22">
        <f>IFERROR(IF(Yearending&gt;B271,'5. Historical demand'!F272-'5. Historical demand'!C272-'5. Historical demand'!D272,""),"")</f>
        <v>110.30999999999995</v>
      </c>
      <c r="I272" s="22">
        <f t="shared" si="11"/>
        <v>478.35800000000006</v>
      </c>
    </row>
    <row r="273" spans="2:9" x14ac:dyDescent="0.2">
      <c r="B273" s="201">
        <f t="shared" si="9"/>
        <v>45704</v>
      </c>
      <c r="C273" s="92">
        <v>569.69000000000005</v>
      </c>
      <c r="D273" s="92"/>
      <c r="E273" s="92">
        <v>81.253</v>
      </c>
      <c r="F273" s="92">
        <v>680</v>
      </c>
      <c r="G273" s="22">
        <f t="shared" si="10"/>
        <v>598.74699999999996</v>
      </c>
      <c r="H273" s="22">
        <f>IFERROR(IF(Yearending&gt;B272,'5. Historical demand'!F273-'5. Historical demand'!C273-'5. Historical demand'!D273,""),"")</f>
        <v>110.30999999999995</v>
      </c>
      <c r="I273" s="22">
        <f t="shared" si="11"/>
        <v>488.43700000000007</v>
      </c>
    </row>
    <row r="274" spans="2:9" x14ac:dyDescent="0.2">
      <c r="B274" s="201">
        <f t="shared" si="9"/>
        <v>45705</v>
      </c>
      <c r="C274" s="92">
        <v>569.69000000000005</v>
      </c>
      <c r="D274" s="92"/>
      <c r="E274" s="92">
        <v>140.23000000000002</v>
      </c>
      <c r="F274" s="92">
        <v>680</v>
      </c>
      <c r="G274" s="22">
        <f t="shared" si="10"/>
        <v>539.77</v>
      </c>
      <c r="H274" s="22">
        <f>IFERROR(IF(Yearending&gt;B273,'5. Historical demand'!F274-'5. Historical demand'!C274-'5. Historical demand'!D274,""),"")</f>
        <v>110.30999999999995</v>
      </c>
      <c r="I274" s="22">
        <f t="shared" si="11"/>
        <v>429.46000000000004</v>
      </c>
    </row>
    <row r="275" spans="2:9" x14ac:dyDescent="0.2">
      <c r="B275" s="201">
        <f t="shared" si="9"/>
        <v>45706</v>
      </c>
      <c r="C275" s="92">
        <v>569.69000000000005</v>
      </c>
      <c r="D275" s="92"/>
      <c r="E275" s="92">
        <v>141.01499999999999</v>
      </c>
      <c r="F275" s="92">
        <v>680</v>
      </c>
      <c r="G275" s="22">
        <f t="shared" si="10"/>
        <v>538.98500000000001</v>
      </c>
      <c r="H275" s="22">
        <f>IFERROR(IF(Yearending&gt;B274,'5. Historical demand'!F275-'5. Historical demand'!C275-'5. Historical demand'!D275,""),"")</f>
        <v>110.30999999999995</v>
      </c>
      <c r="I275" s="22">
        <f t="shared" si="11"/>
        <v>428.67500000000007</v>
      </c>
    </row>
    <row r="276" spans="2:9" x14ac:dyDescent="0.2">
      <c r="B276" s="201">
        <f t="shared" si="9"/>
        <v>45707</v>
      </c>
      <c r="C276" s="92">
        <v>569.69000000000005</v>
      </c>
      <c r="D276" s="92"/>
      <c r="E276" s="92">
        <v>125.905</v>
      </c>
      <c r="F276" s="92">
        <v>680</v>
      </c>
      <c r="G276" s="22">
        <f t="shared" si="10"/>
        <v>554.09500000000003</v>
      </c>
      <c r="H276" s="22">
        <f>IFERROR(IF(Yearending&gt;B275,'5. Historical demand'!F276-'5. Historical demand'!C276-'5. Historical demand'!D276,""),"")</f>
        <v>110.30999999999995</v>
      </c>
      <c r="I276" s="22">
        <f t="shared" si="11"/>
        <v>443.78500000000008</v>
      </c>
    </row>
    <row r="277" spans="2:9" x14ac:dyDescent="0.2">
      <c r="B277" s="201">
        <f t="shared" si="9"/>
        <v>45708</v>
      </c>
      <c r="C277" s="92">
        <v>569.69000000000005</v>
      </c>
      <c r="D277" s="92"/>
      <c r="E277" s="92">
        <v>133.13800000000001</v>
      </c>
      <c r="F277" s="92">
        <v>680</v>
      </c>
      <c r="G277" s="22">
        <f t="shared" si="10"/>
        <v>546.86199999999997</v>
      </c>
      <c r="H277" s="22">
        <f>IFERROR(IF(Yearending&gt;B276,'5. Historical demand'!F277-'5. Historical demand'!C277-'5. Historical demand'!D277,""),"")</f>
        <v>110.30999999999995</v>
      </c>
      <c r="I277" s="22">
        <f t="shared" si="11"/>
        <v>436.55200000000002</v>
      </c>
    </row>
    <row r="278" spans="2:9" x14ac:dyDescent="0.2">
      <c r="B278" s="201">
        <f t="shared" si="9"/>
        <v>45709</v>
      </c>
      <c r="C278" s="92">
        <v>569.69000000000005</v>
      </c>
      <c r="D278" s="92"/>
      <c r="E278" s="92">
        <v>67.227999999999994</v>
      </c>
      <c r="F278" s="92">
        <v>680</v>
      </c>
      <c r="G278" s="22">
        <f t="shared" si="10"/>
        <v>612.77200000000005</v>
      </c>
      <c r="H278" s="22">
        <f>IFERROR(IF(Yearending&gt;B277,'5. Historical demand'!F278-'5. Historical demand'!C278-'5. Historical demand'!D278,""),"")</f>
        <v>110.30999999999995</v>
      </c>
      <c r="I278" s="22">
        <f t="shared" si="11"/>
        <v>502.46200000000005</v>
      </c>
    </row>
    <row r="279" spans="2:9" x14ac:dyDescent="0.2">
      <c r="B279" s="201">
        <f t="shared" si="9"/>
        <v>45710</v>
      </c>
      <c r="C279" s="92">
        <v>569.69000000000005</v>
      </c>
      <c r="D279" s="92"/>
      <c r="E279" s="92">
        <v>59.575999999999993</v>
      </c>
      <c r="F279" s="92">
        <v>680</v>
      </c>
      <c r="G279" s="22">
        <f t="shared" si="10"/>
        <v>620.42399999999998</v>
      </c>
      <c r="H279" s="22">
        <f>IFERROR(IF(Yearending&gt;B278,'5. Historical demand'!F279-'5. Historical demand'!C279-'5. Historical demand'!D279,""),"")</f>
        <v>110.30999999999995</v>
      </c>
      <c r="I279" s="22">
        <f t="shared" si="11"/>
        <v>510.11400000000003</v>
      </c>
    </row>
    <row r="280" spans="2:9" x14ac:dyDescent="0.2">
      <c r="B280" s="201">
        <f t="shared" si="9"/>
        <v>45711</v>
      </c>
      <c r="C280" s="92">
        <v>569.69000000000005</v>
      </c>
      <c r="D280" s="92"/>
      <c r="E280" s="92">
        <v>87.676000000000016</v>
      </c>
      <c r="F280" s="92">
        <v>680</v>
      </c>
      <c r="G280" s="22">
        <f t="shared" si="10"/>
        <v>592.32399999999996</v>
      </c>
      <c r="H280" s="22">
        <f>IFERROR(IF(Yearending&gt;B279,'5. Historical demand'!F280-'5. Historical demand'!C280-'5. Historical demand'!D280,""),"")</f>
        <v>110.30999999999995</v>
      </c>
      <c r="I280" s="22">
        <f t="shared" si="11"/>
        <v>482.01400000000001</v>
      </c>
    </row>
    <row r="281" spans="2:9" x14ac:dyDescent="0.2">
      <c r="B281" s="201">
        <f t="shared" si="9"/>
        <v>45712</v>
      </c>
      <c r="C281" s="92">
        <v>569.69000000000005</v>
      </c>
      <c r="D281" s="92"/>
      <c r="E281" s="92">
        <v>82.415999999999997</v>
      </c>
      <c r="F281" s="92">
        <v>680</v>
      </c>
      <c r="G281" s="22">
        <f t="shared" si="10"/>
        <v>597.58400000000006</v>
      </c>
      <c r="H281" s="22">
        <f>IFERROR(IF(Yearending&gt;B280,'5. Historical demand'!F281-'5. Historical demand'!C281-'5. Historical demand'!D281,""),"")</f>
        <v>110.30999999999995</v>
      </c>
      <c r="I281" s="22">
        <f t="shared" si="11"/>
        <v>487.27400000000006</v>
      </c>
    </row>
    <row r="282" spans="2:9" x14ac:dyDescent="0.2">
      <c r="B282" s="201">
        <f t="shared" si="9"/>
        <v>45713</v>
      </c>
      <c r="C282" s="92">
        <v>569.69000000000005</v>
      </c>
      <c r="D282" s="92"/>
      <c r="E282" s="92">
        <v>88.640999999999991</v>
      </c>
      <c r="F282" s="92">
        <v>680</v>
      </c>
      <c r="G282" s="22">
        <f t="shared" si="10"/>
        <v>591.35900000000004</v>
      </c>
      <c r="H282" s="22">
        <f>IFERROR(IF(Yearending&gt;B281,'5. Historical demand'!F282-'5. Historical demand'!C282-'5. Historical demand'!D282,""),"")</f>
        <v>110.30999999999995</v>
      </c>
      <c r="I282" s="22">
        <f t="shared" si="11"/>
        <v>481.04900000000009</v>
      </c>
    </row>
    <row r="283" spans="2:9" x14ac:dyDescent="0.2">
      <c r="B283" s="201">
        <f t="shared" si="9"/>
        <v>45714</v>
      </c>
      <c r="C283" s="92">
        <v>569.69000000000005</v>
      </c>
      <c r="D283" s="92"/>
      <c r="E283" s="92">
        <v>171.173</v>
      </c>
      <c r="F283" s="92">
        <v>680</v>
      </c>
      <c r="G283" s="22">
        <f t="shared" si="10"/>
        <v>508.827</v>
      </c>
      <c r="H283" s="22">
        <f>IFERROR(IF(Yearending&gt;B282,'5. Historical demand'!F283-'5. Historical demand'!C283-'5. Historical demand'!D283,""),"")</f>
        <v>110.30999999999995</v>
      </c>
      <c r="I283" s="22">
        <f t="shared" si="11"/>
        <v>398.51700000000005</v>
      </c>
    </row>
    <row r="284" spans="2:9" x14ac:dyDescent="0.2">
      <c r="B284" s="201">
        <f t="shared" si="9"/>
        <v>45715</v>
      </c>
      <c r="C284" s="92">
        <v>569.69000000000005</v>
      </c>
      <c r="D284" s="92"/>
      <c r="E284" s="92">
        <v>52.463000000000001</v>
      </c>
      <c r="F284" s="92">
        <v>680</v>
      </c>
      <c r="G284" s="22">
        <f t="shared" si="10"/>
        <v>627.53700000000003</v>
      </c>
      <c r="H284" s="22">
        <f>IFERROR(IF(Yearending&gt;B283,'5. Historical demand'!F284-'5. Historical demand'!C284-'5. Historical demand'!D284,""),"")</f>
        <v>110.30999999999995</v>
      </c>
      <c r="I284" s="22">
        <f t="shared" si="11"/>
        <v>517.22700000000009</v>
      </c>
    </row>
    <row r="285" spans="2:9" x14ac:dyDescent="0.2">
      <c r="B285" s="201">
        <f t="shared" si="9"/>
        <v>45716</v>
      </c>
      <c r="C285" s="92">
        <v>569.69000000000005</v>
      </c>
      <c r="D285" s="92"/>
      <c r="E285" s="92">
        <v>121.352</v>
      </c>
      <c r="F285" s="92">
        <v>680</v>
      </c>
      <c r="G285" s="22">
        <f t="shared" si="10"/>
        <v>558.64800000000002</v>
      </c>
      <c r="H285" s="22">
        <f>IFERROR(IF(Yearending&gt;B284,'5. Historical demand'!F285-'5. Historical demand'!C285-'5. Historical demand'!D285,""),"")</f>
        <v>110.30999999999995</v>
      </c>
      <c r="I285" s="22">
        <f t="shared" si="11"/>
        <v>448.33800000000008</v>
      </c>
    </row>
    <row r="286" spans="2:9" x14ac:dyDescent="0.2">
      <c r="B286" s="201">
        <f t="shared" si="9"/>
        <v>45717</v>
      </c>
      <c r="C286" s="92">
        <v>569.69000000000005</v>
      </c>
      <c r="D286" s="92"/>
      <c r="E286" s="92">
        <v>75.253</v>
      </c>
      <c r="F286" s="92">
        <v>680</v>
      </c>
      <c r="G286" s="22">
        <f t="shared" si="10"/>
        <v>604.74699999999996</v>
      </c>
      <c r="H286" s="22">
        <f>IFERROR(IF(Yearending&gt;B285,'5. Historical demand'!F286-'5. Historical demand'!C286-'5. Historical demand'!D286,""),"")</f>
        <v>110.30999999999995</v>
      </c>
      <c r="I286" s="22">
        <f t="shared" si="11"/>
        <v>494.43700000000007</v>
      </c>
    </row>
    <row r="287" spans="2:9" x14ac:dyDescent="0.2">
      <c r="B287" s="201">
        <f t="shared" si="9"/>
        <v>45718</v>
      </c>
      <c r="C287" s="92">
        <v>569.69000000000005</v>
      </c>
      <c r="D287" s="92"/>
      <c r="E287" s="92">
        <v>96.263000000000005</v>
      </c>
      <c r="F287" s="92">
        <v>680</v>
      </c>
      <c r="G287" s="22">
        <f t="shared" si="10"/>
        <v>583.73699999999997</v>
      </c>
      <c r="H287" s="22">
        <f>IFERROR(IF(Yearending&gt;B286,'5. Historical demand'!F287-'5. Historical demand'!C287-'5. Historical demand'!D287,""),"")</f>
        <v>110.30999999999995</v>
      </c>
      <c r="I287" s="22">
        <f t="shared" si="11"/>
        <v>473.42700000000002</v>
      </c>
    </row>
    <row r="288" spans="2:9" x14ac:dyDescent="0.2">
      <c r="B288" s="201">
        <f t="shared" si="9"/>
        <v>45719</v>
      </c>
      <c r="C288" s="92">
        <v>569.69000000000005</v>
      </c>
      <c r="D288" s="92"/>
      <c r="E288" s="92">
        <v>102.128</v>
      </c>
      <c r="F288" s="92">
        <v>680</v>
      </c>
      <c r="G288" s="22">
        <f t="shared" si="10"/>
        <v>577.87199999999996</v>
      </c>
      <c r="H288" s="22">
        <f>IFERROR(IF(Yearending&gt;B287,'5. Historical demand'!F288-'5. Historical demand'!C288-'5. Historical demand'!D288,""),"")</f>
        <v>110.30999999999995</v>
      </c>
      <c r="I288" s="22">
        <f t="shared" si="11"/>
        <v>467.56200000000007</v>
      </c>
    </row>
    <row r="289" spans="2:9" x14ac:dyDescent="0.2">
      <c r="B289" s="201">
        <f t="shared" si="9"/>
        <v>45720</v>
      </c>
      <c r="C289" s="92">
        <v>569.69000000000005</v>
      </c>
      <c r="D289" s="92"/>
      <c r="E289" s="92">
        <v>132.541</v>
      </c>
      <c r="F289" s="92">
        <v>680</v>
      </c>
      <c r="G289" s="22">
        <f t="shared" si="10"/>
        <v>547.45900000000006</v>
      </c>
      <c r="H289" s="22">
        <f>IFERROR(IF(Yearending&gt;B288,'5. Historical demand'!F289-'5. Historical demand'!C289-'5. Historical demand'!D289,""),"")</f>
        <v>110.30999999999995</v>
      </c>
      <c r="I289" s="22">
        <f t="shared" si="11"/>
        <v>437.14900000000006</v>
      </c>
    </row>
    <row r="290" spans="2:9" x14ac:dyDescent="0.2">
      <c r="B290" s="201">
        <f t="shared" si="9"/>
        <v>45721</v>
      </c>
      <c r="C290" s="92">
        <v>569.69000000000005</v>
      </c>
      <c r="D290" s="92"/>
      <c r="E290" s="92">
        <v>140.74200000000002</v>
      </c>
      <c r="F290" s="92">
        <v>680</v>
      </c>
      <c r="G290" s="22">
        <f t="shared" si="10"/>
        <v>539.25800000000004</v>
      </c>
      <c r="H290" s="22">
        <f>IFERROR(IF(Yearending&gt;B289,'5. Historical demand'!F290-'5. Historical demand'!C290-'5. Historical demand'!D290,""),"")</f>
        <v>110.30999999999995</v>
      </c>
      <c r="I290" s="22">
        <f t="shared" si="11"/>
        <v>428.94800000000004</v>
      </c>
    </row>
    <row r="291" spans="2:9" x14ac:dyDescent="0.2">
      <c r="B291" s="201">
        <f t="shared" si="9"/>
        <v>45722</v>
      </c>
      <c r="C291" s="92">
        <v>569.69000000000005</v>
      </c>
      <c r="D291" s="92"/>
      <c r="E291" s="92">
        <v>82.926999999999992</v>
      </c>
      <c r="F291" s="92">
        <v>680</v>
      </c>
      <c r="G291" s="22">
        <f t="shared" si="10"/>
        <v>597.07299999999998</v>
      </c>
      <c r="H291" s="22">
        <f>IFERROR(IF(Yearending&gt;B290,'5. Historical demand'!F291-'5. Historical demand'!C291-'5. Historical demand'!D291,""),"")</f>
        <v>110.30999999999995</v>
      </c>
      <c r="I291" s="22">
        <f t="shared" si="11"/>
        <v>486.76300000000003</v>
      </c>
    </row>
    <row r="292" spans="2:9" x14ac:dyDescent="0.2">
      <c r="B292" s="201">
        <f t="shared" si="9"/>
        <v>45723</v>
      </c>
      <c r="C292" s="92">
        <v>569.69000000000005</v>
      </c>
      <c r="D292" s="92"/>
      <c r="E292" s="92">
        <v>54.181999999999995</v>
      </c>
      <c r="F292" s="92">
        <v>680</v>
      </c>
      <c r="G292" s="22">
        <f t="shared" si="10"/>
        <v>625.81799999999998</v>
      </c>
      <c r="H292" s="22">
        <f>IFERROR(IF(Yearending&gt;B291,'5. Historical demand'!F292-'5. Historical demand'!C292-'5. Historical demand'!D292,""),"")</f>
        <v>110.30999999999995</v>
      </c>
      <c r="I292" s="22">
        <f t="shared" si="11"/>
        <v>515.50800000000004</v>
      </c>
    </row>
    <row r="293" spans="2:9" x14ac:dyDescent="0.2">
      <c r="B293" s="201">
        <f t="shared" si="9"/>
        <v>45724</v>
      </c>
      <c r="C293" s="92">
        <v>569.69000000000005</v>
      </c>
      <c r="D293" s="92"/>
      <c r="E293" s="92">
        <v>172.607</v>
      </c>
      <c r="F293" s="92">
        <v>680</v>
      </c>
      <c r="G293" s="22">
        <f t="shared" si="10"/>
        <v>507.39300000000003</v>
      </c>
      <c r="H293" s="22">
        <f>IFERROR(IF(Yearending&gt;B292,'5. Historical demand'!F293-'5. Historical demand'!C293-'5. Historical demand'!D293,""),"")</f>
        <v>110.30999999999995</v>
      </c>
      <c r="I293" s="22">
        <f t="shared" si="11"/>
        <v>397.08300000000008</v>
      </c>
    </row>
    <row r="294" spans="2:9" x14ac:dyDescent="0.2">
      <c r="B294" s="201">
        <f t="shared" si="9"/>
        <v>45725</v>
      </c>
      <c r="C294" s="92">
        <v>569.69000000000005</v>
      </c>
      <c r="D294" s="92"/>
      <c r="E294" s="92">
        <v>129.87200000000001</v>
      </c>
      <c r="F294" s="92">
        <v>680</v>
      </c>
      <c r="G294" s="22">
        <f t="shared" si="10"/>
        <v>550.12799999999993</v>
      </c>
      <c r="H294" s="22">
        <f>IFERROR(IF(Yearending&gt;B293,'5. Historical demand'!F294-'5. Historical demand'!C294-'5. Historical demand'!D294,""),"")</f>
        <v>110.30999999999995</v>
      </c>
      <c r="I294" s="22">
        <f t="shared" si="11"/>
        <v>439.81800000000004</v>
      </c>
    </row>
    <row r="295" spans="2:9" x14ac:dyDescent="0.2">
      <c r="B295" s="201">
        <f t="shared" si="9"/>
        <v>45726</v>
      </c>
      <c r="C295" s="92">
        <v>569.69000000000005</v>
      </c>
      <c r="D295" s="92"/>
      <c r="E295" s="92">
        <v>81.649000000000001</v>
      </c>
      <c r="F295" s="92">
        <v>680</v>
      </c>
      <c r="G295" s="22">
        <f t="shared" si="10"/>
        <v>598.351</v>
      </c>
      <c r="H295" s="22">
        <f>IFERROR(IF(Yearending&gt;B294,'5. Historical demand'!F295-'5. Historical demand'!C295-'5. Historical demand'!D295,""),"")</f>
        <v>110.30999999999995</v>
      </c>
      <c r="I295" s="22">
        <f t="shared" si="11"/>
        <v>488.04100000000005</v>
      </c>
    </row>
    <row r="296" spans="2:9" x14ac:dyDescent="0.2">
      <c r="B296" s="201">
        <f t="shared" si="9"/>
        <v>45727</v>
      </c>
      <c r="C296" s="92">
        <v>569.69000000000005</v>
      </c>
      <c r="D296" s="92"/>
      <c r="E296" s="92">
        <v>73.84</v>
      </c>
      <c r="F296" s="92">
        <v>680</v>
      </c>
      <c r="G296" s="22">
        <f t="shared" si="10"/>
        <v>606.16</v>
      </c>
      <c r="H296" s="22">
        <f>IFERROR(IF(Yearending&gt;B295,'5. Historical demand'!F296-'5. Historical demand'!C296-'5. Historical demand'!D296,""),"")</f>
        <v>110.30999999999995</v>
      </c>
      <c r="I296" s="22">
        <f t="shared" si="11"/>
        <v>495.85</v>
      </c>
    </row>
    <row r="297" spans="2:9" x14ac:dyDescent="0.2">
      <c r="B297" s="201">
        <f t="shared" si="9"/>
        <v>45728</v>
      </c>
      <c r="C297" s="92">
        <v>569.69000000000005</v>
      </c>
      <c r="D297" s="92"/>
      <c r="E297" s="92">
        <v>118.26200000000001</v>
      </c>
      <c r="F297" s="92">
        <v>680</v>
      </c>
      <c r="G297" s="22">
        <f t="shared" si="10"/>
        <v>561.73799999999994</v>
      </c>
      <c r="H297" s="22">
        <f>IFERROR(IF(Yearending&gt;B296,'5. Historical demand'!F297-'5. Historical demand'!C297-'5. Historical demand'!D297,""),"")</f>
        <v>110.30999999999995</v>
      </c>
      <c r="I297" s="22">
        <f t="shared" si="11"/>
        <v>451.42800000000005</v>
      </c>
    </row>
    <row r="298" spans="2:9" x14ac:dyDescent="0.2">
      <c r="B298" s="201">
        <f t="shared" si="9"/>
        <v>45729</v>
      </c>
      <c r="C298" s="92">
        <v>569.69000000000005</v>
      </c>
      <c r="D298" s="92"/>
      <c r="E298" s="92">
        <v>170.78800000000001</v>
      </c>
      <c r="F298" s="92">
        <v>680</v>
      </c>
      <c r="G298" s="22">
        <f t="shared" si="10"/>
        <v>509.21199999999999</v>
      </c>
      <c r="H298" s="22">
        <f>IFERROR(IF(Yearending&gt;B297,'5. Historical demand'!F298-'5. Historical demand'!C298-'5. Historical demand'!D298,""),"")</f>
        <v>110.30999999999995</v>
      </c>
      <c r="I298" s="22">
        <f t="shared" si="11"/>
        <v>398.90200000000004</v>
      </c>
    </row>
    <row r="299" spans="2:9" x14ac:dyDescent="0.2">
      <c r="B299" s="201">
        <f t="shared" si="9"/>
        <v>45730</v>
      </c>
      <c r="C299" s="92">
        <v>569.69000000000005</v>
      </c>
      <c r="D299" s="92"/>
      <c r="E299" s="92">
        <v>175.96599999999998</v>
      </c>
      <c r="F299" s="92">
        <v>680</v>
      </c>
      <c r="G299" s="22">
        <f t="shared" si="10"/>
        <v>504.03399999999999</v>
      </c>
      <c r="H299" s="22">
        <f>IFERROR(IF(Yearending&gt;B298,'5. Historical demand'!F299-'5. Historical demand'!C299-'5. Historical demand'!D299,""),"")</f>
        <v>110.30999999999995</v>
      </c>
      <c r="I299" s="22">
        <f t="shared" si="11"/>
        <v>393.72400000000005</v>
      </c>
    </row>
    <row r="300" spans="2:9" x14ac:dyDescent="0.2">
      <c r="B300" s="201">
        <f t="shared" ref="B300:B363" si="12">IFERROR(IF(Yearending&gt;B299, B299+1, ""),"")</f>
        <v>45731</v>
      </c>
      <c r="C300" s="92">
        <v>569.69000000000005</v>
      </c>
      <c r="D300" s="92"/>
      <c r="E300" s="92">
        <v>201.54100000000003</v>
      </c>
      <c r="F300" s="92">
        <v>680</v>
      </c>
      <c r="G300" s="22">
        <f t="shared" ref="G300:G363" si="13">IFERROR(IF(Yearending&gt;B299,F300-E300,""),"")</f>
        <v>478.45899999999995</v>
      </c>
      <c r="H300" s="22">
        <f>IFERROR(IF(Yearending&gt;B299,'5. Historical demand'!F300-'5. Historical demand'!C300-'5. Historical demand'!D300,""),"")</f>
        <v>110.30999999999995</v>
      </c>
      <c r="I300" s="22">
        <f t="shared" ref="I300:I363" si="14">IFERROR(IF(Yearending&gt;B299,C300+D300-E300,""),"")</f>
        <v>368.149</v>
      </c>
    </row>
    <row r="301" spans="2:9" x14ac:dyDescent="0.2">
      <c r="B301" s="201">
        <f t="shared" si="12"/>
        <v>45732</v>
      </c>
      <c r="C301" s="92">
        <v>569.69000000000005</v>
      </c>
      <c r="D301" s="92"/>
      <c r="E301" s="92">
        <v>200.191</v>
      </c>
      <c r="F301" s="92">
        <v>680</v>
      </c>
      <c r="G301" s="22">
        <f t="shared" si="13"/>
        <v>479.80899999999997</v>
      </c>
      <c r="H301" s="22">
        <f>IFERROR(IF(Yearending&gt;B300,'5. Historical demand'!F301-'5. Historical demand'!C301-'5. Historical demand'!D301,""),"")</f>
        <v>110.30999999999995</v>
      </c>
      <c r="I301" s="22">
        <f t="shared" si="14"/>
        <v>369.49900000000002</v>
      </c>
    </row>
    <row r="302" spans="2:9" x14ac:dyDescent="0.2">
      <c r="B302" s="201">
        <f t="shared" si="12"/>
        <v>45733</v>
      </c>
      <c r="C302" s="92">
        <v>569.69000000000005</v>
      </c>
      <c r="D302" s="92"/>
      <c r="E302" s="92">
        <v>127.35499999999999</v>
      </c>
      <c r="F302" s="92">
        <v>680</v>
      </c>
      <c r="G302" s="22">
        <f t="shared" si="13"/>
        <v>552.64499999999998</v>
      </c>
      <c r="H302" s="22">
        <f>IFERROR(IF(Yearending&gt;B301,'5. Historical demand'!F302-'5. Historical demand'!C302-'5. Historical demand'!D302,""),"")</f>
        <v>110.30999999999995</v>
      </c>
      <c r="I302" s="22">
        <f t="shared" si="14"/>
        <v>442.33500000000004</v>
      </c>
    </row>
    <row r="303" spans="2:9" x14ac:dyDescent="0.2">
      <c r="B303" s="201">
        <f t="shared" si="12"/>
        <v>45734</v>
      </c>
      <c r="C303" s="92">
        <v>569.69000000000005</v>
      </c>
      <c r="D303" s="92"/>
      <c r="E303" s="92">
        <v>196.50400000000002</v>
      </c>
      <c r="F303" s="92">
        <v>680</v>
      </c>
      <c r="G303" s="22">
        <f t="shared" si="13"/>
        <v>483.49599999999998</v>
      </c>
      <c r="H303" s="22">
        <f>IFERROR(IF(Yearending&gt;B302,'5. Historical demand'!F303-'5. Historical demand'!C303-'5. Historical demand'!D303,""),"")</f>
        <v>110.30999999999995</v>
      </c>
      <c r="I303" s="22">
        <f t="shared" si="14"/>
        <v>373.18600000000004</v>
      </c>
    </row>
    <row r="304" spans="2:9" x14ac:dyDescent="0.2">
      <c r="B304" s="201">
        <f t="shared" si="12"/>
        <v>45735</v>
      </c>
      <c r="C304" s="92">
        <v>569.69000000000005</v>
      </c>
      <c r="D304" s="92"/>
      <c r="E304" s="92">
        <v>214.83500000000001</v>
      </c>
      <c r="F304" s="92">
        <v>680</v>
      </c>
      <c r="G304" s="22">
        <f t="shared" si="13"/>
        <v>465.16499999999996</v>
      </c>
      <c r="H304" s="22">
        <f>IFERROR(IF(Yearending&gt;B303,'5. Historical demand'!F304-'5. Historical demand'!C304-'5. Historical demand'!D304,""),"")</f>
        <v>110.30999999999995</v>
      </c>
      <c r="I304" s="22">
        <f t="shared" si="14"/>
        <v>354.85500000000002</v>
      </c>
    </row>
    <row r="305" spans="2:9" x14ac:dyDescent="0.2">
      <c r="B305" s="201">
        <f t="shared" si="12"/>
        <v>45736</v>
      </c>
      <c r="C305" s="92">
        <v>569.69000000000005</v>
      </c>
      <c r="D305" s="92"/>
      <c r="E305" s="92">
        <v>208.39200000000002</v>
      </c>
      <c r="F305" s="92">
        <v>680</v>
      </c>
      <c r="G305" s="22">
        <f t="shared" si="13"/>
        <v>471.60799999999995</v>
      </c>
      <c r="H305" s="22">
        <f>IFERROR(IF(Yearending&gt;B304,'5. Historical demand'!F305-'5. Historical demand'!C305-'5. Historical demand'!D305,""),"")</f>
        <v>110.30999999999995</v>
      </c>
      <c r="I305" s="22">
        <f t="shared" si="14"/>
        <v>361.298</v>
      </c>
    </row>
    <row r="306" spans="2:9" x14ac:dyDescent="0.2">
      <c r="B306" s="201">
        <f t="shared" si="12"/>
        <v>45737</v>
      </c>
      <c r="C306" s="92">
        <v>569.69000000000005</v>
      </c>
      <c r="D306" s="92"/>
      <c r="E306" s="92">
        <v>173.50899999999999</v>
      </c>
      <c r="F306" s="92">
        <v>680</v>
      </c>
      <c r="G306" s="22">
        <f t="shared" si="13"/>
        <v>506.49099999999999</v>
      </c>
      <c r="H306" s="22">
        <f>IFERROR(IF(Yearending&gt;B305,'5. Historical demand'!F306-'5. Historical demand'!C306-'5. Historical demand'!D306,""),"")</f>
        <v>110.30999999999995</v>
      </c>
      <c r="I306" s="22">
        <f t="shared" si="14"/>
        <v>396.18100000000004</v>
      </c>
    </row>
    <row r="307" spans="2:9" x14ac:dyDescent="0.2">
      <c r="B307" s="201">
        <f t="shared" si="12"/>
        <v>45738</v>
      </c>
      <c r="C307" s="92">
        <v>569.69000000000005</v>
      </c>
      <c r="D307" s="92"/>
      <c r="E307" s="92">
        <v>206.15900000000002</v>
      </c>
      <c r="F307" s="92">
        <v>680</v>
      </c>
      <c r="G307" s="22">
        <f t="shared" si="13"/>
        <v>473.84100000000001</v>
      </c>
      <c r="H307" s="22">
        <f>IFERROR(IF(Yearending&gt;B306,'5. Historical demand'!F307-'5. Historical demand'!C307-'5. Historical demand'!D307,""),"")</f>
        <v>110.30999999999995</v>
      </c>
      <c r="I307" s="22">
        <f t="shared" si="14"/>
        <v>363.53100000000006</v>
      </c>
    </row>
    <row r="308" spans="2:9" x14ac:dyDescent="0.2">
      <c r="B308" s="201">
        <f t="shared" si="12"/>
        <v>45739</v>
      </c>
      <c r="C308" s="92">
        <v>569.69000000000005</v>
      </c>
      <c r="D308" s="92"/>
      <c r="E308" s="92">
        <v>211.58</v>
      </c>
      <c r="F308" s="92">
        <v>680</v>
      </c>
      <c r="G308" s="22">
        <f t="shared" si="13"/>
        <v>468.41999999999996</v>
      </c>
      <c r="H308" s="22">
        <f>IFERROR(IF(Yearending&gt;B307,'5. Historical demand'!F308-'5. Historical demand'!C308-'5. Historical demand'!D308,""),"")</f>
        <v>110.30999999999995</v>
      </c>
      <c r="I308" s="22">
        <f t="shared" si="14"/>
        <v>358.11</v>
      </c>
    </row>
    <row r="309" spans="2:9" x14ac:dyDescent="0.2">
      <c r="B309" s="201">
        <f t="shared" si="12"/>
        <v>45740</v>
      </c>
      <c r="C309" s="92">
        <v>569.69000000000005</v>
      </c>
      <c r="D309" s="92"/>
      <c r="E309" s="92">
        <v>182.99700000000001</v>
      </c>
      <c r="F309" s="92">
        <v>680</v>
      </c>
      <c r="G309" s="22">
        <f t="shared" si="13"/>
        <v>497.00299999999999</v>
      </c>
      <c r="H309" s="22">
        <f>IFERROR(IF(Yearending&gt;B308,'5. Historical demand'!F309-'5. Historical demand'!C309-'5. Historical demand'!D309,""),"")</f>
        <v>110.30999999999995</v>
      </c>
      <c r="I309" s="22">
        <f t="shared" si="14"/>
        <v>386.69300000000004</v>
      </c>
    </row>
    <row r="310" spans="2:9" x14ac:dyDescent="0.2">
      <c r="B310" s="201">
        <f t="shared" si="12"/>
        <v>45741</v>
      </c>
      <c r="C310" s="92">
        <v>569.69000000000005</v>
      </c>
      <c r="D310" s="92"/>
      <c r="E310" s="92">
        <v>201.00900000000001</v>
      </c>
      <c r="F310" s="92">
        <v>680</v>
      </c>
      <c r="G310" s="22">
        <f t="shared" si="13"/>
        <v>478.99099999999999</v>
      </c>
      <c r="H310" s="22">
        <f>IFERROR(IF(Yearending&gt;B309,'5. Historical demand'!F310-'5. Historical demand'!C310-'5. Historical demand'!D310,""),"")</f>
        <v>110.30999999999995</v>
      </c>
      <c r="I310" s="22">
        <f t="shared" si="14"/>
        <v>368.68100000000004</v>
      </c>
    </row>
    <row r="311" spans="2:9" x14ac:dyDescent="0.2">
      <c r="B311" s="201">
        <f t="shared" si="12"/>
        <v>45742</v>
      </c>
      <c r="C311" s="92">
        <v>569.69000000000005</v>
      </c>
      <c r="D311" s="92"/>
      <c r="E311" s="92">
        <v>174.20400000000001</v>
      </c>
      <c r="F311" s="92">
        <v>680</v>
      </c>
      <c r="G311" s="22">
        <f t="shared" si="13"/>
        <v>505.79599999999999</v>
      </c>
      <c r="H311" s="22">
        <f>IFERROR(IF(Yearending&gt;B310,'5. Historical demand'!F311-'5. Historical demand'!C311-'5. Historical demand'!D311,""),"")</f>
        <v>110.30999999999995</v>
      </c>
      <c r="I311" s="22">
        <f t="shared" si="14"/>
        <v>395.48600000000005</v>
      </c>
    </row>
    <row r="312" spans="2:9" x14ac:dyDescent="0.2">
      <c r="B312" s="201">
        <f t="shared" si="12"/>
        <v>45743</v>
      </c>
      <c r="C312" s="92">
        <v>569.69000000000005</v>
      </c>
      <c r="D312" s="92"/>
      <c r="E312" s="92">
        <v>158.458</v>
      </c>
      <c r="F312" s="92">
        <v>680</v>
      </c>
      <c r="G312" s="22">
        <f t="shared" si="13"/>
        <v>521.54200000000003</v>
      </c>
      <c r="H312" s="22">
        <f>IFERROR(IF(Yearending&gt;B311,'5. Historical demand'!F312-'5. Historical demand'!C312-'5. Historical demand'!D312,""),"")</f>
        <v>110.30999999999995</v>
      </c>
      <c r="I312" s="22">
        <f t="shared" si="14"/>
        <v>411.23200000000008</v>
      </c>
    </row>
    <row r="313" spans="2:9" x14ac:dyDescent="0.2">
      <c r="B313" s="201">
        <f t="shared" si="12"/>
        <v>45744</v>
      </c>
      <c r="C313" s="92">
        <v>569.69000000000005</v>
      </c>
      <c r="D313" s="92"/>
      <c r="E313" s="92">
        <v>144.50300000000001</v>
      </c>
      <c r="F313" s="92">
        <v>680</v>
      </c>
      <c r="G313" s="22">
        <f t="shared" si="13"/>
        <v>535.49699999999996</v>
      </c>
      <c r="H313" s="22">
        <f>IFERROR(IF(Yearending&gt;B312,'5. Historical demand'!F313-'5. Historical demand'!C313-'5. Historical demand'!D313,""),"")</f>
        <v>110.30999999999995</v>
      </c>
      <c r="I313" s="22">
        <f t="shared" si="14"/>
        <v>425.18700000000001</v>
      </c>
    </row>
    <row r="314" spans="2:9" x14ac:dyDescent="0.2">
      <c r="B314" s="201">
        <f t="shared" si="12"/>
        <v>45745</v>
      </c>
      <c r="C314" s="92">
        <v>569.69000000000005</v>
      </c>
      <c r="D314" s="92"/>
      <c r="E314" s="92">
        <v>178.70500000000001</v>
      </c>
      <c r="F314" s="92">
        <v>680</v>
      </c>
      <c r="G314" s="22">
        <f t="shared" si="13"/>
        <v>501.29499999999996</v>
      </c>
      <c r="H314" s="22">
        <f>IFERROR(IF(Yearending&gt;B313,'5. Historical demand'!F314-'5. Historical demand'!C314-'5. Historical demand'!D314,""),"")</f>
        <v>110.30999999999995</v>
      </c>
      <c r="I314" s="22">
        <f t="shared" si="14"/>
        <v>390.98500000000001</v>
      </c>
    </row>
    <row r="315" spans="2:9" x14ac:dyDescent="0.2">
      <c r="B315" s="201">
        <f t="shared" si="12"/>
        <v>45746</v>
      </c>
      <c r="C315" s="92">
        <v>569.69000000000005</v>
      </c>
      <c r="D315" s="92"/>
      <c r="E315" s="92">
        <v>193.09100000000001</v>
      </c>
      <c r="F315" s="92">
        <v>680</v>
      </c>
      <c r="G315" s="22">
        <f t="shared" si="13"/>
        <v>486.90899999999999</v>
      </c>
      <c r="H315" s="22">
        <f>IFERROR(IF(Yearending&gt;B314,'5. Historical demand'!F315-'5. Historical demand'!C315-'5. Historical demand'!D315,""),"")</f>
        <v>110.30999999999995</v>
      </c>
      <c r="I315" s="22">
        <f t="shared" si="14"/>
        <v>376.59900000000005</v>
      </c>
    </row>
    <row r="316" spans="2:9" x14ac:dyDescent="0.2">
      <c r="B316" s="201">
        <f t="shared" si="12"/>
        <v>45747</v>
      </c>
      <c r="C316" s="92">
        <v>569.69000000000005</v>
      </c>
      <c r="D316" s="92"/>
      <c r="E316" s="92">
        <v>162.90700000000001</v>
      </c>
      <c r="F316" s="92">
        <v>680</v>
      </c>
      <c r="G316" s="22">
        <f t="shared" si="13"/>
        <v>517.09299999999996</v>
      </c>
      <c r="H316" s="22">
        <f>IFERROR(IF(Yearending&gt;B315,'5. Historical demand'!F316-'5. Historical demand'!C316-'5. Historical demand'!D316,""),"")</f>
        <v>110.30999999999995</v>
      </c>
      <c r="I316" s="22">
        <f t="shared" si="14"/>
        <v>406.78300000000002</v>
      </c>
    </row>
    <row r="317" spans="2:9" x14ac:dyDescent="0.2">
      <c r="B317" s="201">
        <f t="shared" si="12"/>
        <v>45748</v>
      </c>
      <c r="C317" s="92">
        <v>599.14</v>
      </c>
      <c r="D317" s="92"/>
      <c r="E317" s="92">
        <v>137.714</v>
      </c>
      <c r="F317" s="92">
        <v>680</v>
      </c>
      <c r="G317" s="22">
        <f t="shared" si="13"/>
        <v>542.28600000000006</v>
      </c>
      <c r="H317" s="22">
        <f>IFERROR(IF(Yearending&gt;B316,'5. Historical demand'!F317-'5. Historical demand'!C317-'5. Historical demand'!D317,""),"")</f>
        <v>80.860000000000014</v>
      </c>
      <c r="I317" s="22">
        <f t="shared" si="14"/>
        <v>461.42599999999999</v>
      </c>
    </row>
    <row r="318" spans="2:9" x14ac:dyDescent="0.2">
      <c r="B318" s="201">
        <f t="shared" si="12"/>
        <v>45749</v>
      </c>
      <c r="C318" s="92">
        <v>599.14</v>
      </c>
      <c r="D318" s="92"/>
      <c r="E318" s="92">
        <v>152.126</v>
      </c>
      <c r="F318" s="92">
        <v>680</v>
      </c>
      <c r="G318" s="22">
        <f t="shared" si="13"/>
        <v>527.87400000000002</v>
      </c>
      <c r="H318" s="22">
        <f>IFERROR(IF(Yearending&gt;B317,'5. Historical demand'!F318-'5. Historical demand'!C318-'5. Historical demand'!D318,""),"")</f>
        <v>80.860000000000014</v>
      </c>
      <c r="I318" s="22">
        <f t="shared" si="14"/>
        <v>447.01400000000001</v>
      </c>
    </row>
    <row r="319" spans="2:9" x14ac:dyDescent="0.2">
      <c r="B319" s="201">
        <f t="shared" si="12"/>
        <v>45750</v>
      </c>
      <c r="C319" s="92">
        <v>599.14</v>
      </c>
      <c r="D319" s="92"/>
      <c r="E319" s="92">
        <v>145.024</v>
      </c>
      <c r="F319" s="92">
        <v>680</v>
      </c>
      <c r="G319" s="22">
        <f t="shared" si="13"/>
        <v>534.976</v>
      </c>
      <c r="H319" s="22">
        <f>IFERROR(IF(Yearending&gt;B318,'5. Historical demand'!F319-'5. Historical demand'!C319-'5. Historical demand'!D319,""),"")</f>
        <v>80.860000000000014</v>
      </c>
      <c r="I319" s="22">
        <f t="shared" si="14"/>
        <v>454.11599999999999</v>
      </c>
    </row>
    <row r="320" spans="2:9" x14ac:dyDescent="0.2">
      <c r="B320" s="201">
        <f t="shared" si="12"/>
        <v>45751</v>
      </c>
      <c r="C320" s="92">
        <v>599.14</v>
      </c>
      <c r="D320" s="92"/>
      <c r="E320" s="92">
        <v>128.86099999999999</v>
      </c>
      <c r="F320" s="92">
        <v>680</v>
      </c>
      <c r="G320" s="22">
        <f t="shared" si="13"/>
        <v>551.13900000000001</v>
      </c>
      <c r="H320" s="22">
        <f>IFERROR(IF(Yearending&gt;B319,'5. Historical demand'!F320-'5. Historical demand'!C320-'5. Historical demand'!D320,""),"")</f>
        <v>80.860000000000014</v>
      </c>
      <c r="I320" s="22">
        <f t="shared" si="14"/>
        <v>470.279</v>
      </c>
    </row>
    <row r="321" spans="2:9" x14ac:dyDescent="0.2">
      <c r="B321" s="201">
        <f t="shared" si="12"/>
        <v>45752</v>
      </c>
      <c r="C321" s="92">
        <v>599.14</v>
      </c>
      <c r="D321" s="92"/>
      <c r="E321" s="92">
        <v>147.12</v>
      </c>
      <c r="F321" s="92">
        <v>680</v>
      </c>
      <c r="G321" s="22">
        <f t="shared" si="13"/>
        <v>532.88</v>
      </c>
      <c r="H321" s="22">
        <f>IFERROR(IF(Yearending&gt;B320,'5. Historical demand'!F321-'5. Historical demand'!C321-'5. Historical demand'!D321,""),"")</f>
        <v>80.860000000000014</v>
      </c>
      <c r="I321" s="22">
        <f t="shared" si="14"/>
        <v>452.02</v>
      </c>
    </row>
    <row r="322" spans="2:9" x14ac:dyDescent="0.2">
      <c r="B322" s="201">
        <f t="shared" si="12"/>
        <v>45753</v>
      </c>
      <c r="C322" s="92">
        <v>599.14</v>
      </c>
      <c r="D322" s="92"/>
      <c r="E322" s="92">
        <v>133.029</v>
      </c>
      <c r="F322" s="92">
        <v>680</v>
      </c>
      <c r="G322" s="22">
        <f t="shared" si="13"/>
        <v>546.971</v>
      </c>
      <c r="H322" s="22">
        <f>IFERROR(IF(Yearending&gt;B321,'5. Historical demand'!F322-'5. Historical demand'!C322-'5. Historical demand'!D322,""),"")</f>
        <v>80.860000000000014</v>
      </c>
      <c r="I322" s="22">
        <f t="shared" si="14"/>
        <v>466.11099999999999</v>
      </c>
    </row>
    <row r="323" spans="2:9" x14ac:dyDescent="0.2">
      <c r="B323" s="201">
        <f t="shared" si="12"/>
        <v>45754</v>
      </c>
      <c r="C323" s="92">
        <v>599.14</v>
      </c>
      <c r="D323" s="92"/>
      <c r="E323" s="92">
        <v>188.22399999999999</v>
      </c>
      <c r="F323" s="92">
        <v>680</v>
      </c>
      <c r="G323" s="22">
        <f t="shared" si="13"/>
        <v>491.77600000000001</v>
      </c>
      <c r="H323" s="22">
        <f>IFERROR(IF(Yearending&gt;B322,'5. Historical demand'!F323-'5. Historical demand'!C323-'5. Historical demand'!D323,""),"")</f>
        <v>80.860000000000014</v>
      </c>
      <c r="I323" s="22">
        <f t="shared" si="14"/>
        <v>410.916</v>
      </c>
    </row>
    <row r="324" spans="2:9" x14ac:dyDescent="0.2">
      <c r="B324" s="201">
        <f t="shared" si="12"/>
        <v>45755</v>
      </c>
      <c r="C324" s="92">
        <v>599.14</v>
      </c>
      <c r="D324" s="92"/>
      <c r="E324" s="92">
        <v>190.37099999999998</v>
      </c>
      <c r="F324" s="92">
        <v>680</v>
      </c>
      <c r="G324" s="22">
        <f t="shared" si="13"/>
        <v>489.62900000000002</v>
      </c>
      <c r="H324" s="22">
        <f>IFERROR(IF(Yearending&gt;B323,'5. Historical demand'!F324-'5. Historical demand'!C324-'5. Historical demand'!D324,""),"")</f>
        <v>80.860000000000014</v>
      </c>
      <c r="I324" s="22">
        <f t="shared" si="14"/>
        <v>408.76900000000001</v>
      </c>
    </row>
    <row r="325" spans="2:9" x14ac:dyDescent="0.2">
      <c r="B325" s="201">
        <f t="shared" si="12"/>
        <v>45756</v>
      </c>
      <c r="C325" s="92">
        <v>599.14</v>
      </c>
      <c r="D325" s="92"/>
      <c r="E325" s="92">
        <v>112.87700000000001</v>
      </c>
      <c r="F325" s="92">
        <v>680</v>
      </c>
      <c r="G325" s="22">
        <f t="shared" si="13"/>
        <v>567.12300000000005</v>
      </c>
      <c r="H325" s="22">
        <f>IFERROR(IF(Yearending&gt;B324,'5. Historical demand'!F325-'5. Historical demand'!C325-'5. Historical demand'!D325,""),"")</f>
        <v>80.860000000000014</v>
      </c>
      <c r="I325" s="22">
        <f t="shared" si="14"/>
        <v>486.26299999999998</v>
      </c>
    </row>
    <row r="326" spans="2:9" x14ac:dyDescent="0.2">
      <c r="B326" s="201">
        <f t="shared" si="12"/>
        <v>45757</v>
      </c>
      <c r="C326" s="92">
        <v>599.14</v>
      </c>
      <c r="D326" s="92"/>
      <c r="E326" s="92">
        <v>175.97499999999999</v>
      </c>
      <c r="F326" s="92">
        <v>680</v>
      </c>
      <c r="G326" s="22">
        <f t="shared" si="13"/>
        <v>504.02499999999998</v>
      </c>
      <c r="H326" s="22">
        <f>IFERROR(IF(Yearending&gt;B325,'5. Historical demand'!F326-'5. Historical demand'!C326-'5. Historical demand'!D326,""),"")</f>
        <v>80.860000000000014</v>
      </c>
      <c r="I326" s="22">
        <f t="shared" si="14"/>
        <v>423.16499999999996</v>
      </c>
    </row>
    <row r="327" spans="2:9" x14ac:dyDescent="0.2">
      <c r="B327" s="201">
        <f t="shared" si="12"/>
        <v>45758</v>
      </c>
      <c r="C327" s="92">
        <v>599.14</v>
      </c>
      <c r="D327" s="92"/>
      <c r="E327" s="92">
        <v>70.259</v>
      </c>
      <c r="F327" s="92">
        <v>680</v>
      </c>
      <c r="G327" s="22">
        <f t="shared" si="13"/>
        <v>609.74099999999999</v>
      </c>
      <c r="H327" s="22">
        <f>IFERROR(IF(Yearending&gt;B326,'5. Historical demand'!F327-'5. Historical demand'!C327-'5. Historical demand'!D327,""),"")</f>
        <v>80.860000000000014</v>
      </c>
      <c r="I327" s="22">
        <f t="shared" si="14"/>
        <v>528.88099999999997</v>
      </c>
    </row>
    <row r="328" spans="2:9" x14ac:dyDescent="0.2">
      <c r="B328" s="201">
        <f t="shared" si="12"/>
        <v>45759</v>
      </c>
      <c r="C328" s="92">
        <v>599.14</v>
      </c>
      <c r="D328" s="92"/>
      <c r="E328" s="92">
        <v>203.05099999999999</v>
      </c>
      <c r="F328" s="92">
        <v>680</v>
      </c>
      <c r="G328" s="22">
        <f t="shared" si="13"/>
        <v>476.94900000000001</v>
      </c>
      <c r="H328" s="22">
        <f>IFERROR(IF(Yearending&gt;B327,'5. Historical demand'!F328-'5. Historical demand'!C328-'5. Historical demand'!D328,""),"")</f>
        <v>80.860000000000014</v>
      </c>
      <c r="I328" s="22">
        <f t="shared" si="14"/>
        <v>396.089</v>
      </c>
    </row>
    <row r="329" spans="2:9" x14ac:dyDescent="0.2">
      <c r="B329" s="201">
        <f t="shared" si="12"/>
        <v>45760</v>
      </c>
      <c r="C329" s="92">
        <v>599.14</v>
      </c>
      <c r="D329" s="92"/>
      <c r="E329" s="92">
        <v>139.21700000000001</v>
      </c>
      <c r="F329" s="92">
        <v>680</v>
      </c>
      <c r="G329" s="22">
        <f t="shared" si="13"/>
        <v>540.78300000000002</v>
      </c>
      <c r="H329" s="22">
        <f>IFERROR(IF(Yearending&gt;B328,'5. Historical demand'!F329-'5. Historical demand'!C329-'5. Historical demand'!D329,""),"")</f>
        <v>80.860000000000014</v>
      </c>
      <c r="I329" s="22">
        <f t="shared" si="14"/>
        <v>459.923</v>
      </c>
    </row>
    <row r="330" spans="2:9" x14ac:dyDescent="0.2">
      <c r="B330" s="201">
        <f t="shared" si="12"/>
        <v>45761</v>
      </c>
      <c r="C330" s="92">
        <v>599.14</v>
      </c>
      <c r="D330" s="92"/>
      <c r="E330" s="92">
        <v>116.714</v>
      </c>
      <c r="F330" s="92">
        <v>680</v>
      </c>
      <c r="G330" s="22">
        <f t="shared" si="13"/>
        <v>563.28600000000006</v>
      </c>
      <c r="H330" s="22">
        <f>IFERROR(IF(Yearending&gt;B329,'5. Historical demand'!F330-'5. Historical demand'!C330-'5. Historical demand'!D330,""),"")</f>
        <v>80.860000000000014</v>
      </c>
      <c r="I330" s="22">
        <f t="shared" si="14"/>
        <v>482.42599999999999</v>
      </c>
    </row>
    <row r="331" spans="2:9" x14ac:dyDescent="0.2">
      <c r="B331" s="201">
        <f t="shared" si="12"/>
        <v>45762</v>
      </c>
      <c r="C331" s="92">
        <v>599.14</v>
      </c>
      <c r="D331" s="92"/>
      <c r="E331" s="92">
        <v>170.239</v>
      </c>
      <c r="F331" s="92">
        <v>680</v>
      </c>
      <c r="G331" s="22">
        <f t="shared" si="13"/>
        <v>509.76099999999997</v>
      </c>
      <c r="H331" s="22">
        <f>IFERROR(IF(Yearending&gt;B330,'5. Historical demand'!F331-'5. Historical demand'!C331-'5. Historical demand'!D331,""),"")</f>
        <v>80.860000000000014</v>
      </c>
      <c r="I331" s="22">
        <f t="shared" si="14"/>
        <v>428.90099999999995</v>
      </c>
    </row>
    <row r="332" spans="2:9" x14ac:dyDescent="0.2">
      <c r="B332" s="201">
        <f t="shared" si="12"/>
        <v>45763</v>
      </c>
      <c r="C332" s="92">
        <v>599.14</v>
      </c>
      <c r="D332" s="92"/>
      <c r="E332" s="92">
        <v>149.80100000000002</v>
      </c>
      <c r="F332" s="92">
        <v>680</v>
      </c>
      <c r="G332" s="22">
        <f t="shared" si="13"/>
        <v>530.19899999999996</v>
      </c>
      <c r="H332" s="22">
        <f>IFERROR(IF(Yearending&gt;B331,'5. Historical demand'!F332-'5. Historical demand'!C332-'5. Historical demand'!D332,""),"")</f>
        <v>80.860000000000014</v>
      </c>
      <c r="I332" s="22">
        <f t="shared" si="14"/>
        <v>449.33899999999994</v>
      </c>
    </row>
    <row r="333" spans="2:9" x14ac:dyDescent="0.2">
      <c r="B333" s="201">
        <f t="shared" si="12"/>
        <v>45764</v>
      </c>
      <c r="C333" s="92">
        <v>599.14</v>
      </c>
      <c r="D333" s="92"/>
      <c r="E333" s="92">
        <v>189.001</v>
      </c>
      <c r="F333" s="92">
        <v>680</v>
      </c>
      <c r="G333" s="22">
        <f t="shared" si="13"/>
        <v>490.99900000000002</v>
      </c>
      <c r="H333" s="22">
        <f>IFERROR(IF(Yearending&gt;B332,'5. Historical demand'!F333-'5. Historical demand'!C333-'5. Historical demand'!D333,""),"")</f>
        <v>80.860000000000014</v>
      </c>
      <c r="I333" s="22">
        <f t="shared" si="14"/>
        <v>410.13900000000001</v>
      </c>
    </row>
    <row r="334" spans="2:9" x14ac:dyDescent="0.2">
      <c r="B334" s="201">
        <f t="shared" si="12"/>
        <v>45765</v>
      </c>
      <c r="C334" s="92">
        <v>599.14</v>
      </c>
      <c r="D334" s="92"/>
      <c r="E334" s="92">
        <v>139.42200000000003</v>
      </c>
      <c r="F334" s="92">
        <v>680</v>
      </c>
      <c r="G334" s="22">
        <f t="shared" si="13"/>
        <v>540.57799999999997</v>
      </c>
      <c r="H334" s="22">
        <f>IFERROR(IF(Yearending&gt;B333,'5. Historical demand'!F334-'5. Historical demand'!C334-'5. Historical demand'!D334,""),"")</f>
        <v>80.860000000000014</v>
      </c>
      <c r="I334" s="22">
        <f t="shared" si="14"/>
        <v>459.71799999999996</v>
      </c>
    </row>
    <row r="335" spans="2:9" x14ac:dyDescent="0.2">
      <c r="B335" s="201">
        <f t="shared" si="12"/>
        <v>45766</v>
      </c>
      <c r="C335" s="92">
        <v>599.14</v>
      </c>
      <c r="D335" s="92"/>
      <c r="E335" s="92">
        <v>95.838999999999999</v>
      </c>
      <c r="F335" s="92">
        <v>680</v>
      </c>
      <c r="G335" s="22">
        <f t="shared" si="13"/>
        <v>584.16100000000006</v>
      </c>
      <c r="H335" s="22">
        <f>IFERROR(IF(Yearending&gt;B334,'5. Historical demand'!F335-'5. Historical demand'!C335-'5. Historical demand'!D335,""),"")</f>
        <v>80.860000000000014</v>
      </c>
      <c r="I335" s="22">
        <f t="shared" si="14"/>
        <v>503.30099999999999</v>
      </c>
    </row>
    <row r="336" spans="2:9" x14ac:dyDescent="0.2">
      <c r="B336" s="201">
        <f t="shared" si="12"/>
        <v>45767</v>
      </c>
      <c r="C336" s="92">
        <v>599.14</v>
      </c>
      <c r="D336" s="92"/>
      <c r="E336" s="92">
        <v>99.772999999999996</v>
      </c>
      <c r="F336" s="92">
        <v>680</v>
      </c>
      <c r="G336" s="22">
        <f t="shared" si="13"/>
        <v>580.22699999999998</v>
      </c>
      <c r="H336" s="22">
        <f>IFERROR(IF(Yearending&gt;B335,'5. Historical demand'!F336-'5. Historical demand'!C336-'5. Historical demand'!D336,""),"")</f>
        <v>80.860000000000014</v>
      </c>
      <c r="I336" s="22">
        <f t="shared" si="14"/>
        <v>499.36699999999996</v>
      </c>
    </row>
    <row r="337" spans="2:9" x14ac:dyDescent="0.2">
      <c r="B337" s="201">
        <f t="shared" si="12"/>
        <v>45768</v>
      </c>
      <c r="C337" s="92">
        <v>599.14</v>
      </c>
      <c r="D337" s="92"/>
      <c r="E337" s="92">
        <v>77.965000000000003</v>
      </c>
      <c r="F337" s="92">
        <v>680</v>
      </c>
      <c r="G337" s="22">
        <f t="shared" si="13"/>
        <v>602.03499999999997</v>
      </c>
      <c r="H337" s="22">
        <f>IFERROR(IF(Yearending&gt;B336,'5. Historical demand'!F337-'5. Historical demand'!C337-'5. Historical demand'!D337,""),"")</f>
        <v>80.860000000000014</v>
      </c>
      <c r="I337" s="22">
        <f t="shared" si="14"/>
        <v>521.17499999999995</v>
      </c>
    </row>
    <row r="338" spans="2:9" x14ac:dyDescent="0.2">
      <c r="B338" s="201">
        <f t="shared" si="12"/>
        <v>45769</v>
      </c>
      <c r="C338" s="92">
        <v>599.14</v>
      </c>
      <c r="D338" s="92"/>
      <c r="E338" s="92">
        <v>134.52100000000002</v>
      </c>
      <c r="F338" s="92">
        <v>680</v>
      </c>
      <c r="G338" s="22">
        <f t="shared" si="13"/>
        <v>545.47900000000004</v>
      </c>
      <c r="H338" s="22">
        <f>IFERROR(IF(Yearending&gt;B337,'5. Historical demand'!F338-'5. Historical demand'!C338-'5. Historical demand'!D338,""),"")</f>
        <v>80.860000000000014</v>
      </c>
      <c r="I338" s="22">
        <f t="shared" si="14"/>
        <v>464.61899999999997</v>
      </c>
    </row>
    <row r="339" spans="2:9" x14ac:dyDescent="0.2">
      <c r="B339" s="201">
        <f t="shared" si="12"/>
        <v>45770</v>
      </c>
      <c r="C339" s="92">
        <v>599.14</v>
      </c>
      <c r="D339" s="92"/>
      <c r="E339" s="92">
        <v>142.9</v>
      </c>
      <c r="F339" s="92">
        <v>680</v>
      </c>
      <c r="G339" s="22">
        <f t="shared" si="13"/>
        <v>537.1</v>
      </c>
      <c r="H339" s="22">
        <f>IFERROR(IF(Yearending&gt;B338,'5. Historical demand'!F339-'5. Historical demand'!C339-'5. Historical demand'!D339,""),"")</f>
        <v>80.860000000000014</v>
      </c>
      <c r="I339" s="22">
        <f t="shared" si="14"/>
        <v>456.24</v>
      </c>
    </row>
    <row r="340" spans="2:9" x14ac:dyDescent="0.2">
      <c r="B340" s="201">
        <f t="shared" si="12"/>
        <v>45771</v>
      </c>
      <c r="C340" s="92">
        <v>599.14</v>
      </c>
      <c r="D340" s="92"/>
      <c r="E340" s="92">
        <v>181.54899999999998</v>
      </c>
      <c r="F340" s="92">
        <v>680</v>
      </c>
      <c r="G340" s="22">
        <f t="shared" si="13"/>
        <v>498.45100000000002</v>
      </c>
      <c r="H340" s="22">
        <f>IFERROR(IF(Yearending&gt;B339,'5. Historical demand'!F340-'5. Historical demand'!C340-'5. Historical demand'!D340,""),"")</f>
        <v>80.860000000000014</v>
      </c>
      <c r="I340" s="22">
        <f t="shared" si="14"/>
        <v>417.59100000000001</v>
      </c>
    </row>
    <row r="341" spans="2:9" x14ac:dyDescent="0.2">
      <c r="B341" s="201">
        <f t="shared" si="12"/>
        <v>45772</v>
      </c>
      <c r="C341" s="92">
        <v>599.14</v>
      </c>
      <c r="D341" s="92"/>
      <c r="E341" s="92">
        <v>92.829000000000008</v>
      </c>
      <c r="F341" s="92">
        <v>680</v>
      </c>
      <c r="G341" s="22">
        <f t="shared" si="13"/>
        <v>587.17100000000005</v>
      </c>
      <c r="H341" s="22">
        <f>IFERROR(IF(Yearending&gt;B340,'5. Historical demand'!F341-'5. Historical demand'!C341-'5. Historical demand'!D341,""),"")</f>
        <v>80.860000000000014</v>
      </c>
      <c r="I341" s="22">
        <f t="shared" si="14"/>
        <v>506.31099999999998</v>
      </c>
    </row>
    <row r="342" spans="2:9" x14ac:dyDescent="0.2">
      <c r="B342" s="201">
        <f t="shared" si="12"/>
        <v>45773</v>
      </c>
      <c r="C342" s="92">
        <v>599.14</v>
      </c>
      <c r="D342" s="92"/>
      <c r="E342" s="92">
        <v>97.453000000000003</v>
      </c>
      <c r="F342" s="92">
        <v>680</v>
      </c>
      <c r="G342" s="22">
        <f t="shared" si="13"/>
        <v>582.54700000000003</v>
      </c>
      <c r="H342" s="22">
        <f>IFERROR(IF(Yearending&gt;B341,'5. Historical demand'!F342-'5. Historical demand'!C342-'5. Historical demand'!D342,""),"")</f>
        <v>80.860000000000014</v>
      </c>
      <c r="I342" s="22">
        <f t="shared" si="14"/>
        <v>501.68700000000001</v>
      </c>
    </row>
    <row r="343" spans="2:9" x14ac:dyDescent="0.2">
      <c r="B343" s="201">
        <f t="shared" si="12"/>
        <v>45774</v>
      </c>
      <c r="C343" s="92">
        <v>599.14</v>
      </c>
      <c r="D343" s="92"/>
      <c r="E343" s="92">
        <v>96.179000000000002</v>
      </c>
      <c r="F343" s="92">
        <v>680</v>
      </c>
      <c r="G343" s="22">
        <f t="shared" si="13"/>
        <v>583.82100000000003</v>
      </c>
      <c r="H343" s="22">
        <f>IFERROR(IF(Yearending&gt;B342,'5. Historical demand'!F343-'5. Historical demand'!C343-'5. Historical demand'!D343,""),"")</f>
        <v>80.860000000000014</v>
      </c>
      <c r="I343" s="22">
        <f t="shared" si="14"/>
        <v>502.96100000000001</v>
      </c>
    </row>
    <row r="344" spans="2:9" x14ac:dyDescent="0.2">
      <c r="B344" s="201">
        <f t="shared" si="12"/>
        <v>45775</v>
      </c>
      <c r="C344" s="92">
        <v>599.14</v>
      </c>
      <c r="D344" s="92"/>
      <c r="E344" s="92">
        <v>109.399</v>
      </c>
      <c r="F344" s="92">
        <v>680</v>
      </c>
      <c r="G344" s="22">
        <f t="shared" si="13"/>
        <v>570.601</v>
      </c>
      <c r="H344" s="22">
        <f>IFERROR(IF(Yearending&gt;B343,'5. Historical demand'!F344-'5. Historical demand'!C344-'5. Historical demand'!D344,""),"")</f>
        <v>80.860000000000014</v>
      </c>
      <c r="I344" s="22">
        <f t="shared" si="14"/>
        <v>489.74099999999999</v>
      </c>
    </row>
    <row r="345" spans="2:9" x14ac:dyDescent="0.2">
      <c r="B345" s="201">
        <f t="shared" si="12"/>
        <v>45776</v>
      </c>
      <c r="C345" s="92">
        <v>599.14</v>
      </c>
      <c r="D345" s="92"/>
      <c r="E345" s="92">
        <v>116.188</v>
      </c>
      <c r="F345" s="92">
        <v>680</v>
      </c>
      <c r="G345" s="22">
        <f t="shared" si="13"/>
        <v>563.81200000000001</v>
      </c>
      <c r="H345" s="22">
        <f>IFERROR(IF(Yearending&gt;B344,'5. Historical demand'!F345-'5. Historical demand'!C345-'5. Historical demand'!D345,""),"")</f>
        <v>80.860000000000014</v>
      </c>
      <c r="I345" s="22">
        <f t="shared" si="14"/>
        <v>482.952</v>
      </c>
    </row>
    <row r="346" spans="2:9" x14ac:dyDescent="0.2">
      <c r="B346" s="201">
        <f t="shared" si="12"/>
        <v>45777</v>
      </c>
      <c r="C346" s="92">
        <v>599.14</v>
      </c>
      <c r="D346" s="92"/>
      <c r="E346" s="92">
        <v>193.23000000000002</v>
      </c>
      <c r="F346" s="92">
        <v>680</v>
      </c>
      <c r="G346" s="22">
        <f t="shared" si="13"/>
        <v>486.77</v>
      </c>
      <c r="H346" s="22">
        <f>IFERROR(IF(Yearending&gt;B345,'5. Historical demand'!F346-'5. Historical demand'!C346-'5. Historical demand'!D346,""),"")</f>
        <v>80.860000000000014</v>
      </c>
      <c r="I346" s="22">
        <f t="shared" si="14"/>
        <v>405.90999999999997</v>
      </c>
    </row>
    <row r="347" spans="2:9" x14ac:dyDescent="0.2">
      <c r="B347" s="201">
        <f t="shared" si="12"/>
        <v>45778</v>
      </c>
      <c r="C347" s="92">
        <v>718.7</v>
      </c>
      <c r="D347" s="92"/>
      <c r="E347" s="92">
        <v>187.20699999999999</v>
      </c>
      <c r="F347" s="92">
        <v>705</v>
      </c>
      <c r="G347" s="22">
        <f t="shared" si="13"/>
        <v>517.79300000000001</v>
      </c>
      <c r="H347" s="22">
        <f>IFERROR(IF(Yearending&gt;B346,'5. Historical demand'!F347-'5. Historical demand'!C347-'5. Historical demand'!D347,""),"")</f>
        <v>-13.700000000000045</v>
      </c>
      <c r="I347" s="22">
        <f t="shared" si="14"/>
        <v>531.49300000000005</v>
      </c>
    </row>
    <row r="348" spans="2:9" x14ac:dyDescent="0.2">
      <c r="B348" s="201">
        <f t="shared" si="12"/>
        <v>45779</v>
      </c>
      <c r="C348" s="92">
        <v>718.7</v>
      </c>
      <c r="D348" s="92"/>
      <c r="E348" s="92">
        <v>185.00700000000001</v>
      </c>
      <c r="F348" s="92">
        <v>705</v>
      </c>
      <c r="G348" s="22">
        <f t="shared" si="13"/>
        <v>519.99299999999994</v>
      </c>
      <c r="H348" s="22">
        <f>IFERROR(IF(Yearending&gt;B347,'5. Historical demand'!F348-'5. Historical demand'!C348-'5. Historical demand'!D348,""),"")</f>
        <v>-13.700000000000045</v>
      </c>
      <c r="I348" s="22">
        <f t="shared" si="14"/>
        <v>533.69299999999998</v>
      </c>
    </row>
    <row r="349" spans="2:9" x14ac:dyDescent="0.2">
      <c r="B349" s="201">
        <f t="shared" si="12"/>
        <v>45780</v>
      </c>
      <c r="C349" s="92">
        <v>718.7</v>
      </c>
      <c r="D349" s="92"/>
      <c r="E349" s="92">
        <v>185.02</v>
      </c>
      <c r="F349" s="92">
        <v>705</v>
      </c>
      <c r="G349" s="22">
        <f t="shared" si="13"/>
        <v>519.98</v>
      </c>
      <c r="H349" s="22">
        <f>IFERROR(IF(Yearending&gt;B348,'5. Historical demand'!F349-'5. Historical demand'!C349-'5. Historical demand'!D349,""),"")</f>
        <v>-13.700000000000045</v>
      </c>
      <c r="I349" s="22">
        <f t="shared" si="14"/>
        <v>533.68000000000006</v>
      </c>
    </row>
    <row r="350" spans="2:9" x14ac:dyDescent="0.2">
      <c r="B350" s="201">
        <f t="shared" si="12"/>
        <v>45781</v>
      </c>
      <c r="C350" s="92">
        <v>718.7</v>
      </c>
      <c r="D350" s="92"/>
      <c r="E350" s="92">
        <v>181.86799999999999</v>
      </c>
      <c r="F350" s="92">
        <v>705</v>
      </c>
      <c r="G350" s="22">
        <f t="shared" si="13"/>
        <v>523.13200000000006</v>
      </c>
      <c r="H350" s="22">
        <f>IFERROR(IF(Yearending&gt;B349,'5. Historical demand'!F350-'5. Historical demand'!C350-'5. Historical demand'!D350,""),"")</f>
        <v>-13.700000000000045</v>
      </c>
      <c r="I350" s="22">
        <f t="shared" si="14"/>
        <v>536.83200000000011</v>
      </c>
    </row>
    <row r="351" spans="2:9" x14ac:dyDescent="0.2">
      <c r="B351" s="201">
        <f t="shared" si="12"/>
        <v>45782</v>
      </c>
      <c r="C351" s="92">
        <v>718.7</v>
      </c>
      <c r="D351" s="92"/>
      <c r="E351" s="92">
        <v>146.387</v>
      </c>
      <c r="F351" s="92">
        <v>705</v>
      </c>
      <c r="G351" s="22">
        <f t="shared" si="13"/>
        <v>558.61300000000006</v>
      </c>
      <c r="H351" s="22">
        <f>IFERROR(IF(Yearending&gt;B350,'5. Historical demand'!F351-'5. Historical demand'!C351-'5. Historical demand'!D351,""),"")</f>
        <v>-13.700000000000045</v>
      </c>
      <c r="I351" s="22">
        <f t="shared" si="14"/>
        <v>572.3130000000001</v>
      </c>
    </row>
    <row r="352" spans="2:9" x14ac:dyDescent="0.2">
      <c r="B352" s="201">
        <f t="shared" si="12"/>
        <v>45783</v>
      </c>
      <c r="C352" s="92">
        <v>718.7</v>
      </c>
      <c r="D352" s="92"/>
      <c r="E352" s="92">
        <v>133.995</v>
      </c>
      <c r="F352" s="92">
        <v>705</v>
      </c>
      <c r="G352" s="22">
        <f t="shared" si="13"/>
        <v>571.005</v>
      </c>
      <c r="H352" s="22">
        <f>IFERROR(IF(Yearending&gt;B351,'5. Historical demand'!F352-'5. Historical demand'!C352-'5. Historical demand'!D352,""),"")</f>
        <v>-13.700000000000045</v>
      </c>
      <c r="I352" s="22">
        <f t="shared" si="14"/>
        <v>584.70500000000004</v>
      </c>
    </row>
    <row r="353" spans="2:9" x14ac:dyDescent="0.2">
      <c r="B353" s="201">
        <f t="shared" si="12"/>
        <v>45784</v>
      </c>
      <c r="C353" s="92">
        <v>718.7</v>
      </c>
      <c r="D353" s="92"/>
      <c r="E353" s="92">
        <v>132.69900000000001</v>
      </c>
      <c r="F353" s="92">
        <v>705</v>
      </c>
      <c r="G353" s="22">
        <f t="shared" si="13"/>
        <v>572.30099999999993</v>
      </c>
      <c r="H353" s="22">
        <f>IFERROR(IF(Yearending&gt;B352,'5. Historical demand'!F353-'5. Historical demand'!C353-'5. Historical demand'!D353,""),"")</f>
        <v>-13.700000000000045</v>
      </c>
      <c r="I353" s="22">
        <f t="shared" si="14"/>
        <v>586.00099999999998</v>
      </c>
    </row>
    <row r="354" spans="2:9" x14ac:dyDescent="0.2">
      <c r="B354" s="201">
        <f t="shared" si="12"/>
        <v>45785</v>
      </c>
      <c r="C354" s="92">
        <v>718.7</v>
      </c>
      <c r="D354" s="92"/>
      <c r="E354" s="92">
        <v>206.27199999999999</v>
      </c>
      <c r="F354" s="92">
        <v>705</v>
      </c>
      <c r="G354" s="22">
        <f t="shared" si="13"/>
        <v>498.72800000000001</v>
      </c>
      <c r="H354" s="22">
        <f>IFERROR(IF(Yearending&gt;B353,'5. Historical demand'!F354-'5. Historical demand'!C354-'5. Historical demand'!D354,""),"")</f>
        <v>-13.700000000000045</v>
      </c>
      <c r="I354" s="22">
        <f t="shared" si="14"/>
        <v>512.42800000000011</v>
      </c>
    </row>
    <row r="355" spans="2:9" x14ac:dyDescent="0.2">
      <c r="B355" s="201">
        <f t="shared" si="12"/>
        <v>45786</v>
      </c>
      <c r="C355" s="92">
        <v>718.7</v>
      </c>
      <c r="D355" s="92"/>
      <c r="E355" s="92">
        <v>186.315</v>
      </c>
      <c r="F355" s="92">
        <v>705</v>
      </c>
      <c r="G355" s="22">
        <f t="shared" si="13"/>
        <v>518.68499999999995</v>
      </c>
      <c r="H355" s="22">
        <f>IFERROR(IF(Yearending&gt;B354,'5. Historical demand'!F355-'5. Historical demand'!C355-'5. Historical demand'!D355,""),"")</f>
        <v>-13.700000000000045</v>
      </c>
      <c r="I355" s="22">
        <f t="shared" si="14"/>
        <v>532.38499999999999</v>
      </c>
    </row>
    <row r="356" spans="2:9" x14ac:dyDescent="0.2">
      <c r="B356" s="201">
        <f t="shared" si="12"/>
        <v>45787</v>
      </c>
      <c r="C356" s="92">
        <v>718.7</v>
      </c>
      <c r="D356" s="92"/>
      <c r="E356" s="92">
        <v>194.922</v>
      </c>
      <c r="F356" s="92">
        <v>705</v>
      </c>
      <c r="G356" s="22">
        <f t="shared" si="13"/>
        <v>510.07799999999997</v>
      </c>
      <c r="H356" s="22">
        <f>IFERROR(IF(Yearending&gt;B355,'5. Historical demand'!F356-'5. Historical demand'!C356-'5. Historical demand'!D356,""),"")</f>
        <v>-13.700000000000045</v>
      </c>
      <c r="I356" s="22">
        <f t="shared" si="14"/>
        <v>523.77800000000002</v>
      </c>
    </row>
    <row r="357" spans="2:9" x14ac:dyDescent="0.2">
      <c r="B357" s="201">
        <f t="shared" si="12"/>
        <v>45788</v>
      </c>
      <c r="C357" s="92">
        <v>718.7</v>
      </c>
      <c r="D357" s="92"/>
      <c r="E357" s="92">
        <v>131.869</v>
      </c>
      <c r="F357" s="92">
        <v>705</v>
      </c>
      <c r="G357" s="22">
        <f t="shared" si="13"/>
        <v>573.13099999999997</v>
      </c>
      <c r="H357" s="22">
        <f>IFERROR(IF(Yearending&gt;B356,'5. Historical demand'!F357-'5. Historical demand'!C357-'5. Historical demand'!D357,""),"")</f>
        <v>-13.700000000000045</v>
      </c>
      <c r="I357" s="22">
        <f t="shared" si="14"/>
        <v>586.83100000000002</v>
      </c>
    </row>
    <row r="358" spans="2:9" x14ac:dyDescent="0.2">
      <c r="B358" s="201">
        <f t="shared" si="12"/>
        <v>45789</v>
      </c>
      <c r="C358" s="92">
        <v>718.7</v>
      </c>
      <c r="D358" s="92"/>
      <c r="E358" s="92">
        <v>77.647999999999996</v>
      </c>
      <c r="F358" s="92">
        <v>705</v>
      </c>
      <c r="G358" s="22">
        <f t="shared" si="13"/>
        <v>627.35199999999998</v>
      </c>
      <c r="H358" s="22">
        <f>IFERROR(IF(Yearending&gt;B357,'5. Historical demand'!F358-'5. Historical demand'!C358-'5. Historical demand'!D358,""),"")</f>
        <v>-13.700000000000045</v>
      </c>
      <c r="I358" s="22">
        <f t="shared" si="14"/>
        <v>641.05200000000002</v>
      </c>
    </row>
    <row r="359" spans="2:9" x14ac:dyDescent="0.2">
      <c r="B359" s="201">
        <f t="shared" si="12"/>
        <v>45790</v>
      </c>
      <c r="C359" s="92">
        <v>718.7</v>
      </c>
      <c r="D359" s="92"/>
      <c r="E359" s="92">
        <v>260.01800000000003</v>
      </c>
      <c r="F359" s="92">
        <v>705</v>
      </c>
      <c r="G359" s="22">
        <f t="shared" si="13"/>
        <v>444.98199999999997</v>
      </c>
      <c r="H359" s="22">
        <f>IFERROR(IF(Yearending&gt;B358,'5. Historical demand'!F359-'5. Historical demand'!C359-'5. Historical demand'!D359,""),"")</f>
        <v>-13.700000000000045</v>
      </c>
      <c r="I359" s="22">
        <f t="shared" si="14"/>
        <v>458.68200000000002</v>
      </c>
    </row>
    <row r="360" spans="2:9" x14ac:dyDescent="0.2">
      <c r="B360" s="201">
        <f t="shared" si="12"/>
        <v>45791</v>
      </c>
      <c r="C360" s="92">
        <v>718.7</v>
      </c>
      <c r="D360" s="92"/>
      <c r="E360" s="92">
        <v>242.821</v>
      </c>
      <c r="F360" s="92">
        <v>705</v>
      </c>
      <c r="G360" s="22">
        <f t="shared" si="13"/>
        <v>462.17899999999997</v>
      </c>
      <c r="H360" s="22">
        <f>IFERROR(IF(Yearending&gt;B359,'5. Historical demand'!F360-'5. Historical demand'!C360-'5. Historical demand'!D360,""),"")</f>
        <v>-13.700000000000045</v>
      </c>
      <c r="I360" s="22">
        <f t="shared" si="14"/>
        <v>475.87900000000002</v>
      </c>
    </row>
    <row r="361" spans="2:9" x14ac:dyDescent="0.2">
      <c r="B361" s="201">
        <f t="shared" si="12"/>
        <v>45792</v>
      </c>
      <c r="C361" s="92">
        <v>718.7</v>
      </c>
      <c r="D361" s="92"/>
      <c r="E361" s="92">
        <v>202.86799999999999</v>
      </c>
      <c r="F361" s="92">
        <v>705</v>
      </c>
      <c r="G361" s="22">
        <f t="shared" si="13"/>
        <v>502.13200000000001</v>
      </c>
      <c r="H361" s="22">
        <f>IFERROR(IF(Yearending&gt;B360,'5. Historical demand'!F361-'5. Historical demand'!C361-'5. Historical demand'!D361,""),"")</f>
        <v>-13.700000000000045</v>
      </c>
      <c r="I361" s="22">
        <f t="shared" si="14"/>
        <v>515.83200000000011</v>
      </c>
    </row>
    <row r="362" spans="2:9" x14ac:dyDescent="0.2">
      <c r="B362" s="201">
        <f t="shared" si="12"/>
        <v>45793</v>
      </c>
      <c r="C362" s="92">
        <v>718.7</v>
      </c>
      <c r="D362" s="92"/>
      <c r="E362" s="92">
        <v>265.7</v>
      </c>
      <c r="F362" s="92">
        <v>705</v>
      </c>
      <c r="G362" s="22">
        <f t="shared" si="13"/>
        <v>439.3</v>
      </c>
      <c r="H362" s="22">
        <f>IFERROR(IF(Yearending&gt;B361,'5. Historical demand'!F362-'5. Historical demand'!C362-'5. Historical demand'!D362,""),"")</f>
        <v>-13.700000000000045</v>
      </c>
      <c r="I362" s="22">
        <f t="shared" si="14"/>
        <v>453.00000000000006</v>
      </c>
    </row>
    <row r="363" spans="2:9" x14ac:dyDescent="0.2">
      <c r="B363" s="201">
        <f t="shared" si="12"/>
        <v>45794</v>
      </c>
      <c r="C363" s="92">
        <v>718.7</v>
      </c>
      <c r="D363" s="92"/>
      <c r="E363" s="92">
        <v>244.93799999999999</v>
      </c>
      <c r="F363" s="92">
        <v>705</v>
      </c>
      <c r="G363" s="22">
        <f t="shared" si="13"/>
        <v>460.06200000000001</v>
      </c>
      <c r="H363" s="22">
        <f>IFERROR(IF(Yearending&gt;B362,'5. Historical demand'!F363-'5. Historical demand'!C363-'5. Historical demand'!D363,""),"")</f>
        <v>-13.700000000000045</v>
      </c>
      <c r="I363" s="22">
        <f t="shared" si="14"/>
        <v>473.76200000000006</v>
      </c>
    </row>
    <row r="364" spans="2:9" x14ac:dyDescent="0.2">
      <c r="B364" s="201">
        <f t="shared" ref="B364:B408" si="15">IFERROR(IF(Yearending&gt;B363, B363+1, ""),"")</f>
        <v>45795</v>
      </c>
      <c r="C364" s="92">
        <v>718.7</v>
      </c>
      <c r="D364" s="92"/>
      <c r="E364" s="92">
        <v>319.61399999999998</v>
      </c>
      <c r="F364" s="92">
        <v>705</v>
      </c>
      <c r="G364" s="22">
        <f t="shared" ref="G364:G408" si="16">IFERROR(IF(Yearending&gt;B363,F364-E364,""),"")</f>
        <v>385.38600000000002</v>
      </c>
      <c r="H364" s="22">
        <f>IFERROR(IF(Yearending&gt;B363,'5. Historical demand'!F364-'5. Historical demand'!C364-'5. Historical demand'!D364,""),"")</f>
        <v>-13.700000000000045</v>
      </c>
      <c r="I364" s="22">
        <f t="shared" ref="I364:I408" si="17">IFERROR(IF(Yearending&gt;B363,C364+D364-E364,""),"")</f>
        <v>399.08600000000007</v>
      </c>
    </row>
    <row r="365" spans="2:9" x14ac:dyDescent="0.2">
      <c r="B365" s="201">
        <f t="shared" si="15"/>
        <v>45796</v>
      </c>
      <c r="C365" s="92">
        <v>718.7</v>
      </c>
      <c r="D365" s="92"/>
      <c r="E365" s="92">
        <v>275.75799999999998</v>
      </c>
      <c r="F365" s="92">
        <v>705</v>
      </c>
      <c r="G365" s="22">
        <f t="shared" si="16"/>
        <v>429.24200000000002</v>
      </c>
      <c r="H365" s="22">
        <f>IFERROR(IF(Yearending&gt;B364,'5. Historical demand'!F365-'5. Historical demand'!C365-'5. Historical demand'!D365,""),"")</f>
        <v>-13.700000000000045</v>
      </c>
      <c r="I365" s="22">
        <f t="shared" si="17"/>
        <v>442.94200000000006</v>
      </c>
    </row>
    <row r="366" spans="2:9" x14ac:dyDescent="0.2">
      <c r="B366" s="201">
        <f t="shared" si="15"/>
        <v>45797</v>
      </c>
      <c r="C366" s="92">
        <v>718.7</v>
      </c>
      <c r="D366" s="92"/>
      <c r="E366" s="92">
        <v>319.88799999999998</v>
      </c>
      <c r="F366" s="92">
        <v>705</v>
      </c>
      <c r="G366" s="22">
        <f t="shared" si="16"/>
        <v>385.11200000000002</v>
      </c>
      <c r="H366" s="22">
        <f>IFERROR(IF(Yearending&gt;B365,'5. Historical demand'!F366-'5. Historical demand'!C366-'5. Historical demand'!D366,""),"")</f>
        <v>-13.700000000000045</v>
      </c>
      <c r="I366" s="22">
        <f t="shared" si="17"/>
        <v>398.81200000000007</v>
      </c>
    </row>
    <row r="367" spans="2:9" x14ac:dyDescent="0.2">
      <c r="B367" s="201">
        <f t="shared" si="15"/>
        <v>45798</v>
      </c>
      <c r="C367" s="92">
        <v>718.7</v>
      </c>
      <c r="D367" s="92"/>
      <c r="E367" s="92">
        <v>319.99700000000001</v>
      </c>
      <c r="F367" s="92">
        <v>705</v>
      </c>
      <c r="G367" s="22">
        <f t="shared" si="16"/>
        <v>385.00299999999999</v>
      </c>
      <c r="H367" s="22">
        <f>IFERROR(IF(Yearending&gt;B366,'5. Historical demand'!F367-'5. Historical demand'!C367-'5. Historical demand'!D367,""),"")</f>
        <v>-13.700000000000045</v>
      </c>
      <c r="I367" s="22">
        <f t="shared" si="17"/>
        <v>398.70300000000003</v>
      </c>
    </row>
    <row r="368" spans="2:9" x14ac:dyDescent="0.2">
      <c r="B368" s="201">
        <f t="shared" si="15"/>
        <v>45799</v>
      </c>
      <c r="C368" s="92">
        <v>718.7</v>
      </c>
      <c r="D368" s="92"/>
      <c r="E368" s="92">
        <v>210</v>
      </c>
      <c r="F368" s="92">
        <v>705</v>
      </c>
      <c r="G368" s="22">
        <f t="shared" si="16"/>
        <v>495</v>
      </c>
      <c r="H368" s="22">
        <f>IFERROR(IF(Yearending&gt;B367,'5. Historical demand'!F368-'5. Historical demand'!C368-'5. Historical demand'!D368,""),"")</f>
        <v>-13.700000000000045</v>
      </c>
      <c r="I368" s="22">
        <f t="shared" si="17"/>
        <v>508.70000000000005</v>
      </c>
    </row>
    <row r="369" spans="2:9" x14ac:dyDescent="0.2">
      <c r="B369" s="201">
        <f t="shared" si="15"/>
        <v>45800</v>
      </c>
      <c r="C369" s="92">
        <v>718.7</v>
      </c>
      <c r="D369" s="92"/>
      <c r="E369" s="92">
        <v>237.98</v>
      </c>
      <c r="F369" s="92">
        <v>705</v>
      </c>
      <c r="G369" s="22">
        <f t="shared" si="16"/>
        <v>467.02</v>
      </c>
      <c r="H369" s="22">
        <f>IFERROR(IF(Yearending&gt;B368,'5. Historical demand'!F369-'5. Historical demand'!C369-'5. Historical demand'!D369,""),"")</f>
        <v>-13.700000000000045</v>
      </c>
      <c r="I369" s="22">
        <f t="shared" si="17"/>
        <v>480.72</v>
      </c>
    </row>
    <row r="370" spans="2:9" x14ac:dyDescent="0.2">
      <c r="B370" s="201">
        <f t="shared" si="15"/>
        <v>45801</v>
      </c>
      <c r="C370" s="92">
        <v>718.7</v>
      </c>
      <c r="D370" s="92"/>
      <c r="E370" s="92">
        <v>224</v>
      </c>
      <c r="F370" s="92">
        <v>705</v>
      </c>
      <c r="G370" s="22">
        <f t="shared" si="16"/>
        <v>481</v>
      </c>
      <c r="H370" s="22">
        <f>IFERROR(IF(Yearending&gt;B369,'5. Historical demand'!F370-'5. Historical demand'!C370-'5. Historical demand'!D370,""),"")</f>
        <v>-13.700000000000045</v>
      </c>
      <c r="I370" s="22">
        <f t="shared" si="17"/>
        <v>494.70000000000005</v>
      </c>
    </row>
    <row r="371" spans="2:9" x14ac:dyDescent="0.2">
      <c r="B371" s="201">
        <f t="shared" si="15"/>
        <v>45802</v>
      </c>
      <c r="C371" s="92">
        <v>718.7</v>
      </c>
      <c r="D371" s="92"/>
      <c r="E371" s="92">
        <v>224.001</v>
      </c>
      <c r="F371" s="92">
        <v>705</v>
      </c>
      <c r="G371" s="22">
        <f t="shared" si="16"/>
        <v>480.99900000000002</v>
      </c>
      <c r="H371" s="22">
        <f>IFERROR(IF(Yearending&gt;B370,'5. Historical demand'!F371-'5. Historical demand'!C371-'5. Historical demand'!D371,""),"")</f>
        <v>-13.700000000000045</v>
      </c>
      <c r="I371" s="22">
        <f t="shared" si="17"/>
        <v>494.69900000000007</v>
      </c>
    </row>
    <row r="372" spans="2:9" x14ac:dyDescent="0.2">
      <c r="B372" s="201">
        <f t="shared" si="15"/>
        <v>45803</v>
      </c>
      <c r="C372" s="92">
        <v>718.7</v>
      </c>
      <c r="D372" s="92"/>
      <c r="E372" s="92">
        <v>200.001</v>
      </c>
      <c r="F372" s="92">
        <v>705</v>
      </c>
      <c r="G372" s="22">
        <f t="shared" si="16"/>
        <v>504.99900000000002</v>
      </c>
      <c r="H372" s="22">
        <f>IFERROR(IF(Yearending&gt;B371,'5. Historical demand'!F372-'5. Historical demand'!C372-'5. Historical demand'!D372,""),"")</f>
        <v>-13.700000000000045</v>
      </c>
      <c r="I372" s="22">
        <f t="shared" si="17"/>
        <v>518.69900000000007</v>
      </c>
    </row>
    <row r="373" spans="2:9" x14ac:dyDescent="0.2">
      <c r="B373" s="201">
        <f t="shared" si="15"/>
        <v>45804</v>
      </c>
      <c r="C373" s="92">
        <v>718.7</v>
      </c>
      <c r="D373" s="92"/>
      <c r="E373" s="92">
        <v>282.71699999999998</v>
      </c>
      <c r="F373" s="92">
        <v>705</v>
      </c>
      <c r="G373" s="22">
        <f t="shared" si="16"/>
        <v>422.28300000000002</v>
      </c>
      <c r="H373" s="22">
        <f>IFERROR(IF(Yearending&gt;B372,'5. Historical demand'!F373-'5. Historical demand'!C373-'5. Historical demand'!D373,""),"")</f>
        <v>-13.700000000000045</v>
      </c>
      <c r="I373" s="22">
        <f t="shared" si="17"/>
        <v>435.98300000000006</v>
      </c>
    </row>
    <row r="374" spans="2:9" x14ac:dyDescent="0.2">
      <c r="B374" s="201">
        <f t="shared" si="15"/>
        <v>45805</v>
      </c>
      <c r="C374" s="92">
        <v>718.7</v>
      </c>
      <c r="D374" s="92"/>
      <c r="E374" s="92">
        <v>279.99700000000001</v>
      </c>
      <c r="F374" s="92">
        <v>705</v>
      </c>
      <c r="G374" s="22">
        <f t="shared" si="16"/>
        <v>425.00299999999999</v>
      </c>
      <c r="H374" s="22">
        <f>IFERROR(IF(Yearending&gt;B373,'5. Historical demand'!F374-'5. Historical demand'!C374-'5. Historical demand'!D374,""),"")</f>
        <v>-13.700000000000045</v>
      </c>
      <c r="I374" s="22">
        <f t="shared" si="17"/>
        <v>438.70300000000003</v>
      </c>
    </row>
    <row r="375" spans="2:9" x14ac:dyDescent="0.2">
      <c r="B375" s="201">
        <f t="shared" si="15"/>
        <v>45806</v>
      </c>
      <c r="C375" s="92">
        <v>718.7</v>
      </c>
      <c r="D375" s="92"/>
      <c r="E375" s="92">
        <v>279.99900000000002</v>
      </c>
      <c r="F375" s="92">
        <v>705</v>
      </c>
      <c r="G375" s="22">
        <f t="shared" si="16"/>
        <v>425.00099999999998</v>
      </c>
      <c r="H375" s="22">
        <f>IFERROR(IF(Yearending&gt;B374,'5. Historical demand'!F375-'5. Historical demand'!C375-'5. Historical demand'!D375,""),"")</f>
        <v>-13.700000000000045</v>
      </c>
      <c r="I375" s="22">
        <f t="shared" si="17"/>
        <v>438.70100000000002</v>
      </c>
    </row>
    <row r="376" spans="2:9" x14ac:dyDescent="0.2">
      <c r="B376" s="201">
        <f t="shared" si="15"/>
        <v>45807</v>
      </c>
      <c r="C376" s="92">
        <v>718.7</v>
      </c>
      <c r="D376" s="92"/>
      <c r="E376" s="92">
        <v>324.99799999999999</v>
      </c>
      <c r="F376" s="92">
        <v>705</v>
      </c>
      <c r="G376" s="22">
        <f t="shared" si="16"/>
        <v>380.00200000000001</v>
      </c>
      <c r="H376" s="22">
        <f>IFERROR(IF(Yearending&gt;B375,'5. Historical demand'!F376-'5. Historical demand'!C376-'5. Historical demand'!D376,""),"")</f>
        <v>-13.700000000000045</v>
      </c>
      <c r="I376" s="22">
        <f t="shared" si="17"/>
        <v>393.70200000000006</v>
      </c>
    </row>
    <row r="377" spans="2:9" x14ac:dyDescent="0.2">
      <c r="B377" s="201">
        <f t="shared" si="15"/>
        <v>45808</v>
      </c>
      <c r="C377" s="92">
        <v>718.7</v>
      </c>
      <c r="D377" s="92"/>
      <c r="E377" s="92">
        <v>350.00099999999998</v>
      </c>
      <c r="F377" s="92">
        <v>705</v>
      </c>
      <c r="G377" s="22">
        <f t="shared" si="16"/>
        <v>354.99900000000002</v>
      </c>
      <c r="H377" s="22">
        <f>IFERROR(IF(Yearending&gt;B376,'5. Historical demand'!F377-'5. Historical demand'!C377-'5. Historical demand'!D377,""),"")</f>
        <v>-13.700000000000045</v>
      </c>
      <c r="I377" s="22">
        <f t="shared" si="17"/>
        <v>368.69900000000007</v>
      </c>
    </row>
    <row r="378" spans="2:9" x14ac:dyDescent="0.2">
      <c r="B378" s="201">
        <f t="shared" si="15"/>
        <v>45809</v>
      </c>
      <c r="C378" s="92">
        <v>718.07999999999993</v>
      </c>
      <c r="D378" s="92"/>
      <c r="E378" s="92">
        <v>352.59699999999998</v>
      </c>
      <c r="F378" s="92">
        <v>705</v>
      </c>
      <c r="G378" s="22">
        <f t="shared" si="16"/>
        <v>352.40300000000002</v>
      </c>
      <c r="H378" s="22">
        <f>IFERROR(IF(Yearending&gt;B377,'5. Historical demand'!F378-'5. Historical demand'!C378-'5. Historical demand'!D378,""),"")</f>
        <v>-13.079999999999927</v>
      </c>
      <c r="I378" s="22">
        <f t="shared" si="17"/>
        <v>365.48299999999995</v>
      </c>
    </row>
    <row r="379" spans="2:9" x14ac:dyDescent="0.2">
      <c r="B379" s="201">
        <f t="shared" si="15"/>
        <v>45810</v>
      </c>
      <c r="C379" s="92">
        <v>718.07999999999993</v>
      </c>
      <c r="D379" s="92"/>
      <c r="E379" s="92">
        <v>349.99700000000001</v>
      </c>
      <c r="F379" s="92">
        <v>705</v>
      </c>
      <c r="G379" s="22">
        <f t="shared" si="16"/>
        <v>355.00299999999999</v>
      </c>
      <c r="H379" s="22">
        <f>IFERROR(IF(Yearending&gt;B378,'5. Historical demand'!F379-'5. Historical demand'!C379-'5. Historical demand'!D379,""),"")</f>
        <v>-13.079999999999927</v>
      </c>
      <c r="I379" s="22">
        <f t="shared" si="17"/>
        <v>368.08299999999991</v>
      </c>
    </row>
    <row r="380" spans="2:9" x14ac:dyDescent="0.2">
      <c r="B380" s="201">
        <f t="shared" si="15"/>
        <v>45811</v>
      </c>
      <c r="C380" s="92">
        <v>718.07999999999993</v>
      </c>
      <c r="D380" s="92"/>
      <c r="E380" s="92">
        <v>351.5</v>
      </c>
      <c r="F380" s="92">
        <v>705</v>
      </c>
      <c r="G380" s="22">
        <f t="shared" si="16"/>
        <v>353.5</v>
      </c>
      <c r="H380" s="22">
        <f>IFERROR(IF(Yearending&gt;B379,'5. Historical demand'!F380-'5. Historical demand'!C380-'5. Historical demand'!D380,""),"")</f>
        <v>-13.079999999999927</v>
      </c>
      <c r="I380" s="22">
        <f t="shared" si="17"/>
        <v>366.57999999999993</v>
      </c>
    </row>
    <row r="381" spans="2:9" x14ac:dyDescent="0.2">
      <c r="B381" s="201">
        <f t="shared" si="15"/>
        <v>45812</v>
      </c>
      <c r="C381" s="92">
        <v>718.07999999999993</v>
      </c>
      <c r="D381" s="92"/>
      <c r="E381" s="92">
        <v>379.15800000000002</v>
      </c>
      <c r="F381" s="92">
        <v>705</v>
      </c>
      <c r="G381" s="22">
        <f t="shared" si="16"/>
        <v>325.84199999999998</v>
      </c>
      <c r="H381" s="22">
        <f>IFERROR(IF(Yearending&gt;B380,'5. Historical demand'!F381-'5. Historical demand'!C381-'5. Historical demand'!D381,""),"")</f>
        <v>-13.079999999999927</v>
      </c>
      <c r="I381" s="22">
        <f t="shared" si="17"/>
        <v>338.92199999999991</v>
      </c>
    </row>
    <row r="382" spans="2:9" x14ac:dyDescent="0.2">
      <c r="B382" s="201">
        <f t="shared" si="15"/>
        <v>45813</v>
      </c>
      <c r="C382" s="92">
        <v>718.07999999999993</v>
      </c>
      <c r="D382" s="92"/>
      <c r="E382" s="92">
        <v>376.34300000000002</v>
      </c>
      <c r="F382" s="92">
        <v>705</v>
      </c>
      <c r="G382" s="22">
        <f t="shared" si="16"/>
        <v>328.65699999999998</v>
      </c>
      <c r="H382" s="22">
        <f>IFERROR(IF(Yearending&gt;B381,'5. Historical demand'!F382-'5. Historical demand'!C382-'5. Historical demand'!D382,""),"")</f>
        <v>-13.079999999999927</v>
      </c>
      <c r="I382" s="22">
        <f t="shared" si="17"/>
        <v>341.73699999999991</v>
      </c>
    </row>
    <row r="383" spans="2:9" x14ac:dyDescent="0.2">
      <c r="B383" s="201">
        <f t="shared" si="15"/>
        <v>45814</v>
      </c>
      <c r="C383" s="92">
        <v>718.07999999999993</v>
      </c>
      <c r="D383" s="92"/>
      <c r="E383" s="92">
        <v>392.34300000000002</v>
      </c>
      <c r="F383" s="92">
        <v>705</v>
      </c>
      <c r="G383" s="22">
        <f t="shared" si="16"/>
        <v>312.65699999999998</v>
      </c>
      <c r="H383" s="22">
        <f>IFERROR(IF(Yearending&gt;B382,'5. Historical demand'!F383-'5. Historical demand'!C383-'5. Historical demand'!D383,""),"")</f>
        <v>-13.079999999999927</v>
      </c>
      <c r="I383" s="22">
        <f t="shared" si="17"/>
        <v>325.73699999999991</v>
      </c>
    </row>
    <row r="384" spans="2:9" x14ac:dyDescent="0.2">
      <c r="B384" s="201">
        <f t="shared" si="15"/>
        <v>45815</v>
      </c>
      <c r="C384" s="92">
        <v>718.07999999999993</v>
      </c>
      <c r="D384" s="92"/>
      <c r="E384" s="92">
        <v>404.92200000000003</v>
      </c>
      <c r="F384" s="92">
        <v>705</v>
      </c>
      <c r="G384" s="22">
        <f t="shared" si="16"/>
        <v>300.07799999999997</v>
      </c>
      <c r="H384" s="22">
        <f>IFERROR(IF(Yearending&gt;B383,'5. Historical demand'!F384-'5. Historical demand'!C384-'5. Historical demand'!D384,""),"")</f>
        <v>-13.079999999999927</v>
      </c>
      <c r="I384" s="22">
        <f t="shared" si="17"/>
        <v>313.1579999999999</v>
      </c>
    </row>
    <row r="385" spans="2:9" x14ac:dyDescent="0.2">
      <c r="B385" s="201">
        <f t="shared" si="15"/>
        <v>45816</v>
      </c>
      <c r="C385" s="92">
        <v>718.07999999999993</v>
      </c>
      <c r="D385" s="92"/>
      <c r="E385" s="92">
        <v>450.36599999999999</v>
      </c>
      <c r="F385" s="92">
        <v>705</v>
      </c>
      <c r="G385" s="22">
        <f t="shared" si="16"/>
        <v>254.63400000000001</v>
      </c>
      <c r="H385" s="22">
        <f>IFERROR(IF(Yearending&gt;B384,'5. Historical demand'!F385-'5. Historical demand'!C385-'5. Historical demand'!D385,""),"")</f>
        <v>-13.079999999999927</v>
      </c>
      <c r="I385" s="22">
        <f t="shared" si="17"/>
        <v>267.71399999999994</v>
      </c>
    </row>
    <row r="386" spans="2:9" x14ac:dyDescent="0.2">
      <c r="B386" s="201">
        <f t="shared" si="15"/>
        <v>45817</v>
      </c>
      <c r="C386" s="92">
        <v>718.07999999999993</v>
      </c>
      <c r="D386" s="92"/>
      <c r="E386" s="92">
        <v>451.00099999999998</v>
      </c>
      <c r="F386" s="92">
        <v>705</v>
      </c>
      <c r="G386" s="22">
        <f t="shared" si="16"/>
        <v>253.99900000000002</v>
      </c>
      <c r="H386" s="22">
        <f>IFERROR(IF(Yearending&gt;B385,'5. Historical demand'!F386-'5. Historical demand'!C386-'5. Historical demand'!D386,""),"")</f>
        <v>-13.079999999999927</v>
      </c>
      <c r="I386" s="22">
        <f t="shared" si="17"/>
        <v>267.07899999999995</v>
      </c>
    </row>
    <row r="387" spans="2:9" x14ac:dyDescent="0.2">
      <c r="B387" s="201">
        <f t="shared" si="15"/>
        <v>45818</v>
      </c>
      <c r="C387" s="92">
        <v>718.07999999999993</v>
      </c>
      <c r="D387" s="92"/>
      <c r="E387" s="92">
        <v>392.49700000000001</v>
      </c>
      <c r="F387" s="92">
        <v>705</v>
      </c>
      <c r="G387" s="22">
        <f t="shared" si="16"/>
        <v>312.50299999999999</v>
      </c>
      <c r="H387" s="22">
        <f>IFERROR(IF(Yearending&gt;B386,'5. Historical demand'!F387-'5. Historical demand'!C387-'5. Historical demand'!D387,""),"")</f>
        <v>-13.079999999999927</v>
      </c>
      <c r="I387" s="22">
        <f t="shared" si="17"/>
        <v>325.58299999999991</v>
      </c>
    </row>
    <row r="388" spans="2:9" x14ac:dyDescent="0.2">
      <c r="B388" s="201">
        <f t="shared" si="15"/>
        <v>45819</v>
      </c>
      <c r="C388" s="92">
        <v>718.07999999999993</v>
      </c>
      <c r="D388" s="92"/>
      <c r="E388" s="92">
        <v>406.786</v>
      </c>
      <c r="F388" s="92">
        <v>705</v>
      </c>
      <c r="G388" s="22">
        <f t="shared" si="16"/>
        <v>298.214</v>
      </c>
      <c r="H388" s="22">
        <f>IFERROR(IF(Yearending&gt;B387,'5. Historical demand'!F388-'5. Historical demand'!C388-'5. Historical demand'!D388,""),"")</f>
        <v>-13.079999999999927</v>
      </c>
      <c r="I388" s="22">
        <f t="shared" si="17"/>
        <v>311.29399999999993</v>
      </c>
    </row>
    <row r="389" spans="2:9" x14ac:dyDescent="0.2">
      <c r="B389" s="201">
        <f t="shared" si="15"/>
        <v>45820</v>
      </c>
      <c r="C389" s="92">
        <v>718.07999999999993</v>
      </c>
      <c r="D389" s="92"/>
      <c r="E389" s="92">
        <v>336.72699999999998</v>
      </c>
      <c r="F389" s="92">
        <v>705</v>
      </c>
      <c r="G389" s="22">
        <f t="shared" si="16"/>
        <v>368.27300000000002</v>
      </c>
      <c r="H389" s="22">
        <f>IFERROR(IF(Yearending&gt;B388,'5. Historical demand'!F389-'5. Historical demand'!C389-'5. Historical demand'!D389,""),"")</f>
        <v>-13.079999999999927</v>
      </c>
      <c r="I389" s="22">
        <f t="shared" si="17"/>
        <v>381.35299999999995</v>
      </c>
    </row>
    <row r="390" spans="2:9" x14ac:dyDescent="0.2">
      <c r="B390" s="201">
        <f t="shared" si="15"/>
        <v>45821</v>
      </c>
      <c r="C390" s="92">
        <v>718.07999999999993</v>
      </c>
      <c r="D390" s="92"/>
      <c r="E390" s="92">
        <v>350.00200000000001</v>
      </c>
      <c r="F390" s="92">
        <v>705</v>
      </c>
      <c r="G390" s="22">
        <f t="shared" si="16"/>
        <v>354.99799999999999</v>
      </c>
      <c r="H390" s="22">
        <f>IFERROR(IF(Yearending&gt;B389,'5. Historical demand'!F390-'5. Historical demand'!C390-'5. Historical demand'!D390,""),"")</f>
        <v>-13.079999999999927</v>
      </c>
      <c r="I390" s="22">
        <f t="shared" si="17"/>
        <v>368.07799999999992</v>
      </c>
    </row>
    <row r="391" spans="2:9" x14ac:dyDescent="0.2">
      <c r="B391" s="201">
        <f t="shared" si="15"/>
        <v>45822</v>
      </c>
      <c r="C391" s="92">
        <v>718.07999999999993</v>
      </c>
      <c r="D391" s="92"/>
      <c r="E391" s="92">
        <v>314.99200000000002</v>
      </c>
      <c r="F391" s="92">
        <v>705</v>
      </c>
      <c r="G391" s="22">
        <f t="shared" si="16"/>
        <v>390.00799999999998</v>
      </c>
      <c r="H391" s="22">
        <f>IFERROR(IF(Yearending&gt;B390,'5. Historical demand'!F391-'5. Historical demand'!C391-'5. Historical demand'!D391,""),"")</f>
        <v>-13.079999999999927</v>
      </c>
      <c r="I391" s="22">
        <f t="shared" si="17"/>
        <v>403.08799999999991</v>
      </c>
    </row>
    <row r="392" spans="2:9" x14ac:dyDescent="0.2">
      <c r="B392" s="201">
        <f t="shared" si="15"/>
        <v>45823</v>
      </c>
      <c r="C392" s="92">
        <v>718.07999999999993</v>
      </c>
      <c r="D392" s="92"/>
      <c r="E392" s="92">
        <v>359.06300000000005</v>
      </c>
      <c r="F392" s="92">
        <v>705</v>
      </c>
      <c r="G392" s="22">
        <f t="shared" si="16"/>
        <v>345.93699999999995</v>
      </c>
      <c r="H392" s="22">
        <f>IFERROR(IF(Yearending&gt;B391,'5. Historical demand'!F392-'5. Historical demand'!C392-'5. Historical demand'!D392,""),"")</f>
        <v>-13.079999999999927</v>
      </c>
      <c r="I392" s="22">
        <f t="shared" si="17"/>
        <v>359.01699999999988</v>
      </c>
    </row>
    <row r="393" spans="2:9" x14ac:dyDescent="0.2">
      <c r="B393" s="201">
        <f t="shared" si="15"/>
        <v>45824</v>
      </c>
      <c r="C393" s="92">
        <v>718.07999999999993</v>
      </c>
      <c r="D393" s="92"/>
      <c r="E393" s="92">
        <v>327.351</v>
      </c>
      <c r="F393" s="92">
        <v>705</v>
      </c>
      <c r="G393" s="22">
        <f t="shared" si="16"/>
        <v>377.649</v>
      </c>
      <c r="H393" s="22">
        <f>IFERROR(IF(Yearending&gt;B392,'5. Historical demand'!F393-'5. Historical demand'!C393-'5. Historical demand'!D393,""),"")</f>
        <v>-13.079999999999927</v>
      </c>
      <c r="I393" s="22">
        <f t="shared" si="17"/>
        <v>390.72899999999993</v>
      </c>
    </row>
    <row r="394" spans="2:9" x14ac:dyDescent="0.2">
      <c r="B394" s="201">
        <f t="shared" si="15"/>
        <v>45825</v>
      </c>
      <c r="C394" s="92">
        <v>718.07999999999993</v>
      </c>
      <c r="D394" s="92"/>
      <c r="E394" s="92">
        <v>233.018</v>
      </c>
      <c r="F394" s="92">
        <v>705</v>
      </c>
      <c r="G394" s="22">
        <f t="shared" si="16"/>
        <v>471.98199999999997</v>
      </c>
      <c r="H394" s="22">
        <f>IFERROR(IF(Yearending&gt;B393,'5. Historical demand'!F394-'5. Historical demand'!C394-'5. Historical demand'!D394,""),"")</f>
        <v>-13.079999999999927</v>
      </c>
      <c r="I394" s="22">
        <f t="shared" si="17"/>
        <v>485.0619999999999</v>
      </c>
    </row>
    <row r="395" spans="2:9" x14ac:dyDescent="0.2">
      <c r="B395" s="201">
        <f t="shared" si="15"/>
        <v>45826</v>
      </c>
      <c r="C395" s="92">
        <v>718.07999999999993</v>
      </c>
      <c r="D395" s="92"/>
      <c r="E395" s="92">
        <v>355.42600000000004</v>
      </c>
      <c r="F395" s="92">
        <v>705</v>
      </c>
      <c r="G395" s="22">
        <f t="shared" si="16"/>
        <v>349.57399999999996</v>
      </c>
      <c r="H395" s="22">
        <f>IFERROR(IF(Yearending&gt;B394,'5. Historical demand'!F395-'5. Historical demand'!C395-'5. Historical demand'!D395,""),"")</f>
        <v>-13.079999999999927</v>
      </c>
      <c r="I395" s="22">
        <f t="shared" si="17"/>
        <v>362.65399999999988</v>
      </c>
    </row>
    <row r="396" spans="2:9" x14ac:dyDescent="0.2">
      <c r="B396" s="201">
        <f t="shared" si="15"/>
        <v>45827</v>
      </c>
      <c r="C396" s="92">
        <v>718.07999999999993</v>
      </c>
      <c r="D396" s="92"/>
      <c r="E396" s="92">
        <v>344.565</v>
      </c>
      <c r="F396" s="92">
        <v>705</v>
      </c>
      <c r="G396" s="22">
        <f t="shared" si="16"/>
        <v>360.435</v>
      </c>
      <c r="H396" s="22">
        <f>IFERROR(IF(Yearending&gt;B395,'5. Historical demand'!F396-'5. Historical demand'!C396-'5. Historical demand'!D396,""),"")</f>
        <v>-13.079999999999927</v>
      </c>
      <c r="I396" s="22">
        <f t="shared" si="17"/>
        <v>373.51499999999993</v>
      </c>
    </row>
    <row r="397" spans="2:9" x14ac:dyDescent="0.2">
      <c r="B397" s="201">
        <f t="shared" si="15"/>
        <v>45828</v>
      </c>
      <c r="C397" s="92">
        <v>718.07999999999993</v>
      </c>
      <c r="D397" s="92"/>
      <c r="E397" s="92">
        <v>275.38200000000001</v>
      </c>
      <c r="F397" s="92">
        <v>705</v>
      </c>
      <c r="G397" s="22">
        <f t="shared" si="16"/>
        <v>429.61799999999999</v>
      </c>
      <c r="H397" s="22">
        <f>IFERROR(IF(Yearending&gt;B396,'5. Historical demand'!F397-'5. Historical demand'!C397-'5. Historical demand'!D397,""),"")</f>
        <v>-13.079999999999927</v>
      </c>
      <c r="I397" s="22">
        <f t="shared" si="17"/>
        <v>442.69799999999992</v>
      </c>
    </row>
    <row r="398" spans="2:9" x14ac:dyDescent="0.2">
      <c r="B398" s="201">
        <f t="shared" si="15"/>
        <v>45829</v>
      </c>
      <c r="C398" s="92">
        <v>718.07999999999993</v>
      </c>
      <c r="D398" s="92"/>
      <c r="E398" s="92">
        <v>326.82400000000001</v>
      </c>
      <c r="F398" s="92">
        <v>705</v>
      </c>
      <c r="G398" s="22">
        <f t="shared" si="16"/>
        <v>378.17599999999999</v>
      </c>
      <c r="H398" s="22">
        <f>IFERROR(IF(Yearending&gt;B397,'5. Historical demand'!F398-'5. Historical demand'!C398-'5. Historical demand'!D398,""),"")</f>
        <v>-13.079999999999927</v>
      </c>
      <c r="I398" s="22">
        <f t="shared" si="17"/>
        <v>391.25599999999991</v>
      </c>
    </row>
    <row r="399" spans="2:9" x14ac:dyDescent="0.2">
      <c r="B399" s="201">
        <f t="shared" si="15"/>
        <v>45830</v>
      </c>
      <c r="C399" s="92">
        <v>718.07999999999993</v>
      </c>
      <c r="D399" s="92"/>
      <c r="E399" s="92">
        <v>352.4</v>
      </c>
      <c r="F399" s="92">
        <v>705</v>
      </c>
      <c r="G399" s="22">
        <f t="shared" si="16"/>
        <v>352.6</v>
      </c>
      <c r="H399" s="22">
        <f>IFERROR(IF(Yearending&gt;B398,'5. Historical demand'!F399-'5. Historical demand'!C399-'5. Historical demand'!D399,""),"")</f>
        <v>-13.079999999999927</v>
      </c>
      <c r="I399" s="22">
        <f t="shared" si="17"/>
        <v>365.67999999999995</v>
      </c>
    </row>
    <row r="400" spans="2:9" x14ac:dyDescent="0.2">
      <c r="B400" s="201">
        <f t="shared" si="15"/>
        <v>45831</v>
      </c>
      <c r="C400" s="92">
        <v>718.07999999999993</v>
      </c>
      <c r="D400" s="92"/>
      <c r="E400" s="92">
        <v>315.39499999999998</v>
      </c>
      <c r="F400" s="92">
        <v>705</v>
      </c>
      <c r="G400" s="22">
        <f t="shared" si="16"/>
        <v>389.60500000000002</v>
      </c>
      <c r="H400" s="22">
        <f>IFERROR(IF(Yearending&gt;B399,'5. Historical demand'!F400-'5. Historical demand'!C400-'5. Historical demand'!D400,""),"")</f>
        <v>-13.079999999999927</v>
      </c>
      <c r="I400" s="22">
        <f t="shared" si="17"/>
        <v>402.68499999999995</v>
      </c>
    </row>
    <row r="401" spans="2:9" x14ac:dyDescent="0.2">
      <c r="B401" s="201">
        <f t="shared" si="15"/>
        <v>45832</v>
      </c>
      <c r="C401" s="92">
        <v>718.07999999999993</v>
      </c>
      <c r="D401" s="92"/>
      <c r="E401" s="92">
        <v>249.99799999999999</v>
      </c>
      <c r="F401" s="92">
        <v>705</v>
      </c>
      <c r="G401" s="22">
        <f t="shared" si="16"/>
        <v>455.00200000000001</v>
      </c>
      <c r="H401" s="22">
        <f>IFERROR(IF(Yearending&gt;B400,'5. Historical demand'!F401-'5. Historical demand'!C401-'5. Historical demand'!D401,""),"")</f>
        <v>-13.079999999999927</v>
      </c>
      <c r="I401" s="22">
        <f t="shared" si="17"/>
        <v>468.08199999999994</v>
      </c>
    </row>
    <row r="402" spans="2:9" x14ac:dyDescent="0.2">
      <c r="B402" s="201">
        <f t="shared" si="15"/>
        <v>45833</v>
      </c>
      <c r="C402" s="92">
        <v>718.07999999999993</v>
      </c>
      <c r="D402" s="92"/>
      <c r="E402" s="92">
        <v>284.99799999999999</v>
      </c>
      <c r="F402" s="92">
        <v>705</v>
      </c>
      <c r="G402" s="22">
        <f t="shared" si="16"/>
        <v>420.00200000000001</v>
      </c>
      <c r="H402" s="22">
        <f>IFERROR(IF(Yearending&gt;B401,'5. Historical demand'!F402-'5. Historical demand'!C402-'5. Historical demand'!D402,""),"")</f>
        <v>-13.079999999999927</v>
      </c>
      <c r="I402" s="22">
        <f t="shared" si="17"/>
        <v>433.08199999999994</v>
      </c>
    </row>
    <row r="403" spans="2:9" x14ac:dyDescent="0.2">
      <c r="B403" s="201">
        <f t="shared" si="15"/>
        <v>45834</v>
      </c>
      <c r="C403" s="92">
        <v>718.07999999999993</v>
      </c>
      <c r="D403" s="92"/>
      <c r="E403" s="92">
        <v>367.7</v>
      </c>
      <c r="F403" s="92">
        <v>705</v>
      </c>
      <c r="G403" s="22">
        <f t="shared" si="16"/>
        <v>337.3</v>
      </c>
      <c r="H403" s="22">
        <f>IFERROR(IF(Yearending&gt;B402,'5. Historical demand'!F403-'5. Historical demand'!C403-'5. Historical demand'!D403,""),"")</f>
        <v>-13.079999999999927</v>
      </c>
      <c r="I403" s="22">
        <f t="shared" si="17"/>
        <v>350.37999999999994</v>
      </c>
    </row>
    <row r="404" spans="2:9" x14ac:dyDescent="0.2">
      <c r="B404" s="201">
        <f t="shared" si="15"/>
        <v>45835</v>
      </c>
      <c r="C404" s="92">
        <v>718.07999999999993</v>
      </c>
      <c r="D404" s="92"/>
      <c r="E404" s="92">
        <v>407.077</v>
      </c>
      <c r="F404" s="92">
        <v>705</v>
      </c>
      <c r="G404" s="22">
        <f t="shared" si="16"/>
        <v>297.923</v>
      </c>
      <c r="H404" s="22">
        <f>IFERROR(IF(Yearending&gt;B403,'5. Historical demand'!F404-'5. Historical demand'!C404-'5. Historical demand'!D404,""),"")</f>
        <v>-13.079999999999927</v>
      </c>
      <c r="I404" s="22">
        <f t="shared" si="17"/>
        <v>311.00299999999993</v>
      </c>
    </row>
    <row r="405" spans="2:9" x14ac:dyDescent="0.2">
      <c r="B405" s="201">
        <f t="shared" si="15"/>
        <v>45836</v>
      </c>
      <c r="C405" s="92">
        <v>718.07999999999993</v>
      </c>
      <c r="D405" s="92"/>
      <c r="E405" s="92">
        <v>283.58500000000004</v>
      </c>
      <c r="F405" s="92">
        <v>705</v>
      </c>
      <c r="G405" s="22">
        <f t="shared" si="16"/>
        <v>421.41499999999996</v>
      </c>
      <c r="H405" s="22">
        <f>IFERROR(IF(Yearending&gt;B404,'5. Historical demand'!F405-'5. Historical demand'!C405-'5. Historical demand'!D405,""),"")</f>
        <v>-13.079999999999927</v>
      </c>
      <c r="I405" s="22">
        <f t="shared" si="17"/>
        <v>434.49499999999989</v>
      </c>
    </row>
    <row r="406" spans="2:9" x14ac:dyDescent="0.2">
      <c r="B406" s="201">
        <f t="shared" si="15"/>
        <v>45837</v>
      </c>
      <c r="C406" s="92">
        <v>718.07999999999993</v>
      </c>
      <c r="D406" s="92"/>
      <c r="E406" s="92">
        <v>383.94500000000005</v>
      </c>
      <c r="F406" s="92">
        <v>705</v>
      </c>
      <c r="G406" s="22">
        <f t="shared" si="16"/>
        <v>321.05499999999995</v>
      </c>
      <c r="H406" s="22">
        <f>IFERROR(IF(Yearending&gt;B405,'5. Historical demand'!F406-'5. Historical demand'!C406-'5. Historical demand'!D406,""),"")</f>
        <v>-13.079999999999927</v>
      </c>
      <c r="I406" s="22">
        <f t="shared" si="17"/>
        <v>334.13499999999988</v>
      </c>
    </row>
    <row r="407" spans="2:9" x14ac:dyDescent="0.2">
      <c r="B407" s="201">
        <f t="shared" si="15"/>
        <v>45838</v>
      </c>
      <c r="C407" s="92">
        <v>718.07999999999993</v>
      </c>
      <c r="D407" s="92"/>
      <c r="E407" s="92">
        <v>347.19200000000001</v>
      </c>
      <c r="F407" s="92">
        <v>705</v>
      </c>
      <c r="G407" s="22">
        <f t="shared" si="16"/>
        <v>357.80799999999999</v>
      </c>
      <c r="H407" s="22">
        <f>IFERROR(IF(Yearending&gt;B406,'5. Historical demand'!F407-'5. Historical demand'!C407-'5. Historical demand'!D407,""),"")</f>
        <v>-13.079999999999927</v>
      </c>
      <c r="I407" s="22">
        <f t="shared" si="17"/>
        <v>370.88799999999992</v>
      </c>
    </row>
    <row r="408" spans="2:9" x14ac:dyDescent="0.2">
      <c r="B408" s="201"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D334-89D3-43B2-96B1-379D937993A5}">
  <sheetPr>
    <tabColor theme="5" tint="0.79998168889431442"/>
  </sheetPr>
  <dimension ref="A1:F24"/>
  <sheetViews>
    <sheetView workbookViewId="0"/>
  </sheetViews>
  <sheetFormatPr defaultColWidth="9.28515625" defaultRowHeight="12.75" x14ac:dyDescent="0.2"/>
  <cols>
    <col min="1" max="16384" width="9.28515625" style="316"/>
  </cols>
  <sheetData>
    <row r="1" spans="1:6" x14ac:dyDescent="0.2">
      <c r="A1" s="322" t="s">
        <v>776</v>
      </c>
    </row>
    <row r="11" spans="1:6" x14ac:dyDescent="0.2">
      <c r="E11" s="321"/>
    </row>
    <row r="12" spans="1:6" x14ac:dyDescent="0.2">
      <c r="E12" s="321"/>
    </row>
    <row r="13" spans="1:6" x14ac:dyDescent="0.2">
      <c r="E13" s="321"/>
    </row>
    <row r="14" spans="1:6" x14ac:dyDescent="0.2">
      <c r="E14" s="321"/>
      <c r="F14" s="321"/>
    </row>
    <row r="15" spans="1:6" x14ac:dyDescent="0.2">
      <c r="E15" s="321"/>
      <c r="F15" s="321"/>
    </row>
    <row r="16" spans="1:6" x14ac:dyDescent="0.2">
      <c r="F16" s="321"/>
    </row>
    <row r="17" spans="5:6" x14ac:dyDescent="0.2">
      <c r="F17" s="321"/>
    </row>
    <row r="19" spans="5:6" x14ac:dyDescent="0.2">
      <c r="E19" s="321"/>
      <c r="F19" s="321"/>
    </row>
    <row r="21" spans="5:6" x14ac:dyDescent="0.2">
      <c r="E21" s="321"/>
    </row>
    <row r="23" spans="5:6" x14ac:dyDescent="0.2">
      <c r="E23" s="321"/>
      <c r="F23" s="321"/>
    </row>
    <row r="24" spans="5:6" x14ac:dyDescent="0.2">
      <c r="F24" s="321"/>
    </row>
  </sheetData>
  <pageMargins left="0.7" right="0.7" top="0.75" bottom="0.75" header="0.3" footer="0.3"/>
  <headerFooter>
    <oddFooter>&amp;C_x000D_&amp;1#&amp;"Aptos"&amp;10&amp;K008000 APA-INTERNAL</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6A3C-788D-486E-A691-CDC2CAC3ABCE}">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28515625" defaultRowHeight="12.75" x14ac:dyDescent="0.2"/>
  <cols>
    <col min="1" max="1" width="11.7109375" style="199" customWidth="1"/>
    <col min="2" max="2" width="57.7109375" style="199" customWidth="1"/>
    <col min="3" max="3" width="44.7109375" style="199" customWidth="1"/>
    <col min="4" max="11" width="39" style="199" customWidth="1"/>
    <col min="12" max="16384" width="9.28515625" style="199"/>
  </cols>
  <sheetData>
    <row r="1" spans="1:4" ht="20.25" x14ac:dyDescent="0.2">
      <c r="A1" s="200"/>
      <c r="B1" s="145" t="s">
        <v>510</v>
      </c>
      <c r="C1" s="145"/>
    </row>
    <row r="2" spans="1:4" ht="20.25" x14ac:dyDescent="0.2">
      <c r="A2" s="200"/>
      <c r="B2" s="145" t="str">
        <f>IF(Tradingname=0," ",Tradingname)</f>
        <v>EAST AUSTRALIAN PIPELINE PTY LIMITED</v>
      </c>
      <c r="C2" s="145"/>
    </row>
    <row r="3" spans="1:4" ht="20.25" x14ac:dyDescent="0.3">
      <c r="B3" s="145" t="s">
        <v>110</v>
      </c>
      <c r="C3" s="110">
        <f>IF(Yearending=0, "0/01/2000", Yearending)</f>
        <v>45838</v>
      </c>
    </row>
    <row r="4" spans="1:4" ht="20.25" x14ac:dyDescent="0.2">
      <c r="B4" s="102" t="s">
        <v>508</v>
      </c>
      <c r="C4" s="102"/>
    </row>
    <row r="5" spans="1:4" x14ac:dyDescent="0.2">
      <c r="B5" s="199" t="s">
        <v>220</v>
      </c>
    </row>
    <row r="6" spans="1:4" ht="15.75" x14ac:dyDescent="0.25">
      <c r="B6" s="198"/>
    </row>
    <row r="7" spans="1:4" ht="12.75" customHeight="1" x14ac:dyDescent="0.2">
      <c r="B7" s="417" t="s">
        <v>660</v>
      </c>
      <c r="C7" s="417"/>
      <c r="D7" s="417"/>
    </row>
    <row r="8" spans="1:4" ht="12.75" customHeight="1" x14ac:dyDescent="0.2">
      <c r="B8" s="417"/>
      <c r="C8" s="417"/>
      <c r="D8" s="417"/>
    </row>
    <row r="9" spans="1:4" ht="12.75" customHeight="1" x14ac:dyDescent="0.2">
      <c r="B9" s="417"/>
      <c r="C9" s="417"/>
      <c r="D9" s="417"/>
    </row>
    <row r="10" spans="1:4" ht="12.75" customHeight="1" x14ac:dyDescent="0.2">
      <c r="B10" s="417"/>
      <c r="C10" s="417"/>
      <c r="D10" s="417"/>
    </row>
    <row r="11" spans="1:4" ht="12.75" customHeight="1" x14ac:dyDescent="0.2">
      <c r="B11" s="417"/>
      <c r="C11" s="417"/>
      <c r="D11" s="417"/>
    </row>
    <row r="12" spans="1:4" ht="12.75" customHeight="1" x14ac:dyDescent="0.2">
      <c r="B12" s="417"/>
      <c r="C12" s="417"/>
      <c r="D12" s="417"/>
    </row>
    <row r="13" spans="1:4" ht="12.75" customHeight="1" x14ac:dyDescent="0.2">
      <c r="B13" s="417"/>
      <c r="C13" s="417"/>
      <c r="D13" s="417"/>
    </row>
    <row r="16" spans="1:4" ht="12.75" customHeight="1" x14ac:dyDescent="0.25">
      <c r="B16" s="198" t="s">
        <v>491</v>
      </c>
    </row>
    <row r="17" spans="2:5" ht="12.75" customHeight="1" x14ac:dyDescent="0.25">
      <c r="B17" s="198"/>
    </row>
    <row r="18" spans="2:5" x14ac:dyDescent="0.2">
      <c r="B18" s="412" t="s">
        <v>483</v>
      </c>
      <c r="C18" s="414"/>
      <c r="D18" s="412" t="s">
        <v>484</v>
      </c>
      <c r="E18" s="414"/>
    </row>
    <row r="19" spans="2:5" x14ac:dyDescent="0.2">
      <c r="B19" s="449" t="s">
        <v>13</v>
      </c>
      <c r="C19" s="229" t="s">
        <v>659</v>
      </c>
      <c r="D19" s="455" t="s">
        <v>13</v>
      </c>
      <c r="E19" s="451" t="s">
        <v>449</v>
      </c>
    </row>
    <row r="20" spans="2:5" x14ac:dyDescent="0.2">
      <c r="B20" s="450"/>
      <c r="C20" s="122" t="s">
        <v>449</v>
      </c>
      <c r="D20" s="456"/>
      <c r="E20" s="452"/>
    </row>
    <row r="21" spans="2:5" x14ac:dyDescent="0.2">
      <c r="B21" s="123" t="s">
        <v>571</v>
      </c>
      <c r="C21" s="208">
        <v>0.77574545308039278</v>
      </c>
      <c r="D21" s="197" t="s">
        <v>432</v>
      </c>
      <c r="E21" s="208">
        <v>5.8299999999999998E-2</v>
      </c>
    </row>
    <row r="22" spans="2:5" x14ac:dyDescent="0.2">
      <c r="B22" s="123" t="s">
        <v>661</v>
      </c>
      <c r="C22" s="208">
        <v>0</v>
      </c>
      <c r="D22" s="197" t="s">
        <v>433</v>
      </c>
      <c r="E22" s="207">
        <v>0.6</v>
      </c>
    </row>
    <row r="23" spans="2:5" x14ac:dyDescent="0.2">
      <c r="B23" s="123" t="s">
        <v>573</v>
      </c>
      <c r="C23" s="208">
        <v>2.8201443280035936E-3</v>
      </c>
      <c r="D23" s="197" t="s">
        <v>434</v>
      </c>
      <c r="E23" s="207">
        <v>0.3</v>
      </c>
    </row>
    <row r="24" spans="2:5" x14ac:dyDescent="0.2">
      <c r="B24" s="123" t="s">
        <v>574</v>
      </c>
      <c r="C24" s="208">
        <v>0.160577443962374</v>
      </c>
      <c r="D24" s="197" t="s">
        <v>435</v>
      </c>
      <c r="E24" s="207">
        <v>0.56999999999999995</v>
      </c>
    </row>
    <row r="25" spans="2:5" x14ac:dyDescent="0.2">
      <c r="B25" s="203" t="s">
        <v>575</v>
      </c>
      <c r="C25" s="208">
        <v>1.1679608992112346E-3</v>
      </c>
      <c r="D25" s="196" t="s">
        <v>455</v>
      </c>
      <c r="E25" s="208">
        <v>6.6600000000000006E-2</v>
      </c>
    </row>
    <row r="26" spans="2:5" x14ac:dyDescent="0.2">
      <c r="B26" s="123" t="s">
        <v>662</v>
      </c>
      <c r="C26" s="208">
        <v>1.9074883526795993E-2</v>
      </c>
      <c r="D26" s="25"/>
      <c r="E26" s="25"/>
    </row>
    <row r="27" spans="2:5" x14ac:dyDescent="0.2">
      <c r="B27" s="123" t="s">
        <v>577</v>
      </c>
      <c r="C27" s="208">
        <v>6.5214924648704731E-3</v>
      </c>
      <c r="D27" s="25"/>
      <c r="E27" s="25"/>
    </row>
    <row r="28" spans="2:5" x14ac:dyDescent="0.2">
      <c r="B28" s="123" t="s">
        <v>578</v>
      </c>
      <c r="C28" s="208">
        <v>6.6730434935030559E-4</v>
      </c>
      <c r="D28" s="25"/>
      <c r="E28" s="25"/>
    </row>
    <row r="29" spans="2:5" x14ac:dyDescent="0.2">
      <c r="B29" s="123" t="s">
        <v>579</v>
      </c>
      <c r="C29" s="208">
        <v>1.2404866866130633E-3</v>
      </c>
      <c r="D29" s="25"/>
      <c r="E29" s="25"/>
    </row>
    <row r="30" spans="2:5" x14ac:dyDescent="0.2">
      <c r="B30" s="123" t="s">
        <v>519</v>
      </c>
      <c r="C30" s="208">
        <v>3.2184830702388575E-2</v>
      </c>
      <c r="D30" s="25"/>
      <c r="E30" s="25"/>
    </row>
    <row r="31" spans="2:5" x14ac:dyDescent="0.2">
      <c r="B31" s="195" t="s">
        <v>18</v>
      </c>
      <c r="C31" s="129">
        <f>SUM(C21:C30)</f>
        <v>0.99999999999999989</v>
      </c>
      <c r="D31" s="25"/>
      <c r="E31" s="25"/>
    </row>
    <row r="34" spans="2:8" ht="15.75" x14ac:dyDescent="0.25">
      <c r="B34" s="198" t="s">
        <v>523</v>
      </c>
      <c r="C34" s="198"/>
    </row>
    <row r="36" spans="2:8" x14ac:dyDescent="0.2">
      <c r="B36" s="194"/>
      <c r="C36" s="194"/>
      <c r="D36" s="194" t="s">
        <v>526</v>
      </c>
      <c r="E36" s="194" t="s">
        <v>527</v>
      </c>
      <c r="F36" s="194" t="s">
        <v>528</v>
      </c>
      <c r="G36" s="194" t="s">
        <v>529</v>
      </c>
      <c r="H36" s="194" t="s">
        <v>525</v>
      </c>
    </row>
    <row r="37" spans="2:8" x14ac:dyDescent="0.2">
      <c r="B37" s="453" t="s">
        <v>571</v>
      </c>
      <c r="C37" s="194" t="s">
        <v>428</v>
      </c>
      <c r="D37" s="193">
        <f>MIN(C64:D64)</f>
        <v>0.21835198173946366</v>
      </c>
      <c r="E37" s="193">
        <f>MIN(E64:G64)</f>
        <v>0</v>
      </c>
      <c r="F37" s="193">
        <f>MIN(H64,J64)+MIN(I64,K64)</f>
        <v>0.60819794808694005</v>
      </c>
      <c r="G37" s="193">
        <f t="shared" ref="G37:G56" si="0">SUM(D37:F37)</f>
        <v>0.82654992982640374</v>
      </c>
      <c r="H37" s="457" t="s">
        <v>530</v>
      </c>
    </row>
    <row r="38" spans="2:8" x14ac:dyDescent="0.2">
      <c r="B38" s="454"/>
      <c r="C38" s="194" t="s">
        <v>429</v>
      </c>
      <c r="D38" s="193">
        <f>MAX(C64:D64)</f>
        <v>0.39201415102155174</v>
      </c>
      <c r="E38" s="193">
        <f>MAX(E64:G64)</f>
        <v>0.43229556542174291</v>
      </c>
      <c r="F38" s="193">
        <f>MAX(H64,J64)+MAX(I64,K64)</f>
        <v>0.60819794808694005</v>
      </c>
      <c r="G38" s="193">
        <f t="shared" si="0"/>
        <v>1.4325076645302346</v>
      </c>
      <c r="H38" s="457"/>
    </row>
    <row r="39" spans="2:8" x14ac:dyDescent="0.2">
      <c r="B39" s="453" t="s">
        <v>661</v>
      </c>
      <c r="C39" s="194" t="s">
        <v>428</v>
      </c>
      <c r="D39" s="193">
        <f>MIN(C65:D65)</f>
        <v>0</v>
      </c>
      <c r="E39" s="193">
        <f>MIN(E65:G65)</f>
        <v>0</v>
      </c>
      <c r="F39" s="193">
        <f>MIN(H65,J65)+MIN(I65,K65)</f>
        <v>0</v>
      </c>
      <c r="G39" s="193">
        <f t="shared" si="0"/>
        <v>0</v>
      </c>
      <c r="H39" s="457" t="s">
        <v>530</v>
      </c>
    </row>
    <row r="40" spans="2:8" x14ac:dyDescent="0.2">
      <c r="B40" s="454"/>
      <c r="C40" s="194" t="s">
        <v>429</v>
      </c>
      <c r="D40" s="193">
        <f>MAX(C65:D65)</f>
        <v>0</v>
      </c>
      <c r="E40" s="193">
        <f>MAX(E65:G65)</f>
        <v>0</v>
      </c>
      <c r="F40" s="193">
        <f>MAX(H65,J65)+MAX(I65,K65)</f>
        <v>0</v>
      </c>
      <c r="G40" s="193">
        <f t="shared" si="0"/>
        <v>0</v>
      </c>
      <c r="H40" s="457"/>
    </row>
    <row r="41" spans="2:8" x14ac:dyDescent="0.2">
      <c r="B41" s="453" t="s">
        <v>573</v>
      </c>
      <c r="C41" s="194" t="s">
        <v>428</v>
      </c>
      <c r="D41" s="193">
        <f>MIN(C66:D66)</f>
        <v>0</v>
      </c>
      <c r="E41" s="193">
        <f>MIN(E66:G66)</f>
        <v>0</v>
      </c>
      <c r="F41" s="193">
        <f>MIN(H66,J66)+MIN(I66,K66)</f>
        <v>0</v>
      </c>
      <c r="G41" s="193">
        <f t="shared" si="0"/>
        <v>0</v>
      </c>
      <c r="H41" s="457" t="s">
        <v>530</v>
      </c>
    </row>
    <row r="42" spans="2:8" x14ac:dyDescent="0.2">
      <c r="B42" s="454"/>
      <c r="C42" s="194" t="s">
        <v>429</v>
      </c>
      <c r="D42" s="193">
        <f>MAX(C66:D66)</f>
        <v>0</v>
      </c>
      <c r="E42" s="193">
        <f>MAX(E66:G66)</f>
        <v>0</v>
      </c>
      <c r="F42" s="193">
        <f>MAX(H66,J66)+MAX(I66,K66)</f>
        <v>0</v>
      </c>
      <c r="G42" s="193">
        <f t="shared" si="0"/>
        <v>0</v>
      </c>
      <c r="H42" s="457"/>
    </row>
    <row r="43" spans="2:8" x14ac:dyDescent="0.2">
      <c r="B43" s="453" t="s">
        <v>574</v>
      </c>
      <c r="C43" s="194" t="s">
        <v>428</v>
      </c>
      <c r="D43" s="193">
        <f>MIN(C67:D67)</f>
        <v>2.8287014807482611E-2</v>
      </c>
      <c r="E43" s="193">
        <f>MIN(E67:G67)</f>
        <v>0</v>
      </c>
      <c r="F43" s="193">
        <f>MIN(H67,J67)+MIN(I67,K67)</f>
        <v>7.8790694851323367E-2</v>
      </c>
      <c r="G43" s="193">
        <f t="shared" si="0"/>
        <v>0.10707770965880598</v>
      </c>
      <c r="H43" s="457" t="s">
        <v>530</v>
      </c>
    </row>
    <row r="44" spans="2:8" x14ac:dyDescent="0.2">
      <c r="B44" s="454"/>
      <c r="C44" s="194" t="s">
        <v>429</v>
      </c>
      <c r="D44" s="193">
        <f>MAX(C67:D67)</f>
        <v>5.0784563558120506E-2</v>
      </c>
      <c r="E44" s="193">
        <f>MAX(E67:G67)</f>
        <v>5.6002931426950418E-2</v>
      </c>
      <c r="F44" s="193">
        <f>MAX(H67,J67)+MAX(I67,K67)</f>
        <v>7.8790694851323367E-2</v>
      </c>
      <c r="G44" s="193">
        <f t="shared" si="0"/>
        <v>0.18557818983639429</v>
      </c>
      <c r="H44" s="457"/>
    </row>
    <row r="45" spans="2:8" x14ac:dyDescent="0.2">
      <c r="B45" s="453" t="s">
        <v>575</v>
      </c>
      <c r="C45" s="194" t="s">
        <v>428</v>
      </c>
      <c r="D45" s="193">
        <f>MIN(C68:D68)</f>
        <v>0</v>
      </c>
      <c r="E45" s="193">
        <f>MIN(E68:G68)</f>
        <v>0</v>
      </c>
      <c r="F45" s="193">
        <f>MIN(H68,J68)+MIN(I68,K68)</f>
        <v>0</v>
      </c>
      <c r="G45" s="193">
        <f t="shared" si="0"/>
        <v>0</v>
      </c>
      <c r="H45" s="457" t="s">
        <v>530</v>
      </c>
    </row>
    <row r="46" spans="2:8" x14ac:dyDescent="0.2">
      <c r="B46" s="454"/>
      <c r="C46" s="194" t="s">
        <v>429</v>
      </c>
      <c r="D46" s="193">
        <f>MAX(C68:D68)</f>
        <v>0</v>
      </c>
      <c r="E46" s="193">
        <f>MAX(E68:G68)</f>
        <v>0</v>
      </c>
      <c r="F46" s="193">
        <f>MAX(H68,J68)+MAX(I68,K68)</f>
        <v>0</v>
      </c>
      <c r="G46" s="193">
        <f t="shared" si="0"/>
        <v>0</v>
      </c>
      <c r="H46" s="457"/>
    </row>
    <row r="47" spans="2:8" x14ac:dyDescent="0.2">
      <c r="B47" s="453" t="s">
        <v>662</v>
      </c>
      <c r="C47" s="194" t="s">
        <v>428</v>
      </c>
      <c r="D47" s="193">
        <f>MIN(C69:D69)</f>
        <v>2.4517962394854122E-2</v>
      </c>
      <c r="E47" s="193">
        <f>MIN(E69:G69)</f>
        <v>0</v>
      </c>
      <c r="F47" s="193">
        <f>MIN(H69,J69)+MIN(I69,K69)</f>
        <v>6.8292370424261492E-2</v>
      </c>
      <c r="G47" s="193">
        <f t="shared" si="0"/>
        <v>9.2810332819115618E-2</v>
      </c>
      <c r="H47" s="457" t="s">
        <v>530</v>
      </c>
    </row>
    <row r="48" spans="2:8" x14ac:dyDescent="0.2">
      <c r="B48" s="454"/>
      <c r="C48" s="194" t="s">
        <v>429</v>
      </c>
      <c r="D48" s="193">
        <f>MAX(C69:D69)</f>
        <v>4.4017865725007821E-2</v>
      </c>
      <c r="E48" s="193">
        <f>MAX(E69:G69)</f>
        <v>4.8540921552611173E-2</v>
      </c>
      <c r="F48" s="193">
        <f>MAX(H69,J69)+MAX(I69,K69)</f>
        <v>6.8292370424261492E-2</v>
      </c>
      <c r="G48" s="193">
        <f t="shared" si="0"/>
        <v>0.16085115770188047</v>
      </c>
      <c r="H48" s="457"/>
    </row>
    <row r="49" spans="2:11" x14ac:dyDescent="0.2">
      <c r="B49" s="453" t="s">
        <v>577</v>
      </c>
      <c r="C49" s="194" t="s">
        <v>428</v>
      </c>
      <c r="D49" s="193">
        <f>MIN(C70:D70)</f>
        <v>0</v>
      </c>
      <c r="E49" s="193">
        <f>MIN(E70:G70)</f>
        <v>0</v>
      </c>
      <c r="F49" s="193">
        <f>MIN(H70,J70)+MIN(I70,K70)</f>
        <v>0</v>
      </c>
      <c r="G49" s="193">
        <f t="shared" si="0"/>
        <v>0</v>
      </c>
      <c r="H49" s="457" t="s">
        <v>530</v>
      </c>
    </row>
    <row r="50" spans="2:11" x14ac:dyDescent="0.2">
      <c r="B50" s="454"/>
      <c r="C50" s="194" t="s">
        <v>429</v>
      </c>
      <c r="D50" s="193">
        <f>MAX(C70:D70)</f>
        <v>0</v>
      </c>
      <c r="E50" s="193">
        <f>MAX(E70:G70)</f>
        <v>0</v>
      </c>
      <c r="F50" s="193">
        <f>MAX(H70,J70)+MAX(I70,K70)</f>
        <v>0</v>
      </c>
      <c r="G50" s="193">
        <f t="shared" si="0"/>
        <v>0</v>
      </c>
      <c r="H50" s="457"/>
    </row>
    <row r="51" spans="2:11" x14ac:dyDescent="0.2">
      <c r="B51" s="453" t="s">
        <v>578</v>
      </c>
      <c r="C51" s="194" t="s">
        <v>428</v>
      </c>
      <c r="D51" s="193">
        <f>MIN(C71:D71)</f>
        <v>0</v>
      </c>
      <c r="E51" s="193">
        <f>MIN(E71:G71)</f>
        <v>0</v>
      </c>
      <c r="F51" s="193">
        <f>MIN(H71,J71)+MIN(I71,K71)</f>
        <v>0</v>
      </c>
      <c r="G51" s="193">
        <f t="shared" si="0"/>
        <v>0</v>
      </c>
      <c r="H51" s="457" t="s">
        <v>531</v>
      </c>
    </row>
    <row r="52" spans="2:11" x14ac:dyDescent="0.2">
      <c r="B52" s="454"/>
      <c r="C52" s="194" t="s">
        <v>429</v>
      </c>
      <c r="D52" s="193">
        <f>MAX(C71:D71)</f>
        <v>0</v>
      </c>
      <c r="E52" s="193">
        <f>MAX(E71:G71)</f>
        <v>0</v>
      </c>
      <c r="F52" s="193">
        <f>MAX(H71,J71)+MAX(I71,K71)</f>
        <v>0</v>
      </c>
      <c r="G52" s="193">
        <f t="shared" si="0"/>
        <v>0</v>
      </c>
      <c r="H52" s="457"/>
    </row>
    <row r="53" spans="2:11" x14ac:dyDescent="0.2">
      <c r="B53" s="453" t="s">
        <v>579</v>
      </c>
      <c r="C53" s="194" t="s">
        <v>428</v>
      </c>
      <c r="D53" s="193">
        <f>MIN(C72:D72)</f>
        <v>0</v>
      </c>
      <c r="E53" s="193">
        <f>MIN(E72:G72)</f>
        <v>0</v>
      </c>
      <c r="F53" s="193">
        <f>MIN(H72,J72)+MIN(I72,K72)</f>
        <v>0</v>
      </c>
      <c r="G53" s="193">
        <f t="shared" si="0"/>
        <v>0</v>
      </c>
      <c r="H53" s="457" t="s">
        <v>532</v>
      </c>
    </row>
    <row r="54" spans="2:11" x14ac:dyDescent="0.2">
      <c r="B54" s="454"/>
      <c r="C54" s="194" t="s">
        <v>429</v>
      </c>
      <c r="D54" s="193">
        <f>MAX(C72:D72)</f>
        <v>0</v>
      </c>
      <c r="E54" s="193">
        <f>MAX(E72:G72)</f>
        <v>0</v>
      </c>
      <c r="F54" s="193">
        <f>MAX(H72,J72)+MAX(I72,K72)</f>
        <v>0</v>
      </c>
      <c r="G54" s="193">
        <f t="shared" si="0"/>
        <v>0</v>
      </c>
      <c r="H54" s="457"/>
    </row>
    <row r="55" spans="2:11" x14ac:dyDescent="0.2">
      <c r="B55" s="453" t="s">
        <v>519</v>
      </c>
      <c r="C55" s="194" t="s">
        <v>428</v>
      </c>
      <c r="D55" s="193">
        <f>MIN(C73:D73)</f>
        <v>1.4889025562013786E-2</v>
      </c>
      <c r="E55" s="193">
        <f>MIN(E73:G73)</f>
        <v>0</v>
      </c>
      <c r="F55" s="193">
        <f>MIN(H73,J73)+MIN(I73,K73)</f>
        <v>4.147191485825729E-2</v>
      </c>
      <c r="G55" s="193">
        <f t="shared" si="0"/>
        <v>5.636094042027108E-2</v>
      </c>
      <c r="H55" s="457"/>
    </row>
    <row r="56" spans="2:11" x14ac:dyDescent="0.2">
      <c r="B56" s="454"/>
      <c r="C56" s="194" t="s">
        <v>429</v>
      </c>
      <c r="D56" s="193">
        <f>MAX(C73:D73)</f>
        <v>2.67307338762574E-2</v>
      </c>
      <c r="E56" s="193">
        <f>MAX(E73:G73)</f>
        <v>2.9477450456985011E-2</v>
      </c>
      <c r="F56" s="193">
        <f>MAX(H73,J73)+MAX(I73,K73)</f>
        <v>4.147191485825729E-2</v>
      </c>
      <c r="G56" s="193">
        <f t="shared" si="0"/>
        <v>9.7680099191499697E-2</v>
      </c>
      <c r="H56" s="457"/>
    </row>
    <row r="59" spans="2:11" ht="15.75" x14ac:dyDescent="0.25">
      <c r="B59" s="198" t="s">
        <v>492</v>
      </c>
    </row>
    <row r="60" spans="2:11" ht="16.5" thickBot="1" x14ac:dyDescent="0.3">
      <c r="B60" s="192" t="s">
        <v>238</v>
      </c>
    </row>
    <row r="61" spans="2:11" s="190" customFormat="1" ht="13.5" thickBot="1" x14ac:dyDescent="0.25">
      <c r="B61" s="191"/>
      <c r="C61" s="440" t="s">
        <v>430</v>
      </c>
      <c r="D61" s="442"/>
      <c r="E61" s="440" t="s">
        <v>522</v>
      </c>
      <c r="F61" s="441"/>
      <c r="G61" s="442"/>
      <c r="H61" s="437" t="s">
        <v>521</v>
      </c>
      <c r="I61" s="438"/>
      <c r="J61" s="438"/>
      <c r="K61" s="439"/>
    </row>
    <row r="62" spans="2:11" s="190" customFormat="1" x14ac:dyDescent="0.2">
      <c r="B62" s="191"/>
      <c r="C62" s="443" t="s">
        <v>540</v>
      </c>
      <c r="D62" s="447" t="s">
        <v>541</v>
      </c>
      <c r="E62" s="443" t="s">
        <v>542</v>
      </c>
      <c r="F62" s="445" t="s">
        <v>543</v>
      </c>
      <c r="G62" s="447" t="s">
        <v>544</v>
      </c>
      <c r="H62" s="440" t="s">
        <v>674</v>
      </c>
      <c r="I62" s="442"/>
      <c r="J62" s="435" t="s">
        <v>675</v>
      </c>
      <c r="K62" s="436"/>
    </row>
    <row r="63" spans="2:11" s="190" customFormat="1" x14ac:dyDescent="0.2">
      <c r="B63" s="191"/>
      <c r="C63" s="444"/>
      <c r="D63" s="448"/>
      <c r="E63" s="444"/>
      <c r="F63" s="446"/>
      <c r="G63" s="448"/>
      <c r="H63" s="189" t="s">
        <v>545</v>
      </c>
      <c r="I63" s="228" t="s">
        <v>546</v>
      </c>
      <c r="J63" s="189" t="s">
        <v>545</v>
      </c>
      <c r="K63" s="228" t="s">
        <v>546</v>
      </c>
    </row>
    <row r="64" spans="2:11" x14ac:dyDescent="0.2">
      <c r="B64" s="123" t="s">
        <v>571</v>
      </c>
      <c r="C64" s="188">
        <f>INDEX($F$79:$G$88,MATCH($B64,$B$79:$B$88,0),MATCH(C$62,$F$78:$G$78,0))</f>
        <v>0.39201415102155174</v>
      </c>
      <c r="D64" s="187">
        <f>INDEX($F$79:$G$88,MATCH($B64,$B$79:$B$88,0),MATCH(D$62,$F$78:$G$78,0))</f>
        <v>0.21835198173946366</v>
      </c>
      <c r="E64" s="188">
        <f t="shared" ref="E64:F73" si="1">F104</f>
        <v>0.43229556542174291</v>
      </c>
      <c r="F64" s="186">
        <f t="shared" si="1"/>
        <v>0.38548064307884672</v>
      </c>
      <c r="G64" s="187">
        <f t="shared" ref="G64:G73" si="2">G116</f>
        <v>0</v>
      </c>
      <c r="H64" s="188" t="str">
        <f>I137</f>
        <v xml:space="preserve"> - </v>
      </c>
      <c r="I64" s="187" t="str">
        <f>J137</f>
        <v xml:space="preserve"> - </v>
      </c>
      <c r="J64" s="188">
        <f>I149</f>
        <v>0.56824104742681336</v>
      </c>
      <c r="K64" s="187">
        <f>J149</f>
        <v>3.9956900660126679E-2</v>
      </c>
    </row>
    <row r="65" spans="2:11" x14ac:dyDescent="0.2">
      <c r="B65" s="123" t="s">
        <v>661</v>
      </c>
      <c r="C65" s="188" t="str">
        <f t="shared" ref="C65:D73" si="3">INDEX($F$79:$G$88,MATCH($B65,$B$79:$B$88,0),MATCH(C$62,$F$78:$G$78,0))</f>
        <v xml:space="preserve"> -</v>
      </c>
      <c r="D65" s="187" t="str">
        <f t="shared" si="3"/>
        <v xml:space="preserve"> -</v>
      </c>
      <c r="E65" s="188" t="str">
        <f t="shared" si="1"/>
        <v xml:space="preserve"> - </v>
      </c>
      <c r="F65" s="186" t="str">
        <f t="shared" si="1"/>
        <v xml:space="preserve"> - </v>
      </c>
      <c r="G65" s="187" t="str">
        <f t="shared" si="2"/>
        <v xml:space="preserve"> - </v>
      </c>
      <c r="H65" s="188" t="str">
        <f t="shared" ref="H65:I73" si="4">I138</f>
        <v xml:space="preserve"> - </v>
      </c>
      <c r="I65" s="187" t="str">
        <f t="shared" si="4"/>
        <v xml:space="preserve"> - </v>
      </c>
      <c r="J65" s="188" t="str">
        <f t="shared" ref="J65:K73" si="5">I150</f>
        <v xml:space="preserve"> - </v>
      </c>
      <c r="K65" s="187" t="str">
        <f t="shared" si="5"/>
        <v xml:space="preserve"> - </v>
      </c>
    </row>
    <row r="66" spans="2:11" x14ac:dyDescent="0.2">
      <c r="B66" s="123" t="s">
        <v>573</v>
      </c>
      <c r="C66" s="188" t="str">
        <f t="shared" si="3"/>
        <v xml:space="preserve"> -</v>
      </c>
      <c r="D66" s="187" t="str">
        <f t="shared" si="3"/>
        <v xml:space="preserve"> -</v>
      </c>
      <c r="E66" s="188" t="str">
        <f t="shared" si="1"/>
        <v xml:space="preserve"> - </v>
      </c>
      <c r="F66" s="186" t="str">
        <f t="shared" si="1"/>
        <v xml:space="preserve"> - </v>
      </c>
      <c r="G66" s="187" t="str">
        <f t="shared" si="2"/>
        <v xml:space="preserve"> - </v>
      </c>
      <c r="H66" s="188" t="str">
        <f t="shared" si="4"/>
        <v xml:space="preserve"> - </v>
      </c>
      <c r="I66" s="187" t="str">
        <f t="shared" si="4"/>
        <v xml:space="preserve"> - </v>
      </c>
      <c r="J66" s="188" t="str">
        <f>I151</f>
        <v xml:space="preserve"> - </v>
      </c>
      <c r="K66" s="187" t="str">
        <f t="shared" si="5"/>
        <v xml:space="preserve"> - </v>
      </c>
    </row>
    <row r="67" spans="2:11" x14ac:dyDescent="0.2">
      <c r="B67" s="123" t="s">
        <v>574</v>
      </c>
      <c r="C67" s="188">
        <f t="shared" si="3"/>
        <v>5.0784563558120506E-2</v>
      </c>
      <c r="D67" s="187">
        <f t="shared" si="3"/>
        <v>2.8287014807482611E-2</v>
      </c>
      <c r="E67" s="188">
        <f t="shared" si="1"/>
        <v>5.6002931426950418E-2</v>
      </c>
      <c r="F67" s="186">
        <f t="shared" si="1"/>
        <v>4.9938162099119228E-2</v>
      </c>
      <c r="G67" s="187">
        <f t="shared" si="2"/>
        <v>0</v>
      </c>
      <c r="H67" s="188" t="str">
        <f t="shared" si="4"/>
        <v xml:space="preserve"> - </v>
      </c>
      <c r="I67" s="187" t="str">
        <f t="shared" si="4"/>
        <v xml:space="preserve"> - </v>
      </c>
      <c r="J67" s="188">
        <f t="shared" si="5"/>
        <v>7.3614367017565782E-2</v>
      </c>
      <c r="K67" s="187">
        <f t="shared" si="5"/>
        <v>5.1763278337575921E-3</v>
      </c>
    </row>
    <row r="68" spans="2:11" x14ac:dyDescent="0.2">
      <c r="B68" s="203" t="s">
        <v>575</v>
      </c>
      <c r="C68" s="188" t="str">
        <f t="shared" si="3"/>
        <v xml:space="preserve"> -</v>
      </c>
      <c r="D68" s="187" t="str">
        <f t="shared" si="3"/>
        <v xml:space="preserve"> -</v>
      </c>
      <c r="E68" s="188" t="str">
        <f t="shared" si="1"/>
        <v xml:space="preserve"> - </v>
      </c>
      <c r="F68" s="186" t="str">
        <f t="shared" si="1"/>
        <v xml:space="preserve"> - </v>
      </c>
      <c r="G68" s="187" t="str">
        <f t="shared" si="2"/>
        <v xml:space="preserve"> - </v>
      </c>
      <c r="H68" s="188" t="str">
        <f t="shared" si="4"/>
        <v xml:space="preserve"> - </v>
      </c>
      <c r="I68" s="187" t="str">
        <f t="shared" si="4"/>
        <v xml:space="preserve"> - </v>
      </c>
      <c r="J68" s="188" t="str">
        <f t="shared" si="5"/>
        <v xml:space="preserve"> - </v>
      </c>
      <c r="K68" s="187" t="str">
        <f t="shared" si="5"/>
        <v xml:space="preserve"> - </v>
      </c>
    </row>
    <row r="69" spans="2:11" x14ac:dyDescent="0.2">
      <c r="B69" s="123" t="s">
        <v>662</v>
      </c>
      <c r="C69" s="188">
        <f t="shared" si="3"/>
        <v>4.4017865725007821E-2</v>
      </c>
      <c r="D69" s="187">
        <f t="shared" si="3"/>
        <v>2.4517962394854122E-2</v>
      </c>
      <c r="E69" s="188">
        <f t="shared" si="1"/>
        <v>4.8540921552611173E-2</v>
      </c>
      <c r="F69" s="186">
        <f t="shared" si="1"/>
        <v>4.3284241506122277E-2</v>
      </c>
      <c r="G69" s="187">
        <f t="shared" si="2"/>
        <v>0</v>
      </c>
      <c r="H69" s="188" t="str">
        <f t="shared" si="4"/>
        <v xml:space="preserve"> - </v>
      </c>
      <c r="I69" s="187" t="str">
        <f>J142</f>
        <v xml:space="preserve"> - </v>
      </c>
      <c r="J69" s="188">
        <f t="shared" si="5"/>
        <v>6.3805753082868025E-2</v>
      </c>
      <c r="K69" s="187">
        <f t="shared" si="5"/>
        <v>4.4866173413934691E-3</v>
      </c>
    </row>
    <row r="70" spans="2:11" x14ac:dyDescent="0.2">
      <c r="B70" s="123" t="s">
        <v>577</v>
      </c>
      <c r="C70" s="188" t="str">
        <f t="shared" si="3"/>
        <v xml:space="preserve"> -</v>
      </c>
      <c r="D70" s="187" t="str">
        <f t="shared" si="3"/>
        <v xml:space="preserve"> -</v>
      </c>
      <c r="E70" s="188" t="str">
        <f t="shared" si="1"/>
        <v xml:space="preserve"> - </v>
      </c>
      <c r="F70" s="186" t="str">
        <f t="shared" si="1"/>
        <v xml:space="preserve"> - </v>
      </c>
      <c r="G70" s="187" t="str">
        <f t="shared" si="2"/>
        <v xml:space="preserve"> - </v>
      </c>
      <c r="H70" s="188" t="str">
        <f t="shared" si="4"/>
        <v xml:space="preserve"> - </v>
      </c>
      <c r="I70" s="187" t="str">
        <f t="shared" si="4"/>
        <v xml:space="preserve"> - </v>
      </c>
      <c r="J70" s="188" t="str">
        <f t="shared" si="5"/>
        <v xml:space="preserve"> - </v>
      </c>
      <c r="K70" s="187" t="str">
        <f>J155</f>
        <v xml:space="preserve"> - </v>
      </c>
    </row>
    <row r="71" spans="2:11" x14ac:dyDescent="0.2">
      <c r="B71" s="123" t="s">
        <v>578</v>
      </c>
      <c r="C71" s="188" t="str">
        <f t="shared" si="3"/>
        <v xml:space="preserve"> -</v>
      </c>
      <c r="D71" s="187" t="str">
        <f t="shared" si="3"/>
        <v xml:space="preserve"> -</v>
      </c>
      <c r="E71" s="188" t="str">
        <f t="shared" si="1"/>
        <v xml:space="preserve"> - </v>
      </c>
      <c r="F71" s="186" t="str">
        <f t="shared" si="1"/>
        <v xml:space="preserve"> - </v>
      </c>
      <c r="G71" s="187" t="str">
        <f t="shared" si="2"/>
        <v xml:space="preserve"> - </v>
      </c>
      <c r="H71" s="188" t="str">
        <f>I144</f>
        <v xml:space="preserve"> - </v>
      </c>
      <c r="I71" s="187" t="str">
        <f t="shared" si="4"/>
        <v xml:space="preserve"> - </v>
      </c>
      <c r="J71" s="188" t="str">
        <f t="shared" si="5"/>
        <v xml:space="preserve"> - </v>
      </c>
      <c r="K71" s="187" t="str">
        <f t="shared" si="5"/>
        <v xml:space="preserve"> - </v>
      </c>
    </row>
    <row r="72" spans="2:11" x14ac:dyDescent="0.2">
      <c r="B72" s="123" t="s">
        <v>579</v>
      </c>
      <c r="C72" s="188" t="str">
        <f t="shared" si="3"/>
        <v xml:space="preserve"> -</v>
      </c>
      <c r="D72" s="187" t="str">
        <f t="shared" si="3"/>
        <v xml:space="preserve"> -</v>
      </c>
      <c r="E72" s="188" t="str">
        <f t="shared" si="1"/>
        <v xml:space="preserve"> - </v>
      </c>
      <c r="F72" s="186" t="str">
        <f t="shared" si="1"/>
        <v xml:space="preserve"> - </v>
      </c>
      <c r="G72" s="187" t="str">
        <f t="shared" si="2"/>
        <v xml:space="preserve"> - </v>
      </c>
      <c r="H72" s="188" t="str">
        <f t="shared" si="4"/>
        <v xml:space="preserve"> - </v>
      </c>
      <c r="I72" s="187" t="str">
        <f t="shared" si="4"/>
        <v xml:space="preserve"> - </v>
      </c>
      <c r="J72" s="188" t="str">
        <f t="shared" si="5"/>
        <v xml:space="preserve"> - </v>
      </c>
      <c r="K72" s="187" t="str">
        <f t="shared" si="5"/>
        <v xml:space="preserve"> - </v>
      </c>
    </row>
    <row r="73" spans="2:11" ht="13.5" thickBot="1" x14ac:dyDescent="0.25">
      <c r="B73" s="123" t="s">
        <v>519</v>
      </c>
      <c r="C73" s="185">
        <f t="shared" si="3"/>
        <v>2.67307338762574E-2</v>
      </c>
      <c r="D73" s="184">
        <f t="shared" si="3"/>
        <v>1.4889025562013786E-2</v>
      </c>
      <c r="E73" s="185">
        <f t="shared" si="1"/>
        <v>2.9477450456985011E-2</v>
      </c>
      <c r="F73" s="183">
        <f t="shared" si="1"/>
        <v>2.6285225820898296E-2</v>
      </c>
      <c r="G73" s="184">
        <f t="shared" si="2"/>
        <v>0</v>
      </c>
      <c r="H73" s="185" t="str">
        <f t="shared" si="4"/>
        <v xml:space="preserve"> - </v>
      </c>
      <c r="I73" s="184" t="str">
        <f t="shared" si="4"/>
        <v xml:space="preserve"> - </v>
      </c>
      <c r="J73" s="185">
        <f t="shared" si="5"/>
        <v>3.8747326280823051E-2</v>
      </c>
      <c r="K73" s="184">
        <f t="shared" si="5"/>
        <v>2.7245885774342372E-3</v>
      </c>
    </row>
    <row r="76" spans="2:11" ht="15.75" x14ac:dyDescent="0.25">
      <c r="B76" s="198" t="s">
        <v>493</v>
      </c>
    </row>
    <row r="77" spans="2:11" ht="15.75" x14ac:dyDescent="0.25">
      <c r="B77" s="192" t="s">
        <v>427</v>
      </c>
    </row>
    <row r="78" spans="2:11" s="180" customFormat="1" ht="24.75" customHeight="1" x14ac:dyDescent="0.2">
      <c r="B78" s="182" t="s">
        <v>485</v>
      </c>
      <c r="C78" s="181" t="s">
        <v>481</v>
      </c>
      <c r="D78" s="181" t="s">
        <v>482</v>
      </c>
      <c r="E78" s="181" t="s">
        <v>558</v>
      </c>
      <c r="F78" s="182" t="s">
        <v>540</v>
      </c>
      <c r="G78" s="182" t="s">
        <v>541</v>
      </c>
    </row>
    <row r="79" spans="2:11" x14ac:dyDescent="0.2">
      <c r="B79" s="123" t="s">
        <v>571</v>
      </c>
      <c r="C79" s="179">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92658935.219374195</v>
      </c>
      <c r="D79" s="179">
        <f>ABS('2.1 Profit &amp; Loss by component'!$F$32*INDEX('2.2 Allocation to services'!$D$56:$D$65,MATCH('6. Pricing template'!B79,'2.2 Allocation to services'!$C$56:$C$65,0),1))-ABS('2.1 Profit &amp; Loss by component'!$F$26)*INDEX('2.2 Allocation to services'!$D$68:$D$77,MATCH('6. Pricing template'!B79,'2.2 Allocation to services'!$C$68:$C$77,0),1)</f>
        <v>51611050.464111</v>
      </c>
      <c r="E79" s="178">
        <f>INDEX('5. Historical demand'!$C$26:$C$35,MATCH('6. Pricing template'!B79,'5. Historical demand'!$B$26:$B$35,0),1)*(Yearending-Yearstart)</f>
        <v>236366.3020273982</v>
      </c>
      <c r="F79" s="177">
        <f>IFERROR(C79/(E79*1000)," -")</f>
        <v>0.39201415102155174</v>
      </c>
      <c r="G79" s="177">
        <f>IFERROR(D79/(E79*1000)," -")</f>
        <v>0.21835198173946366</v>
      </c>
    </row>
    <row r="80" spans="2:11" x14ac:dyDescent="0.2">
      <c r="B80" s="123" t="s">
        <v>661</v>
      </c>
      <c r="C80" s="179">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79">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78">
        <f>INDEX('5. Historical demand'!$C$26:$C$35,MATCH('6. Pricing template'!B80,'5. Historical demand'!$B$26:$B$35,0),1)*(Yearending-Yearstart)</f>
        <v>0</v>
      </c>
      <c r="F80" s="177" t="str">
        <f t="shared" ref="F80:F88" si="6">IFERROR(C80/(E80*1000)," -")</f>
        <v xml:space="preserve"> -</v>
      </c>
      <c r="G80" s="177" t="str">
        <f t="shared" ref="G80:G88" si="7">IFERROR(D80/(E80*1000)," -")</f>
        <v xml:space="preserve"> -</v>
      </c>
    </row>
    <row r="81" spans="2:7" x14ac:dyDescent="0.2">
      <c r="B81" s="123" t="s">
        <v>573</v>
      </c>
      <c r="C81" s="179">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336852.21042564081</v>
      </c>
      <c r="D81" s="179">
        <f>ABS('2.1 Profit &amp; Loss by component'!$F$32*INDEX('2.2 Allocation to services'!$D$56:$D$65,MATCH('6. Pricing template'!B81,'2.2 Allocation to services'!$C$56:$C$65,0),1))-ABS('2.1 Profit &amp; Loss by component'!$F$26)*INDEX('2.2 Allocation to services'!$D$68:$D$77,MATCH('6. Pricing template'!B81,'2.2 Allocation to services'!$C$68:$C$77,0),1)</f>
        <v>187626.76680953236</v>
      </c>
      <c r="E81" s="178">
        <f>INDEX('5. Historical demand'!$C$26:$C$35,MATCH('6. Pricing template'!B81,'5. Historical demand'!$B$26:$B$35,0),1)*(Yearending-Yearstart)</f>
        <v>0</v>
      </c>
      <c r="F81" s="177" t="str">
        <f t="shared" si="6"/>
        <v xml:space="preserve"> -</v>
      </c>
      <c r="G81" s="177" t="str">
        <f t="shared" si="7"/>
        <v xml:space="preserve"> -</v>
      </c>
    </row>
    <row r="82" spans="2:7" x14ac:dyDescent="0.2">
      <c r="B82" s="123" t="s">
        <v>574</v>
      </c>
      <c r="C82" s="179">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19180176.846309341</v>
      </c>
      <c r="D82" s="179">
        <f>ABS('2.1 Profit &amp; Loss by component'!$F$32*INDEX('2.2 Allocation to services'!$D$56:$D$65,MATCH('6. Pricing template'!B82,'2.2 Allocation to services'!$C$56:$C$65,0),1))-ABS('2.1 Profit &amp; Loss by component'!$F$26)*INDEX('2.2 Allocation to services'!$D$68:$D$77,MATCH('6. Pricing template'!B82,'2.2 Allocation to services'!$C$68:$C$77,0),1)</f>
        <v>10683363.377550051</v>
      </c>
      <c r="E82" s="178">
        <f>INDEX('5. Historical demand'!$C$26:$C$35,MATCH('6. Pricing template'!B82,'5. Historical demand'!$B$26:$B$35,0),1)*(Yearending-Yearstart)</f>
        <v>377677.29999999993</v>
      </c>
      <c r="F82" s="177">
        <f t="shared" si="6"/>
        <v>5.0784563558120506E-2</v>
      </c>
      <c r="G82" s="177">
        <f t="shared" si="7"/>
        <v>2.8287014807482611E-2</v>
      </c>
    </row>
    <row r="83" spans="2:7" x14ac:dyDescent="0.2">
      <c r="B83" s="203" t="s">
        <v>575</v>
      </c>
      <c r="C83" s="179">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139507.11908015583</v>
      </c>
      <c r="D83" s="179">
        <f>ABS('2.1 Profit &amp; Loss by component'!$F$32*INDEX('2.2 Allocation to services'!$D$56:$D$65,MATCH('6. Pricing template'!B83,'2.2 Allocation to services'!$C$56:$C$65,0),1))-ABS('2.1 Profit &amp; Loss by component'!$F$26)*INDEX('2.2 Allocation to services'!$D$68:$D$77,MATCH('6. Pricing template'!B83,'2.2 Allocation to services'!$C$68:$C$77,0),1)</f>
        <v>77705.500779844733</v>
      </c>
      <c r="E83" s="178">
        <f>INDEX('5. Historical demand'!$C$26:$C$35,MATCH('6. Pricing template'!B83,'5. Historical demand'!$B$26:$B$35,0),1)*(Yearending-Yearstart)</f>
        <v>0</v>
      </c>
      <c r="F83" s="177" t="str">
        <f t="shared" si="6"/>
        <v xml:space="preserve"> -</v>
      </c>
      <c r="G83" s="177" t="str">
        <f t="shared" si="7"/>
        <v xml:space="preserve"> -</v>
      </c>
    </row>
    <row r="84" spans="2:7" x14ac:dyDescent="0.2">
      <c r="B84" s="123" t="s">
        <v>662</v>
      </c>
      <c r="C84" s="179">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2278399.9442189848</v>
      </c>
      <c r="D84" s="179">
        <f>ABS('2.1 Profit &amp; Loss by component'!$F$32*INDEX('2.2 Allocation to services'!$D$56:$D$65,MATCH('6. Pricing template'!B84,'2.2 Allocation to services'!$C$56:$C$65,0),1))-ABS('2.1 Profit &amp; Loss by component'!$F$26)*INDEX('2.2 Allocation to services'!$D$68:$D$77,MATCH('6. Pricing template'!B84,'2.2 Allocation to services'!$C$68:$C$77,0),1)</f>
        <v>1269069.3479275652</v>
      </c>
      <c r="E84" s="178">
        <f>INDEX('5. Historical demand'!$C$26:$C$35,MATCH('6. Pricing template'!B84,'5. Historical demand'!$B$26:$B$35,0),1)*(Yearending-Yearstart)</f>
        <v>51760.800000000003</v>
      </c>
      <c r="F84" s="177">
        <f t="shared" si="6"/>
        <v>4.4017865725007821E-2</v>
      </c>
      <c r="G84" s="177">
        <f t="shared" si="7"/>
        <v>2.4517962394854122E-2</v>
      </c>
    </row>
    <row r="85" spans="2:7" x14ac:dyDescent="0.2">
      <c r="B85" s="123" t="s">
        <v>577</v>
      </c>
      <c r="C85" s="179">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778959.83203841909</v>
      </c>
      <c r="D85" s="179">
        <f>ABS('2.1 Profit &amp; Loss by component'!$F$32*INDEX('2.2 Allocation to services'!$D$56:$D$65,MATCH('6. Pricing template'!B85,'2.2 Allocation to services'!$C$56:$C$65,0),1))-ABS('2.1 Profit &amp; Loss by component'!$F$26)*INDEX('2.2 Allocation to services'!$D$68:$D$77,MATCH('6. Pricing template'!B85,'2.2 Allocation to services'!$C$68:$C$77,0),1)</f>
        <v>433880.82439829479</v>
      </c>
      <c r="E85" s="178">
        <f>INDEX('5. Historical demand'!$C$26:$C$35,MATCH('6. Pricing template'!B85,'5. Historical demand'!$B$26:$B$35,0),1)*(Yearending-Yearstart)</f>
        <v>0</v>
      </c>
      <c r="F85" s="177" t="str">
        <f t="shared" si="6"/>
        <v xml:space="preserve"> -</v>
      </c>
      <c r="G85" s="177" t="str">
        <f t="shared" si="7"/>
        <v xml:space="preserve"> -</v>
      </c>
    </row>
    <row r="86" spans="2:7" x14ac:dyDescent="0.2">
      <c r="B86" s="123" t="s">
        <v>578</v>
      </c>
      <c r="C86" s="179">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79706.184847787707</v>
      </c>
      <c r="D86" s="179">
        <f>ABS('2.1 Profit &amp; Loss by component'!$F$32*INDEX('2.2 Allocation to services'!$D$56:$D$65,MATCH('6. Pricing template'!B86,'2.2 Allocation to services'!$C$56:$C$65,0),1))-ABS('2.1 Profit &amp; Loss by component'!$F$26)*INDEX('2.2 Allocation to services'!$D$68:$D$77,MATCH('6. Pricing template'!B86,'2.2 Allocation to services'!$C$68:$C$77,0),1)</f>
        <v>44396.365215524143</v>
      </c>
      <c r="E86" s="178">
        <f>INDEX('5. Historical demand'!$C$26:$C$35,MATCH('6. Pricing template'!B86,'5. Historical demand'!$B$26:$B$35,0),1)*(Yearending-Yearstart)</f>
        <v>0</v>
      </c>
      <c r="F86" s="177" t="str">
        <f t="shared" si="6"/>
        <v xml:space="preserve"> -</v>
      </c>
      <c r="G86" s="177" t="str">
        <f t="shared" si="7"/>
        <v xml:space="preserve"> -</v>
      </c>
    </row>
    <row r="87" spans="2:7" x14ac:dyDescent="0.2">
      <c r="B87" s="123" t="s">
        <v>579</v>
      </c>
      <c r="C87" s="179">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148169.9635865789</v>
      </c>
      <c r="D87" s="179">
        <f>ABS('2.1 Profit &amp; Loss by component'!$F$32*INDEX('2.2 Allocation to services'!$D$56:$D$65,MATCH('6. Pricing template'!B87,'2.2 Allocation to services'!$C$56:$C$65,0),1))-ABS('2.1 Profit &amp; Loss by component'!$F$26)*INDEX('2.2 Allocation to services'!$D$68:$D$77,MATCH('6. Pricing template'!B87,'2.2 Allocation to services'!$C$68:$C$77,0),1)</f>
        <v>82530.707371364755</v>
      </c>
      <c r="E87" s="178">
        <f>INDEX('5. Historical demand'!$C$26:$C$35,MATCH('6. Pricing template'!B87,'5. Historical demand'!$B$26:$B$35,0),1)*(Yearending-Yearstart)</f>
        <v>0</v>
      </c>
      <c r="F87" s="177" t="str">
        <f t="shared" si="6"/>
        <v xml:space="preserve"> -</v>
      </c>
      <c r="G87" s="177" t="str">
        <f t="shared" si="7"/>
        <v xml:space="preserve"> -</v>
      </c>
    </row>
    <row r="88" spans="2:7" x14ac:dyDescent="0.2">
      <c r="B88" s="123" t="s">
        <v>519</v>
      </c>
      <c r="C88" s="179">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3844317.9154413845</v>
      </c>
      <c r="D88" s="179">
        <f>ABS('2.1 Profit &amp; Loss by component'!$F$32*INDEX('2.2 Allocation to services'!$D$56:$D$65,MATCH('6. Pricing template'!B88,'2.2 Allocation to services'!$C$56:$C$65,0),1))-ABS('2.1 Profit &amp; Loss by component'!$F$26)*INDEX('2.2 Allocation to services'!$D$68:$D$77,MATCH('6. Pricing template'!B88,'2.2 Allocation to services'!$C$68:$C$77,0),1)</f>
        <v>2141286.0558367996</v>
      </c>
      <c r="E88" s="178">
        <f>INDEX('5. Historical demand'!$C$26:$C$35,MATCH('6. Pricing template'!B88,'5. Historical demand'!$B$26:$B$35,0),1)*(Yearending-Yearstart)</f>
        <v>143816.4</v>
      </c>
      <c r="F88" s="177">
        <f t="shared" si="6"/>
        <v>2.67307338762574E-2</v>
      </c>
      <c r="G88" s="177">
        <f t="shared" si="7"/>
        <v>1.4889025562013786E-2</v>
      </c>
    </row>
    <row r="90" spans="2:7" ht="15.75" x14ac:dyDescent="0.25">
      <c r="B90" s="192" t="s">
        <v>118</v>
      </c>
    </row>
    <row r="91" spans="2:7" x14ac:dyDescent="0.2">
      <c r="B91" s="176" t="s">
        <v>402</v>
      </c>
      <c r="C91" s="197" t="s">
        <v>638</v>
      </c>
      <c r="D91" s="197" t="s">
        <v>403</v>
      </c>
      <c r="E91" s="197" t="s">
        <v>404</v>
      </c>
    </row>
    <row r="92" spans="2:7" x14ac:dyDescent="0.2">
      <c r="B92" s="123" t="s">
        <v>571</v>
      </c>
      <c r="C92" s="179">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2007839237.3352005</v>
      </c>
      <c r="D92" s="179">
        <f>ABS('2.1 Profit &amp; Loss by component'!$F$26)*INDEX('2.2 Allocation to services'!$D$68:$D$77,MATCH('6. Pricing template'!B79,'2.2 Allocation to services'!$C$68:$C$77,0),1)/(Yearending-Yearstart)*365</f>
        <v>91364949.036557645</v>
      </c>
      <c r="E92" s="175">
        <f t="shared" ref="E92:E101" si="8">IFERROR(C92/D92," - ")</f>
        <v>21.976034119296759</v>
      </c>
    </row>
    <row r="93" spans="2:7" x14ac:dyDescent="0.2">
      <c r="B93" s="123" t="s">
        <v>661</v>
      </c>
      <c r="C93" s="179">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79">
        <f>ABS('2.1 Profit &amp; Loss by component'!$F$26)*INDEX('2.2 Allocation to services'!$D$68:$D$77,MATCH('6. Pricing template'!B80,'2.2 Allocation to services'!$C$68:$C$77,0),1)/(Yearending-Yearstart)*365</f>
        <v>0</v>
      </c>
      <c r="E93" s="175" t="str">
        <f t="shared" si="8"/>
        <v xml:space="preserve"> - </v>
      </c>
      <c r="G93" s="174"/>
    </row>
    <row r="94" spans="2:7" x14ac:dyDescent="0.2">
      <c r="B94" s="123" t="s">
        <v>573</v>
      </c>
      <c r="C94" s="179">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7299296.9720018664</v>
      </c>
      <c r="D94" s="179">
        <f>ABS('2.1 Profit &amp; Loss by component'!$F$26)*INDEX('2.2 Allocation to services'!$D$68:$D$77,MATCH('6. Pricing template'!B81,'2.2 Allocation to services'!$C$68:$C$77,0),1)/(Yearending-Yearstart)*365</f>
        <v>332148.054211132</v>
      </c>
      <c r="E94" s="175">
        <f t="shared" si="8"/>
        <v>21.976034119296759</v>
      </c>
    </row>
    <row r="95" spans="2:7" x14ac:dyDescent="0.2">
      <c r="B95" s="123" t="s">
        <v>574</v>
      </c>
      <c r="C95" s="179">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415617895.45576137</v>
      </c>
      <c r="D95" s="179">
        <f>ABS('2.1 Profit &amp; Loss by component'!$F$26)*INDEX('2.2 Allocation to services'!$D$68:$D$77,MATCH('6. Pricing template'!B82,'2.2 Allocation to services'!$C$68:$C$77,0),1)/(Yearending-Yearstart)*365</f>
        <v>18912324.817097671</v>
      </c>
      <c r="E95" s="175">
        <f t="shared" si="8"/>
        <v>21.976034119296767</v>
      </c>
    </row>
    <row r="96" spans="2:7" x14ac:dyDescent="0.2">
      <c r="B96" s="203" t="s">
        <v>575</v>
      </c>
      <c r="C96" s="179">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3022998.9899361911</v>
      </c>
      <c r="D96" s="179">
        <f>ABS('2.1 Profit &amp; Loss by component'!$F$26)*INDEX('2.2 Allocation to services'!$D$68:$D$77,MATCH('6. Pricing template'!B83,'2.2 Allocation to services'!$C$68:$C$77,0),1)/(Yearending-Yearstart)*365</f>
        <v>137558.89591023841</v>
      </c>
      <c r="E96" s="175">
        <f t="shared" si="8"/>
        <v>21.976034119296763</v>
      </c>
    </row>
    <row r="97" spans="2:7" x14ac:dyDescent="0.2">
      <c r="B97" s="123" t="s">
        <v>662</v>
      </c>
      <c r="C97" s="179">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49370962.395741917</v>
      </c>
      <c r="D97" s="179">
        <f>ABS('2.1 Profit &amp; Loss by component'!$F$26)*INDEX('2.2 Allocation to services'!$D$68:$D$77,MATCH('6. Pricing template'!B84,'2.2 Allocation to services'!$C$68:$C$77,0),1)/(Yearending-Yearstart)*365</f>
        <v>2246581.9868922643</v>
      </c>
      <c r="E97" s="175">
        <f t="shared" si="8"/>
        <v>21.976034119296763</v>
      </c>
    </row>
    <row r="98" spans="2:7" x14ac:dyDescent="0.2">
      <c r="B98" s="123" t="s">
        <v>577</v>
      </c>
      <c r="C98" s="179">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16879387.955105174</v>
      </c>
      <c r="D98" s="179">
        <f>ABS('2.1 Profit &amp; Loss by component'!$F$26)*INDEX('2.2 Allocation to services'!$D$68:$D$77,MATCH('6. Pricing template'!B85,'2.2 Allocation to services'!$C$68:$C$77,0),1)/(Yearending-Yearstart)*365</f>
        <v>768081.62307518837</v>
      </c>
      <c r="E98" s="175">
        <f t="shared" si="8"/>
        <v>21.976034119296763</v>
      </c>
    </row>
    <row r="99" spans="2:7" x14ac:dyDescent="0.2">
      <c r="B99" s="123" t="s">
        <v>578</v>
      </c>
      <c r="C99" s="179">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1727164.3044114991</v>
      </c>
      <c r="D99" s="179">
        <f>ABS('2.1 Profit &amp; Loss by component'!$F$26)*INDEX('2.2 Allocation to services'!$D$68:$D$77,MATCH('6. Pricing template'!B86,'2.2 Allocation to services'!$C$68:$C$77,0),1)/(Yearending-Yearstart)*365</f>
        <v>78593.084404383379</v>
      </c>
      <c r="E99" s="175">
        <f t="shared" si="8"/>
        <v>21.976034119296759</v>
      </c>
    </row>
    <row r="100" spans="2:7" x14ac:dyDescent="0.2">
      <c r="B100" s="123" t="s">
        <v>579</v>
      </c>
      <c r="C100" s="179">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3210715.3614415382</v>
      </c>
      <c r="D100" s="179">
        <f>ABS('2.1 Profit &amp; Loss by component'!$F$26)*INDEX('2.2 Allocation to services'!$D$68:$D$77,MATCH('6. Pricing template'!B87,'2.2 Allocation to services'!$C$68:$C$77,0),1)/(Yearending-Yearstart)*365</f>
        <v>146100.7634049069</v>
      </c>
      <c r="E100" s="175">
        <f t="shared" si="8"/>
        <v>21.976034119296763</v>
      </c>
    </row>
    <row r="101" spans="2:7" x14ac:dyDescent="0.2">
      <c r="B101" s="123" t="s">
        <v>519</v>
      </c>
      <c r="C101" s="179">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83303054.725799933</v>
      </c>
      <c r="D101" s="179">
        <f>ABS('2.1 Profit &amp; Loss by component'!$F$26)*INDEX('2.2 Allocation to services'!$D$68:$D$77,MATCH('6. Pricing template'!B88,'2.2 Allocation to services'!$C$68:$C$77,0),1)/(Yearending-Yearstart)*365</f>
        <v>3790631.8434704747</v>
      </c>
      <c r="E101" s="175">
        <f t="shared" si="8"/>
        <v>21.976034119296763</v>
      </c>
    </row>
    <row r="103" spans="2:7" s="180" customFormat="1" ht="27" customHeight="1" x14ac:dyDescent="0.2">
      <c r="B103" s="173" t="s">
        <v>436</v>
      </c>
      <c r="C103" s="181" t="s">
        <v>486</v>
      </c>
      <c r="D103" s="181" t="s">
        <v>487</v>
      </c>
      <c r="E103" s="181" t="s">
        <v>558</v>
      </c>
      <c r="F103" s="182" t="s">
        <v>542</v>
      </c>
      <c r="G103" s="209" t="s">
        <v>543</v>
      </c>
    </row>
    <row r="104" spans="2:7" x14ac:dyDescent="0.2">
      <c r="B104" s="123" t="s">
        <v>571</v>
      </c>
      <c r="C104" s="179">
        <f>ABS('2.1 Profit &amp; Loss by component'!$F$26+'2.1 Profit &amp; Loss by component'!$F$37)*INDEX('2.2 Allocation to services'!$D$68:$D$77,MATCH(B104,'2.2 Allocation to services'!$C$68:$C$77,0),1)</f>
        <v>102180104.18158056</v>
      </c>
      <c r="D104" s="179">
        <f>ABS('2.1 Profit &amp; Loss by component'!$F$26*INDEX('2.2 Allocation to services'!$D$68:$D$77,MATCH(B104,'2.2 Allocation to services'!$C$68:$C$77,0),1))</f>
        <v>91114634.107690364</v>
      </c>
      <c r="E104" s="178">
        <f>INDEX('5. Historical demand'!$C$26:$C$35,MATCH(B104,'5. Historical demand'!$B$26:$B$35,0),1)*(Yearending-Yearstart)</f>
        <v>236366.3020273982</v>
      </c>
      <c r="F104" s="210">
        <f>IFERROR(C104/(E104*1000)," - ")</f>
        <v>0.43229556542174291</v>
      </c>
      <c r="G104" s="210">
        <f>IFERROR(D104/(E104*1000)," - ")</f>
        <v>0.38548064307884672</v>
      </c>
    </row>
    <row r="105" spans="2:7" x14ac:dyDescent="0.2">
      <c r="B105" s="123" t="s">
        <v>661</v>
      </c>
      <c r="C105" s="179">
        <f>ABS('2.1 Profit &amp; Loss by component'!$F$26+'2.1 Profit &amp; Loss by component'!$F$37)*INDEX('2.2 Allocation to services'!$D$68:$D$77,MATCH(B105,'2.2 Allocation to services'!$C$68:$C$77,0),1)</f>
        <v>0</v>
      </c>
      <c r="D105" s="179">
        <f>ABS('2.1 Profit &amp; Loss by component'!$F$26*INDEX('2.2 Allocation to services'!$D$68:$D$77,MATCH(B105,'2.2 Allocation to services'!$C$68:$C$77,0),1))</f>
        <v>0</v>
      </c>
      <c r="E105" s="178">
        <f>INDEX('5. Historical demand'!$C$26:$C$35,MATCH(B105,'5. Historical demand'!$B$26:$B$35,0),1)*(Yearending-Yearstart)</f>
        <v>0</v>
      </c>
      <c r="F105" s="210" t="str">
        <f t="shared" ref="F105:F113" si="9">IFERROR(C105/(E105*1000)," - ")</f>
        <v xml:space="preserve"> - </v>
      </c>
      <c r="G105" s="210" t="str">
        <f t="shared" ref="G105:G113" si="10">IFERROR(D105/(E105*1000)," - ")</f>
        <v xml:space="preserve"> - </v>
      </c>
    </row>
    <row r="106" spans="2:7" x14ac:dyDescent="0.2">
      <c r="B106" s="123" t="s">
        <v>573</v>
      </c>
      <c r="C106" s="179">
        <f>ABS('2.1 Profit &amp; Loss by component'!$F$26+'2.1 Profit &amp; Loss by component'!$F$37)*INDEX('2.2 Allocation to services'!$D$68:$D$77,MATCH(B106,'2.2 Allocation to services'!$C$68:$C$77,0),1)</f>
        <v>371465.45957600034</v>
      </c>
      <c r="D106" s="179">
        <f>ABS('2.1 Profit &amp; Loss by component'!$F$26*INDEX('2.2 Allocation to services'!$D$68:$D$77,MATCH(B106,'2.2 Allocation to services'!$C$68:$C$77,0),1))</f>
        <v>331238.05954206036</v>
      </c>
      <c r="E106" s="178">
        <f>INDEX('5. Historical demand'!$C$26:$C$35,MATCH(B106,'5. Historical demand'!$B$26:$B$35,0),1)*(Yearending-Yearstart)</f>
        <v>0</v>
      </c>
      <c r="F106" s="210" t="str">
        <f t="shared" si="9"/>
        <v xml:space="preserve"> - </v>
      </c>
      <c r="G106" s="210" t="str">
        <f t="shared" si="10"/>
        <v xml:space="preserve"> - </v>
      </c>
    </row>
    <row r="107" spans="2:7" x14ac:dyDescent="0.2">
      <c r="B107" s="123" t="s">
        <v>574</v>
      </c>
      <c r="C107" s="179">
        <f>ABS('2.1 Profit &amp; Loss by component'!$F$26+'2.1 Profit &amp; Loss by component'!$F$37)*INDEX('2.2 Allocation to services'!$D$68:$D$77,MATCH(B107,'2.2 Allocation to services'!$C$68:$C$77,0),1)</f>
        <v>21151035.933415778</v>
      </c>
      <c r="D107" s="179">
        <f>ABS('2.1 Profit &amp; Loss by component'!$F$26*INDEX('2.2 Allocation to services'!$D$68:$D$77,MATCH(B107,'2.2 Allocation to services'!$C$68:$C$77,0),1))</f>
        <v>18860510.22855768</v>
      </c>
      <c r="E107" s="178">
        <f>INDEX('5. Historical demand'!$C$26:$C$35,MATCH(B107,'5. Historical demand'!$B$26:$B$35,0),1)*(Yearending-Yearstart)</f>
        <v>377677.29999999993</v>
      </c>
      <c r="F107" s="210">
        <f t="shared" si="9"/>
        <v>5.6002931426950418E-2</v>
      </c>
      <c r="G107" s="210">
        <f t="shared" si="10"/>
        <v>4.9938162099119228E-2</v>
      </c>
    </row>
    <row r="108" spans="2:7" x14ac:dyDescent="0.2">
      <c r="B108" s="203" t="s">
        <v>575</v>
      </c>
      <c r="C108" s="179">
        <f>ABS('2.1 Profit &amp; Loss by component'!$F$26+'2.1 Profit &amp; Loss by component'!$F$37)*INDEX('2.2 Allocation to services'!$D$68:$D$77,MATCH(B108,'2.2 Allocation to services'!$C$68:$C$77,0),1)</f>
        <v>153842.17321225945</v>
      </c>
      <c r="D108" s="179">
        <f>ABS('2.1 Profit &amp; Loss by component'!$F$26*INDEX('2.2 Allocation to services'!$D$68:$D$77,MATCH(B108,'2.2 Allocation to services'!$C$68:$C$77,0),1))</f>
        <v>137182.0222228131</v>
      </c>
      <c r="E108" s="178">
        <f>INDEX('5. Historical demand'!$C$26:$C$35,MATCH(B108,'5. Historical demand'!$B$26:$B$35,0),1)*(Yearending-Yearstart)</f>
        <v>0</v>
      </c>
      <c r="F108" s="210" t="str">
        <f t="shared" si="9"/>
        <v xml:space="preserve"> - </v>
      </c>
      <c r="G108" s="210" t="str">
        <f t="shared" si="10"/>
        <v xml:space="preserve"> - </v>
      </c>
    </row>
    <row r="109" spans="2:7" x14ac:dyDescent="0.2">
      <c r="B109" s="123" t="s">
        <v>662</v>
      </c>
      <c r="C109" s="179">
        <f>ABS('2.1 Profit &amp; Loss by component'!$F$26+'2.1 Profit &amp; Loss by component'!$F$37)*INDEX('2.2 Allocation to services'!$D$68:$D$77,MATCH(B109,'2.2 Allocation to services'!$C$68:$C$77,0),1)</f>
        <v>2512516.9323003963</v>
      </c>
      <c r="D109" s="179">
        <f>ABS('2.1 Profit &amp; Loss by component'!$F$26*INDEX('2.2 Allocation to services'!$D$68:$D$77,MATCH(B109,'2.2 Allocation to services'!$C$68:$C$77,0),1))</f>
        <v>2240426.9677500939</v>
      </c>
      <c r="E109" s="178">
        <f>INDEX('5. Historical demand'!$C$26:$C$35,MATCH(B109,'5. Historical demand'!$B$26:$B$35,0),1)*(Yearending-Yearstart)</f>
        <v>51760.800000000003</v>
      </c>
      <c r="F109" s="210">
        <f t="shared" si="9"/>
        <v>4.8540921552611173E-2</v>
      </c>
      <c r="G109" s="210">
        <f t="shared" si="10"/>
        <v>4.3284241506122277E-2</v>
      </c>
    </row>
    <row r="110" spans="2:7" x14ac:dyDescent="0.2">
      <c r="B110" s="123" t="s">
        <v>577</v>
      </c>
      <c r="C110" s="179">
        <f>ABS('2.1 Profit &amp; Loss by component'!$F$26+'2.1 Profit &amp; Loss by component'!$F$37)*INDEX('2.2 Allocation to services'!$D$68:$D$77,MATCH(B110,'2.2 Allocation to services'!$C$68:$C$77,0),1)</f>
        <v>859001.85019943654</v>
      </c>
      <c r="D110" s="179">
        <f>ABS('2.1 Profit &amp; Loss by component'!$F$26*INDEX('2.2 Allocation to services'!$D$68:$D$77,MATCH(B110,'2.2 Allocation to services'!$C$68:$C$77,0),1))</f>
        <v>765977.28986128373</v>
      </c>
      <c r="E110" s="178">
        <f>INDEX('5. Historical demand'!$C$26:$C$35,MATCH(B110,'5. Historical demand'!$B$26:$B$35,0),1)*(Yearending-Yearstart)</f>
        <v>0</v>
      </c>
      <c r="F110" s="210" t="str">
        <f t="shared" si="9"/>
        <v xml:space="preserve"> - </v>
      </c>
      <c r="G110" s="210" t="str">
        <f t="shared" si="10"/>
        <v xml:space="preserve"> - </v>
      </c>
    </row>
    <row r="111" spans="2:7" x14ac:dyDescent="0.2">
      <c r="B111" s="123" t="s">
        <v>578</v>
      </c>
      <c r="C111" s="179">
        <f>ABS('2.1 Profit &amp; Loss by component'!$F$26+'2.1 Profit &amp; Loss by component'!$F$37)*INDEX('2.2 Allocation to services'!$D$68:$D$77,MATCH(B111,'2.2 Allocation to services'!$C$68:$C$77,0),1)</f>
        <v>87896.393935253684</v>
      </c>
      <c r="D111" s="179">
        <f>ABS('2.1 Profit &amp; Loss by component'!$F$26*INDEX('2.2 Allocation to services'!$D$68:$D$77,MATCH(B111,'2.2 Allocation to services'!$C$68:$C$77,0),1))</f>
        <v>78377.760885467258</v>
      </c>
      <c r="E111" s="178">
        <f>INDEX('5. Historical demand'!$C$26:$C$35,MATCH(B111,'5. Historical demand'!$B$26:$B$35,0),1)*(Yearending-Yearstart)</f>
        <v>0</v>
      </c>
      <c r="F111" s="210" t="str">
        <f t="shared" si="9"/>
        <v xml:space="preserve"> - </v>
      </c>
      <c r="G111" s="210" t="str">
        <f t="shared" si="10"/>
        <v xml:space="preserve"> - </v>
      </c>
    </row>
    <row r="112" spans="2:7" x14ac:dyDescent="0.2">
      <c r="B112" s="123" t="s">
        <v>579</v>
      </c>
      <c r="C112" s="179">
        <f>ABS('2.1 Profit &amp; Loss by component'!$F$26+'2.1 Profit &amp; Loss by component'!$F$37)*INDEX('2.2 Allocation to services'!$D$68:$D$77,MATCH(B112,'2.2 Allocation to services'!$C$68:$C$77,0),1)</f>
        <v>163395.16831283405</v>
      </c>
      <c r="D112" s="179">
        <f>ABS('2.1 Profit &amp; Loss by component'!$F$26*INDEX('2.2 Allocation to services'!$D$68:$D$77,MATCH(B112,'2.2 Allocation to services'!$C$68:$C$77,0),1))</f>
        <v>145700.48734078387</v>
      </c>
      <c r="E112" s="178">
        <f>INDEX('5. Historical demand'!$C$26:$C$35,MATCH(B112,'5. Historical demand'!$B$26:$B$35,0),1)*(Yearending-Yearstart)</f>
        <v>0</v>
      </c>
      <c r="F112" s="210" t="str">
        <f t="shared" si="9"/>
        <v xml:space="preserve"> - </v>
      </c>
      <c r="G112" s="210" t="str">
        <f t="shared" si="10"/>
        <v xml:space="preserve"> - </v>
      </c>
    </row>
    <row r="113" spans="2:7" x14ac:dyDescent="0.2">
      <c r="B113" s="123" t="s">
        <v>519</v>
      </c>
      <c r="C113" s="179">
        <f>ABS('2.1 Profit &amp; Loss by component'!$F$26+'2.1 Profit &amp; Loss by component'!$F$37)*INDEX('2.2 Allocation to services'!$D$68:$D$77,MATCH(B113,'2.2 Allocation to services'!$C$68:$C$77,0),1)</f>
        <v>4239340.805901939</v>
      </c>
      <c r="D113" s="179">
        <f>ABS('2.1 Profit &amp; Loss by component'!$F$26*INDEX('2.2 Allocation to services'!$D$68:$D$77,MATCH(B113,'2.2 Allocation to services'!$C$68:$C$77,0),1))</f>
        <v>3780246.5507486379</v>
      </c>
      <c r="E113" s="178">
        <f>INDEX('5. Historical demand'!$C$26:$C$35,MATCH(B113,'5. Historical demand'!$B$26:$B$35,0),1)*(Yearending-Yearstart)</f>
        <v>143816.4</v>
      </c>
      <c r="F113" s="210">
        <f t="shared" si="9"/>
        <v>2.9477450456985011E-2</v>
      </c>
      <c r="G113" s="210">
        <f t="shared" si="10"/>
        <v>2.6285225820898296E-2</v>
      </c>
    </row>
    <row r="114" spans="2:7" ht="15.75" x14ac:dyDescent="0.25">
      <c r="B114" s="198"/>
    </row>
    <row r="115" spans="2:7" s="180" customFormat="1" ht="24.75" customHeight="1" x14ac:dyDescent="0.2">
      <c r="B115" s="173" t="s">
        <v>442</v>
      </c>
      <c r="C115" s="211" t="s">
        <v>444</v>
      </c>
      <c r="D115" s="211" t="s">
        <v>404</v>
      </c>
      <c r="E115" s="211" t="s">
        <v>446</v>
      </c>
      <c r="F115" s="181" t="s">
        <v>558</v>
      </c>
      <c r="G115" s="209" t="s">
        <v>544</v>
      </c>
    </row>
    <row r="116" spans="2:7" x14ac:dyDescent="0.2">
      <c r="B116" s="123" t="s">
        <v>571</v>
      </c>
      <c r="C116" s="121">
        <f>'4. Recovered Capital'!$E$37*C21</f>
        <v>0</v>
      </c>
      <c r="D116" s="175">
        <f>E92</f>
        <v>21.976034119296759</v>
      </c>
      <c r="E116" s="121">
        <f t="shared" ref="E116:E125" si="11">IFERROR(C116/D116, " - ")</f>
        <v>0</v>
      </c>
      <c r="F116" s="178">
        <f>INDEX('5. Historical demand'!$C$26:$C$35,MATCH(B116,'5. Historical demand'!$B$26:$B$35,0),1)*(Yearending-Yearstart)</f>
        <v>236366.3020273982</v>
      </c>
      <c r="G116" s="210">
        <f>IFERROR(E116/(E104*1000), " - ")</f>
        <v>0</v>
      </c>
    </row>
    <row r="117" spans="2:7" x14ac:dyDescent="0.2">
      <c r="B117" s="123" t="s">
        <v>661</v>
      </c>
      <c r="C117" s="121">
        <f>'4. Recovered Capital'!$E$37*C22</f>
        <v>0</v>
      </c>
      <c r="D117" s="175" t="str">
        <f t="shared" ref="D117:D125" si="12">E93</f>
        <v xml:space="preserve"> - </v>
      </c>
      <c r="E117" s="121" t="str">
        <f t="shared" si="11"/>
        <v xml:space="preserve"> - </v>
      </c>
      <c r="F117" s="178">
        <f>INDEX('5. Historical demand'!$C$26:$C$35,MATCH(B117,'5. Historical demand'!$B$26:$B$35,0),1)*(Yearending-Yearstart)</f>
        <v>0</v>
      </c>
      <c r="G117" s="210" t="str">
        <f t="shared" ref="G117:G125" si="13">IFERROR(E117/(E105*1000), " - ")</f>
        <v xml:space="preserve"> - </v>
      </c>
    </row>
    <row r="118" spans="2:7" x14ac:dyDescent="0.2">
      <c r="B118" s="123" t="s">
        <v>573</v>
      </c>
      <c r="C118" s="121">
        <f>'4. Recovered Capital'!$E$37*C23</f>
        <v>0</v>
      </c>
      <c r="D118" s="175">
        <f t="shared" si="12"/>
        <v>21.976034119296759</v>
      </c>
      <c r="E118" s="121">
        <f t="shared" si="11"/>
        <v>0</v>
      </c>
      <c r="F118" s="178">
        <f>INDEX('5. Historical demand'!$C$26:$C$35,MATCH(B118,'5. Historical demand'!$B$26:$B$35,0),1)*(Yearending-Yearstart)</f>
        <v>0</v>
      </c>
      <c r="G118" s="210" t="str">
        <f t="shared" si="13"/>
        <v xml:space="preserve"> - </v>
      </c>
    </row>
    <row r="119" spans="2:7" x14ac:dyDescent="0.2">
      <c r="B119" s="123" t="s">
        <v>574</v>
      </c>
      <c r="C119" s="121">
        <f>'4. Recovered Capital'!$E$37*C24</f>
        <v>0</v>
      </c>
      <c r="D119" s="175">
        <f t="shared" si="12"/>
        <v>21.976034119296767</v>
      </c>
      <c r="E119" s="121">
        <f t="shared" si="11"/>
        <v>0</v>
      </c>
      <c r="F119" s="178">
        <f>INDEX('5. Historical demand'!$C$26:$C$35,MATCH(B119,'5. Historical demand'!$B$26:$B$35,0),1)*(Yearending-Yearstart)</f>
        <v>377677.29999999993</v>
      </c>
      <c r="G119" s="210">
        <f t="shared" si="13"/>
        <v>0</v>
      </c>
    </row>
    <row r="120" spans="2:7" x14ac:dyDescent="0.2">
      <c r="B120" s="203" t="s">
        <v>575</v>
      </c>
      <c r="C120" s="121">
        <f>'4. Recovered Capital'!$E$37*C25</f>
        <v>0</v>
      </c>
      <c r="D120" s="175">
        <f t="shared" si="12"/>
        <v>21.976034119296763</v>
      </c>
      <c r="E120" s="121">
        <f t="shared" si="11"/>
        <v>0</v>
      </c>
      <c r="F120" s="178">
        <f>INDEX('5. Historical demand'!$C$26:$C$35,MATCH(B120,'5. Historical demand'!$B$26:$B$35,0),1)*(Yearending-Yearstart)</f>
        <v>0</v>
      </c>
      <c r="G120" s="210" t="str">
        <f t="shared" si="13"/>
        <v xml:space="preserve"> - </v>
      </c>
    </row>
    <row r="121" spans="2:7" x14ac:dyDescent="0.2">
      <c r="B121" s="123" t="s">
        <v>662</v>
      </c>
      <c r="C121" s="121">
        <f>'4. Recovered Capital'!$E$37*C26</f>
        <v>0</v>
      </c>
      <c r="D121" s="175">
        <f t="shared" si="12"/>
        <v>21.976034119296763</v>
      </c>
      <c r="E121" s="121">
        <f t="shared" si="11"/>
        <v>0</v>
      </c>
      <c r="F121" s="178">
        <f>INDEX('5. Historical demand'!$C$26:$C$35,MATCH(B121,'5. Historical demand'!$B$26:$B$35,0),1)*(Yearending-Yearstart)</f>
        <v>51760.800000000003</v>
      </c>
      <c r="G121" s="210">
        <f t="shared" si="13"/>
        <v>0</v>
      </c>
    </row>
    <row r="122" spans="2:7" x14ac:dyDescent="0.2">
      <c r="B122" s="123" t="s">
        <v>577</v>
      </c>
      <c r="C122" s="121">
        <f>'4. Recovered Capital'!$E$37*C27</f>
        <v>0</v>
      </c>
      <c r="D122" s="175">
        <f t="shared" si="12"/>
        <v>21.976034119296763</v>
      </c>
      <c r="E122" s="121">
        <f t="shared" si="11"/>
        <v>0</v>
      </c>
      <c r="F122" s="178">
        <f>INDEX('5. Historical demand'!$C$26:$C$35,MATCH(B122,'5. Historical demand'!$B$26:$B$35,0),1)*(Yearending-Yearstart)</f>
        <v>0</v>
      </c>
      <c r="G122" s="210" t="str">
        <f t="shared" si="13"/>
        <v xml:space="preserve"> - </v>
      </c>
    </row>
    <row r="123" spans="2:7" x14ac:dyDescent="0.2">
      <c r="B123" s="123" t="s">
        <v>578</v>
      </c>
      <c r="C123" s="121">
        <f>'4. Recovered Capital'!$E$37*C28</f>
        <v>0</v>
      </c>
      <c r="D123" s="175">
        <f t="shared" si="12"/>
        <v>21.976034119296759</v>
      </c>
      <c r="E123" s="121">
        <f t="shared" si="11"/>
        <v>0</v>
      </c>
      <c r="F123" s="178">
        <f>INDEX('5. Historical demand'!$C$26:$C$35,MATCH(B123,'5. Historical demand'!$B$26:$B$35,0),1)*(Yearending-Yearstart)</f>
        <v>0</v>
      </c>
      <c r="G123" s="210" t="str">
        <f t="shared" si="13"/>
        <v xml:space="preserve"> - </v>
      </c>
    </row>
    <row r="124" spans="2:7" x14ac:dyDescent="0.2">
      <c r="B124" s="123" t="s">
        <v>579</v>
      </c>
      <c r="C124" s="121">
        <f>'4. Recovered Capital'!$E$37*C29</f>
        <v>0</v>
      </c>
      <c r="D124" s="175">
        <f t="shared" si="12"/>
        <v>21.976034119296763</v>
      </c>
      <c r="E124" s="121">
        <f t="shared" si="11"/>
        <v>0</v>
      </c>
      <c r="F124" s="178">
        <f>INDEX('5. Historical demand'!$C$26:$C$35,MATCH(B124,'5. Historical demand'!$B$26:$B$35,0),1)*(Yearending-Yearstart)</f>
        <v>0</v>
      </c>
      <c r="G124" s="210" t="str">
        <f t="shared" si="13"/>
        <v xml:space="preserve"> - </v>
      </c>
    </row>
    <row r="125" spans="2:7" x14ac:dyDescent="0.2">
      <c r="B125" s="123" t="s">
        <v>519</v>
      </c>
      <c r="C125" s="121">
        <f>'4. Recovered Capital'!$E$37*C30</f>
        <v>0</v>
      </c>
      <c r="D125" s="175">
        <f t="shared" si="12"/>
        <v>21.976034119296763</v>
      </c>
      <c r="E125" s="121">
        <f t="shared" si="11"/>
        <v>0</v>
      </c>
      <c r="F125" s="178">
        <f>INDEX('5. Historical demand'!$C$26:$C$35,MATCH(B125,'5. Historical demand'!$B$26:$B$35,0),1)*(Yearending-Yearstart)</f>
        <v>143816.4</v>
      </c>
      <c r="G125" s="210">
        <f t="shared" si="13"/>
        <v>0</v>
      </c>
    </row>
    <row r="127" spans="2:7" ht="15.75" x14ac:dyDescent="0.25">
      <c r="B127" s="192" t="s">
        <v>431</v>
      </c>
    </row>
    <row r="128" spans="2:7" x14ac:dyDescent="0.2">
      <c r="B128" s="176" t="s">
        <v>437</v>
      </c>
      <c r="C128" s="176"/>
    </row>
    <row r="129" spans="2:10" x14ac:dyDescent="0.2">
      <c r="B129" s="176" t="s">
        <v>438</v>
      </c>
      <c r="C129" s="212"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6" t="s">
        <v>439</v>
      </c>
      <c r="C130" s="212" t="str">
        <f>IFERROR((C129-E21*E22)/(1-E22), " - ")</f>
        <v xml:space="preserve"> - </v>
      </c>
    </row>
    <row r="131" spans="2:10" x14ac:dyDescent="0.2">
      <c r="B131" s="176" t="s">
        <v>440</v>
      </c>
      <c r="C131" s="212" t="str">
        <f>IFERROR(C130/(1-E23*(1-E24))," - ")</f>
        <v xml:space="preserve"> - </v>
      </c>
    </row>
    <row r="132" spans="2:10" x14ac:dyDescent="0.2">
      <c r="B132" s="176" t="s">
        <v>441</v>
      </c>
      <c r="C132" s="212" t="str">
        <f>IFERROR(C131-C130," - ")</f>
        <v xml:space="preserve"> - </v>
      </c>
    </row>
    <row r="133" spans="2:10" x14ac:dyDescent="0.2">
      <c r="B133" s="176" t="s">
        <v>443</v>
      </c>
      <c r="C133" s="212" t="str">
        <f>IFERROR(C132*(1-E22)," - ")</f>
        <v xml:space="preserve"> - </v>
      </c>
    </row>
    <row r="134" spans="2:10" x14ac:dyDescent="0.2">
      <c r="B134" s="176" t="s">
        <v>445</v>
      </c>
      <c r="C134" s="212" t="str">
        <f>IFERROR(C129+C133," - ")</f>
        <v xml:space="preserve"> - </v>
      </c>
    </row>
    <row r="136" spans="2:10" s="292" customFormat="1" ht="26.25" customHeight="1" x14ac:dyDescent="0.2">
      <c r="B136" s="290" t="s">
        <v>490</v>
      </c>
      <c r="C136" s="181" t="s">
        <v>670</v>
      </c>
      <c r="D136" s="211" t="s">
        <v>438</v>
      </c>
      <c r="E136" s="211" t="s">
        <v>443</v>
      </c>
      <c r="F136" s="211" t="s">
        <v>101</v>
      </c>
      <c r="G136" s="211" t="s">
        <v>447</v>
      </c>
      <c r="H136" s="181" t="s">
        <v>558</v>
      </c>
      <c r="I136" s="291" t="s">
        <v>545</v>
      </c>
      <c r="J136" s="291" t="s">
        <v>546</v>
      </c>
    </row>
    <row r="137" spans="2:10" x14ac:dyDescent="0.2">
      <c r="B137" s="123" t="s">
        <v>571</v>
      </c>
      <c r="C137" s="121">
        <f>IF(Cover!$C$23="Scheme pipeline",'3.2 Regulatory Asset Base'!$H$78*'6. Pricing template'!C21,C92+'3.1 Depreciated Book Value'!$D$80*'6. Pricing template'!C21)</f>
        <v>2016712237.8446133</v>
      </c>
      <c r="D137" s="212" t="str">
        <f t="shared" ref="D137:D146" si="14">$C$129</f>
        <v xml:space="preserve"> - </v>
      </c>
      <c r="E137" s="212" t="str">
        <f t="shared" ref="E137:E146" si="15">$C$133</f>
        <v xml:space="preserve"> - </v>
      </c>
      <c r="F137" s="121" t="str">
        <f t="shared" ref="F137:F146" si="16">IFERROR(C137*D137, " -")</f>
        <v xml:space="preserve"> -</v>
      </c>
      <c r="G137" s="121" t="str">
        <f t="shared" ref="G137:G146" si="17">IFERROR(C137*E137, " -")</f>
        <v xml:space="preserve"> -</v>
      </c>
      <c r="H137" s="178">
        <f>INDEX('5. Historical demand'!$C$26:$C$35,MATCH(B137,'5. Historical demand'!$B$26:$B$35,0),1)*(Yearending-Yearstart)</f>
        <v>236366.3020273982</v>
      </c>
      <c r="I137" s="210" t="str">
        <f>IFERROR(F137/(H137*1000)," - ")</f>
        <v xml:space="preserve"> - </v>
      </c>
      <c r="J137" s="210" t="str">
        <f>IFERROR(G137/(H137*1000)," - ")</f>
        <v xml:space="preserve"> - </v>
      </c>
    </row>
    <row r="138" spans="2:10" x14ac:dyDescent="0.2">
      <c r="B138" s="123" t="s">
        <v>661</v>
      </c>
      <c r="C138" s="121">
        <f>IF(Cover!$C$23="Scheme pipeline",'3.2 Regulatory Asset Base'!$H$78*'6. Pricing template'!C22,C93+'3.1 Depreciated Book Value'!$D$80*'6. Pricing template'!C22)</f>
        <v>0</v>
      </c>
      <c r="D138" s="212" t="str">
        <f t="shared" si="14"/>
        <v xml:space="preserve"> - </v>
      </c>
      <c r="E138" s="212" t="str">
        <f t="shared" si="15"/>
        <v xml:space="preserve"> - </v>
      </c>
      <c r="F138" s="121" t="str">
        <f t="shared" si="16"/>
        <v xml:space="preserve"> -</v>
      </c>
      <c r="G138" s="121" t="str">
        <f t="shared" si="17"/>
        <v xml:space="preserve"> -</v>
      </c>
      <c r="H138" s="178">
        <f>INDEX('5. Historical demand'!$C$26:$C$35,MATCH(B138,'5. Historical demand'!$B$26:$B$35,0),1)*(Yearending-Yearstart)</f>
        <v>0</v>
      </c>
      <c r="I138" s="210" t="str">
        <f t="shared" ref="I138:I146" si="18">IFERROR(F138/(H138*1000)," - ")</f>
        <v xml:space="preserve"> - </v>
      </c>
      <c r="J138" s="210" t="str">
        <f t="shared" ref="J138:J146" si="19">IFERROR(G138/(H138*1000)," - ")</f>
        <v xml:space="preserve"> - </v>
      </c>
    </row>
    <row r="139" spans="2:10" x14ac:dyDescent="0.2">
      <c r="B139" s="123" t="s">
        <v>573</v>
      </c>
      <c r="C139" s="121">
        <f>IF(Cover!$C$23="Scheme pipeline",'3.2 Regulatory Asset Base'!$H$78*'6. Pricing template'!C23,C94+'3.1 Depreciated Book Value'!$D$80*'6. Pricing template'!C23)</f>
        <v>7331553.8701372398</v>
      </c>
      <c r="D139" s="212" t="str">
        <f t="shared" si="14"/>
        <v xml:space="preserve"> - </v>
      </c>
      <c r="E139" s="212" t="str">
        <f t="shared" si="15"/>
        <v xml:space="preserve"> - </v>
      </c>
      <c r="F139" s="121" t="str">
        <f t="shared" si="16"/>
        <v xml:space="preserve"> -</v>
      </c>
      <c r="G139" s="121" t="str">
        <f t="shared" si="17"/>
        <v xml:space="preserve"> -</v>
      </c>
      <c r="H139" s="178">
        <f>INDEX('5. Historical demand'!$C$26:$C$35,MATCH(B139,'5. Historical demand'!$B$26:$B$35,0),1)*(Yearending-Yearstart)</f>
        <v>0</v>
      </c>
      <c r="I139" s="210" t="str">
        <f t="shared" si="18"/>
        <v xml:space="preserve"> - </v>
      </c>
      <c r="J139" s="210" t="str">
        <f t="shared" si="19"/>
        <v xml:space="preserve"> - </v>
      </c>
    </row>
    <row r="140" spans="2:10" x14ac:dyDescent="0.2">
      <c r="B140" s="123" t="s">
        <v>574</v>
      </c>
      <c r="C140" s="121">
        <f>IF(Cover!$C$23="Scheme pipeline",'3.2 Regulatory Asset Base'!$H$78*'6. Pricing template'!C24,C95+'3.1 Depreciated Book Value'!$D$80*'6. Pricing template'!C24)</f>
        <v>417454585.23128068</v>
      </c>
      <c r="D140" s="212" t="str">
        <f t="shared" si="14"/>
        <v xml:space="preserve"> - </v>
      </c>
      <c r="E140" s="212" t="str">
        <f t="shared" si="15"/>
        <v xml:space="preserve"> - </v>
      </c>
      <c r="F140" s="121" t="str">
        <f t="shared" si="16"/>
        <v xml:space="preserve"> -</v>
      </c>
      <c r="G140" s="121" t="str">
        <f t="shared" si="17"/>
        <v xml:space="preserve"> -</v>
      </c>
      <c r="H140" s="178">
        <f>INDEX('5. Historical demand'!$C$26:$C$35,MATCH(B140,'5. Historical demand'!$B$26:$B$35,0),1)*(Yearending-Yearstart)</f>
        <v>377677.29999999993</v>
      </c>
      <c r="I140" s="210" t="str">
        <f t="shared" si="18"/>
        <v xml:space="preserve"> - </v>
      </c>
      <c r="J140" s="210" t="str">
        <f t="shared" si="19"/>
        <v xml:space="preserve"> - </v>
      </c>
    </row>
    <row r="141" spans="2:10" x14ac:dyDescent="0.2">
      <c r="B141" s="203" t="s">
        <v>575</v>
      </c>
      <c r="C141" s="121">
        <f>IF(Cover!$C$23="Scheme pipeline",'3.2 Regulatory Asset Base'!$H$78*'6. Pricing template'!C25,C96+'3.1 Depreciated Book Value'!$D$80*'6. Pricing template'!C25)</f>
        <v>3036358.1628614385</v>
      </c>
      <c r="D141" s="212" t="str">
        <f t="shared" si="14"/>
        <v xml:space="preserve"> - </v>
      </c>
      <c r="E141" s="212" t="str">
        <f t="shared" si="15"/>
        <v xml:space="preserve"> - </v>
      </c>
      <c r="F141" s="121" t="str">
        <f t="shared" si="16"/>
        <v xml:space="preserve"> -</v>
      </c>
      <c r="G141" s="121" t="str">
        <f t="shared" si="17"/>
        <v xml:space="preserve"> -</v>
      </c>
      <c r="H141" s="178">
        <f>INDEX('5. Historical demand'!$C$26:$C$35,MATCH(B141,'5. Historical demand'!$B$26:$B$35,0),1)*(Yearending-Yearstart)</f>
        <v>0</v>
      </c>
      <c r="I141" s="210" t="str">
        <f t="shared" si="18"/>
        <v xml:space="preserve"> - </v>
      </c>
      <c r="J141" s="210" t="str">
        <f t="shared" si="19"/>
        <v xml:space="preserve"> - </v>
      </c>
    </row>
    <row r="142" spans="2:10" x14ac:dyDescent="0.2">
      <c r="B142" s="123" t="s">
        <v>662</v>
      </c>
      <c r="C142" s="121">
        <f>IF(Cover!$C$23="Scheme pipeline",'3.2 Regulatory Asset Base'!$H$78*'6. Pricing template'!C26,C97+'3.1 Depreciated Book Value'!$D$80*'6. Pricing template'!C26)</f>
        <v>49589141.504079804</v>
      </c>
      <c r="D142" s="212" t="str">
        <f t="shared" si="14"/>
        <v xml:space="preserve"> - </v>
      </c>
      <c r="E142" s="212" t="str">
        <f t="shared" si="15"/>
        <v xml:space="preserve"> - </v>
      </c>
      <c r="F142" s="121" t="str">
        <f t="shared" si="16"/>
        <v xml:space="preserve"> -</v>
      </c>
      <c r="G142" s="121" t="str">
        <f t="shared" si="17"/>
        <v xml:space="preserve"> -</v>
      </c>
      <c r="H142" s="178">
        <f>INDEX('5. Historical demand'!$C$26:$C$35,MATCH(B142,'5. Historical demand'!$B$26:$B$35,0),1)*(Yearending-Yearstart)</f>
        <v>51760.800000000003</v>
      </c>
      <c r="I142" s="210" t="str">
        <f t="shared" si="18"/>
        <v xml:space="preserve"> - </v>
      </c>
      <c r="J142" s="210" t="str">
        <f t="shared" si="19"/>
        <v xml:space="preserve"> - </v>
      </c>
    </row>
    <row r="143" spans="2:10" x14ac:dyDescent="0.2">
      <c r="B143" s="123" t="s">
        <v>577</v>
      </c>
      <c r="C143" s="121">
        <f>IF(Cover!$C$23="Scheme pipeline",'3.2 Regulatory Asset Base'!$H$78*'6. Pricing template'!C27,C98+'3.1 Depreciated Book Value'!$D$80*'6. Pricing template'!C27)</f>
        <v>16953980.987823769</v>
      </c>
      <c r="D143" s="212" t="str">
        <f t="shared" si="14"/>
        <v xml:space="preserve"> - </v>
      </c>
      <c r="E143" s="212" t="str">
        <f t="shared" si="15"/>
        <v xml:space="preserve"> - </v>
      </c>
      <c r="F143" s="121" t="str">
        <f t="shared" si="16"/>
        <v xml:space="preserve"> -</v>
      </c>
      <c r="G143" s="121" t="str">
        <f t="shared" si="17"/>
        <v xml:space="preserve"> -</v>
      </c>
      <c r="H143" s="178">
        <f>INDEX('5. Historical demand'!$C$26:$C$35,MATCH(B143,'5. Historical demand'!$B$26:$B$35,0),1)*(Yearending-Yearstart)</f>
        <v>0</v>
      </c>
      <c r="I143" s="210" t="str">
        <f t="shared" si="18"/>
        <v xml:space="preserve"> - </v>
      </c>
      <c r="J143" s="210" t="str">
        <f t="shared" si="19"/>
        <v xml:space="preserve"> - </v>
      </c>
    </row>
    <row r="144" spans="2:10" x14ac:dyDescent="0.2">
      <c r="B144" s="123" t="s">
        <v>578</v>
      </c>
      <c r="C144" s="121">
        <f>IF(Cover!$C$23="Scheme pipeline",'3.2 Regulatory Asset Base'!$H$78*'6. Pricing template'!C28,C99+'3.1 Depreciated Book Value'!$D$80*'6. Pricing template'!C28)</f>
        <v>1734796.9522191104</v>
      </c>
      <c r="D144" s="212" t="str">
        <f t="shared" si="14"/>
        <v xml:space="preserve"> - </v>
      </c>
      <c r="E144" s="212" t="str">
        <f t="shared" si="15"/>
        <v xml:space="preserve"> - </v>
      </c>
      <c r="F144" s="121" t="str">
        <f t="shared" si="16"/>
        <v xml:space="preserve"> -</v>
      </c>
      <c r="G144" s="121" t="str">
        <f t="shared" si="17"/>
        <v xml:space="preserve"> -</v>
      </c>
      <c r="H144" s="178">
        <f>INDEX('5. Historical demand'!$C$26:$C$35,MATCH(B144,'5. Historical demand'!$B$26:$B$35,0),1)*(Yearending-Yearstart)</f>
        <v>0</v>
      </c>
      <c r="I144" s="210" t="str">
        <f t="shared" si="18"/>
        <v xml:space="preserve"> - </v>
      </c>
      <c r="J144" s="210" t="str">
        <f t="shared" si="19"/>
        <v xml:space="preserve"> - </v>
      </c>
    </row>
    <row r="145" spans="2:10" x14ac:dyDescent="0.2">
      <c r="B145" s="123" t="s">
        <v>579</v>
      </c>
      <c r="C145" s="121">
        <f>IF(Cover!$C$23="Scheme pipeline",'3.2 Regulatory Asset Base'!$H$78*'6. Pricing template'!C29,C100+'3.1 Depreciated Book Value'!$D$80*'6. Pricing template'!C29)</f>
        <v>3224904.0865684864</v>
      </c>
      <c r="D145" s="212" t="str">
        <f t="shared" si="14"/>
        <v xml:space="preserve"> - </v>
      </c>
      <c r="E145" s="212" t="str">
        <f t="shared" si="15"/>
        <v xml:space="preserve"> - </v>
      </c>
      <c r="F145" s="121" t="str">
        <f t="shared" si="16"/>
        <v xml:space="preserve"> -</v>
      </c>
      <c r="G145" s="121" t="str">
        <f t="shared" si="17"/>
        <v xml:space="preserve"> -</v>
      </c>
      <c r="H145" s="178">
        <f>INDEX('5. Historical demand'!$C$26:$C$35,MATCH(B145,'5. Historical demand'!$B$26:$B$35,0),1)*(Yearending-Yearstart)</f>
        <v>0</v>
      </c>
      <c r="I145" s="210" t="str">
        <f t="shared" si="18"/>
        <v xml:space="preserve"> - </v>
      </c>
      <c r="J145" s="210" t="str">
        <f t="shared" si="19"/>
        <v xml:space="preserve"> - </v>
      </c>
    </row>
    <row r="146" spans="2:10" x14ac:dyDescent="0.2">
      <c r="B146" s="123" t="s">
        <v>519</v>
      </c>
      <c r="C146" s="121">
        <f>IF(Cover!$C$23="Scheme pipeline",'3.2 Regulatory Asset Base'!$H$78*'6. Pricing template'!C30,C101+'3.1 Depreciated Book Value'!$D$80*'6. Pricing template'!C30)</f>
        <v>83671185.815816209</v>
      </c>
      <c r="D146" s="212" t="str">
        <f t="shared" si="14"/>
        <v xml:space="preserve"> - </v>
      </c>
      <c r="E146" s="212" t="str">
        <f t="shared" si="15"/>
        <v xml:space="preserve"> - </v>
      </c>
      <c r="F146" s="121" t="str">
        <f t="shared" si="16"/>
        <v xml:space="preserve"> -</v>
      </c>
      <c r="G146" s="121" t="str">
        <f t="shared" si="17"/>
        <v xml:space="preserve"> -</v>
      </c>
      <c r="H146" s="178">
        <f>INDEX('5. Historical demand'!$C$26:$C$35,MATCH(B146,'5. Historical demand'!$B$26:$B$35,0),1)*(Yearending-Yearstart)</f>
        <v>143816.4</v>
      </c>
      <c r="I146" s="210" t="str">
        <f t="shared" si="18"/>
        <v xml:space="preserve"> - </v>
      </c>
      <c r="J146" s="210" t="str">
        <f t="shared" si="19"/>
        <v xml:space="preserve"> - </v>
      </c>
    </row>
    <row r="148" spans="2:10" s="292" customFormat="1" ht="25.5" customHeight="1" x14ac:dyDescent="0.2">
      <c r="B148" s="290" t="s">
        <v>673</v>
      </c>
      <c r="C148" s="181" t="s">
        <v>670</v>
      </c>
      <c r="D148" s="211" t="s">
        <v>455</v>
      </c>
      <c r="E148" s="211" t="s">
        <v>443</v>
      </c>
      <c r="F148" s="211" t="s">
        <v>101</v>
      </c>
      <c r="G148" s="211" t="s">
        <v>447</v>
      </c>
      <c r="H148" s="181" t="s">
        <v>558</v>
      </c>
      <c r="I148" s="291" t="s">
        <v>545</v>
      </c>
      <c r="J148" s="291" t="s">
        <v>546</v>
      </c>
    </row>
    <row r="149" spans="2:10" x14ac:dyDescent="0.2">
      <c r="B149" s="123" t="s">
        <v>571</v>
      </c>
      <c r="C149" s="121">
        <f>IF(Cover!$C$23="Scheme pipeline",'3.2 Regulatory Asset Base'!$H$78*'6. Pricing template'!C21,C92+'3.1 Depreciated Book Value'!$D$80*'6. Pricing template'!C21)</f>
        <v>2016712237.8446133</v>
      </c>
      <c r="D149" s="212">
        <f t="shared" ref="D149:D158" si="20">IF($E$25=0," - ",$E$25)</f>
        <v>6.6600000000000006E-2</v>
      </c>
      <c r="E149" s="212">
        <f t="shared" ref="E149:E158" si="21">IFERROR((($E$25-$E$21*$E$22)/(1-$E$22)/(1-$E$23*(1-$E$24))-($E$25-$E$21*$E$22)/(1-$E$22))*(1-$E$22)," - ")</f>
        <v>4.6830998851894404E-3</v>
      </c>
      <c r="F149" s="121">
        <f t="shared" ref="F149:F158" si="22">IFERROR(C149*D149, " -")</f>
        <v>134313035.04045126</v>
      </c>
      <c r="G149" s="121">
        <f t="shared" ref="G149:G158" si="23">IFERROR(C149*E149, " -")</f>
        <v>9444464.8495102488</v>
      </c>
      <c r="H149" s="178">
        <f>INDEX('5. Historical demand'!$C$26:$C$35,MATCH(B149,'5. Historical demand'!$B$26:$B$35,0),1)*(Yearending-Yearstart)</f>
        <v>236366.3020273982</v>
      </c>
      <c r="I149" s="210">
        <f>IFERROR(F149/(H149*1000)," - ")</f>
        <v>0.56824104742681336</v>
      </c>
      <c r="J149" s="210">
        <f>IFERROR(G149/(H149*1000)," - ")</f>
        <v>3.9956900660126679E-2</v>
      </c>
    </row>
    <row r="150" spans="2:10" x14ac:dyDescent="0.2">
      <c r="B150" s="123" t="s">
        <v>661</v>
      </c>
      <c r="C150" s="121">
        <f>IF(Cover!$C$23="Scheme pipeline",'3.2 Regulatory Asset Base'!$H$78*'6. Pricing template'!C22,C93+'3.1 Depreciated Book Value'!$D$80*'6. Pricing template'!C22)</f>
        <v>0</v>
      </c>
      <c r="D150" s="212">
        <f t="shared" si="20"/>
        <v>6.6600000000000006E-2</v>
      </c>
      <c r="E150" s="212">
        <f t="shared" si="21"/>
        <v>4.6830998851894404E-3</v>
      </c>
      <c r="F150" s="121">
        <f t="shared" si="22"/>
        <v>0</v>
      </c>
      <c r="G150" s="121">
        <f t="shared" si="23"/>
        <v>0</v>
      </c>
      <c r="H150" s="178">
        <f>INDEX('5. Historical demand'!$C$26:$C$35,MATCH(B150,'5. Historical demand'!$B$26:$B$35,0),1)*(Yearending-Yearstart)</f>
        <v>0</v>
      </c>
      <c r="I150" s="210" t="str">
        <f t="shared" ref="I150:I158" si="24">IFERROR(F150/(H150*1000)," - ")</f>
        <v xml:space="preserve"> - </v>
      </c>
      <c r="J150" s="210" t="str">
        <f t="shared" ref="J150:J158" si="25">IFERROR(G150/(H150*1000)," - ")</f>
        <v xml:space="preserve"> - </v>
      </c>
    </row>
    <row r="151" spans="2:10" x14ac:dyDescent="0.2">
      <c r="B151" s="123" t="s">
        <v>573</v>
      </c>
      <c r="C151" s="121">
        <f>IF(Cover!$C$23="Scheme pipeline",'3.2 Regulatory Asset Base'!$H$78*'6. Pricing template'!C23,C94+'3.1 Depreciated Book Value'!$D$80*'6. Pricing template'!C23)</f>
        <v>7331553.8701372398</v>
      </c>
      <c r="D151" s="212">
        <f t="shared" si="20"/>
        <v>6.6600000000000006E-2</v>
      </c>
      <c r="E151" s="212">
        <f t="shared" si="21"/>
        <v>4.6830998851894404E-3</v>
      </c>
      <c r="F151" s="121">
        <f t="shared" si="22"/>
        <v>488281.4877511402</v>
      </c>
      <c r="G151" s="121">
        <f t="shared" si="23"/>
        <v>34334.399087499907</v>
      </c>
      <c r="H151" s="178">
        <f>INDEX('5. Historical demand'!$C$26:$C$35,MATCH(B151,'5. Historical demand'!$B$26:$B$35,0),1)*(Yearending-Yearstart)</f>
        <v>0</v>
      </c>
      <c r="I151" s="210" t="str">
        <f t="shared" si="24"/>
        <v xml:space="preserve"> - </v>
      </c>
      <c r="J151" s="210" t="str">
        <f t="shared" si="25"/>
        <v xml:space="preserve"> - </v>
      </c>
    </row>
    <row r="152" spans="2:10" x14ac:dyDescent="0.2">
      <c r="B152" s="123" t="s">
        <v>574</v>
      </c>
      <c r="C152" s="121">
        <f>IF(Cover!$C$23="Scheme pipeline",'3.2 Regulatory Asset Base'!$H$78*'6. Pricing template'!C24,C95+'3.1 Depreciated Book Value'!$D$80*'6. Pricing template'!C24)</f>
        <v>417454585.23128068</v>
      </c>
      <c r="D152" s="212">
        <f t="shared" si="20"/>
        <v>6.6600000000000006E-2</v>
      </c>
      <c r="E152" s="212">
        <f t="shared" si="21"/>
        <v>4.6830998851894404E-3</v>
      </c>
      <c r="F152" s="121">
        <f t="shared" si="22"/>
        <v>27802475.376403295</v>
      </c>
      <c r="G152" s="121">
        <f t="shared" si="23"/>
        <v>1954981.520168416</v>
      </c>
      <c r="H152" s="178">
        <f>INDEX('5. Historical demand'!$C$26:$C$35,MATCH(B152,'5. Historical demand'!$B$26:$B$35,0),1)*(Yearending-Yearstart)</f>
        <v>377677.29999999993</v>
      </c>
      <c r="I152" s="210">
        <f t="shared" si="24"/>
        <v>7.3614367017565782E-2</v>
      </c>
      <c r="J152" s="210">
        <f t="shared" si="25"/>
        <v>5.1763278337575921E-3</v>
      </c>
    </row>
    <row r="153" spans="2:10" x14ac:dyDescent="0.2">
      <c r="B153" s="203" t="s">
        <v>575</v>
      </c>
      <c r="C153" s="121">
        <f>IF(Cover!$C$23="Scheme pipeline",'3.2 Regulatory Asset Base'!$H$78*'6. Pricing template'!C25,C96+'3.1 Depreciated Book Value'!$D$80*'6. Pricing template'!C25)</f>
        <v>3036358.1628614385</v>
      </c>
      <c r="D153" s="212">
        <f t="shared" si="20"/>
        <v>6.6600000000000006E-2</v>
      </c>
      <c r="E153" s="212">
        <f t="shared" si="21"/>
        <v>4.6830998851894404E-3</v>
      </c>
      <c r="F153" s="121">
        <f t="shared" si="22"/>
        <v>202221.45364657181</v>
      </c>
      <c r="G153" s="121">
        <f t="shared" si="23"/>
        <v>14219.568563890423</v>
      </c>
      <c r="H153" s="178">
        <f>INDEX('5. Historical demand'!$C$26:$C$35,MATCH(B153,'5. Historical demand'!$B$26:$B$35,0),1)*(Yearending-Yearstart)</f>
        <v>0</v>
      </c>
      <c r="I153" s="210" t="str">
        <f t="shared" si="24"/>
        <v xml:space="preserve"> - </v>
      </c>
      <c r="J153" s="210" t="str">
        <f t="shared" si="25"/>
        <v xml:space="preserve"> - </v>
      </c>
    </row>
    <row r="154" spans="2:10" x14ac:dyDescent="0.2">
      <c r="B154" s="123" t="s">
        <v>662</v>
      </c>
      <c r="C154" s="121">
        <f>IF(Cover!$C$23="Scheme pipeline",'3.2 Regulatory Asset Base'!$H$78*'6. Pricing template'!C26,C97+'3.1 Depreciated Book Value'!$D$80*'6. Pricing template'!C26)</f>
        <v>49589141.504079804</v>
      </c>
      <c r="D154" s="212">
        <f t="shared" si="20"/>
        <v>6.6600000000000006E-2</v>
      </c>
      <c r="E154" s="212">
        <f t="shared" si="21"/>
        <v>4.6830998851894404E-3</v>
      </c>
      <c r="F154" s="121">
        <f t="shared" si="22"/>
        <v>3302636.8241717154</v>
      </c>
      <c r="G154" s="121">
        <f t="shared" si="23"/>
        <v>232230.90288439905</v>
      </c>
      <c r="H154" s="178">
        <f>INDEX('5. Historical demand'!$C$26:$C$35,MATCH(B154,'5. Historical demand'!$B$26:$B$35,0),1)*(Yearending-Yearstart)</f>
        <v>51760.800000000003</v>
      </c>
      <c r="I154" s="210">
        <f t="shared" si="24"/>
        <v>6.3805753082868025E-2</v>
      </c>
      <c r="J154" s="210">
        <f t="shared" si="25"/>
        <v>4.4866173413934691E-3</v>
      </c>
    </row>
    <row r="155" spans="2:10" x14ac:dyDescent="0.2">
      <c r="B155" s="123" t="s">
        <v>577</v>
      </c>
      <c r="C155" s="121">
        <f>IF(Cover!$C$23="Scheme pipeline",'3.2 Regulatory Asset Base'!$H$78*'6. Pricing template'!C27,C98+'3.1 Depreciated Book Value'!$D$80*'6. Pricing template'!C27)</f>
        <v>16953980.987823769</v>
      </c>
      <c r="D155" s="212">
        <f t="shared" si="20"/>
        <v>6.6600000000000006E-2</v>
      </c>
      <c r="E155" s="212">
        <f t="shared" si="21"/>
        <v>4.6830998851894404E-3</v>
      </c>
      <c r="F155" s="121">
        <f t="shared" si="22"/>
        <v>1129135.1337890632</v>
      </c>
      <c r="G155" s="121">
        <f t="shared" si="23"/>
        <v>79397.186417581455</v>
      </c>
      <c r="H155" s="178">
        <f>INDEX('5. Historical demand'!$C$26:$C$35,MATCH(B155,'5. Historical demand'!$B$26:$B$35,0),1)*(Yearending-Yearstart)</f>
        <v>0</v>
      </c>
      <c r="I155" s="210" t="str">
        <f t="shared" si="24"/>
        <v xml:space="preserve"> - </v>
      </c>
      <c r="J155" s="210" t="str">
        <f t="shared" si="25"/>
        <v xml:space="preserve"> - </v>
      </c>
    </row>
    <row r="156" spans="2:10" x14ac:dyDescent="0.2">
      <c r="B156" s="123" t="s">
        <v>578</v>
      </c>
      <c r="C156" s="121">
        <f>IF(Cover!$C$23="Scheme pipeline",'3.2 Regulatory Asset Base'!$H$78*'6. Pricing template'!C28,C99+'3.1 Depreciated Book Value'!$D$80*'6. Pricing template'!C28)</f>
        <v>1734796.9522191104</v>
      </c>
      <c r="D156" s="212">
        <f t="shared" si="20"/>
        <v>6.6600000000000006E-2</v>
      </c>
      <c r="E156" s="212">
        <f t="shared" si="21"/>
        <v>4.6830998851894404E-3</v>
      </c>
      <c r="F156" s="121">
        <f t="shared" si="22"/>
        <v>115537.47701779277</v>
      </c>
      <c r="G156" s="121">
        <f t="shared" si="23"/>
        <v>8124.2274077643069</v>
      </c>
      <c r="H156" s="178">
        <f>INDEX('5. Historical demand'!$C$26:$C$35,MATCH(B156,'5. Historical demand'!$B$26:$B$35,0),1)*(Yearending-Yearstart)</f>
        <v>0</v>
      </c>
      <c r="I156" s="210" t="str">
        <f t="shared" si="24"/>
        <v xml:space="preserve"> - </v>
      </c>
      <c r="J156" s="210" t="str">
        <f t="shared" si="25"/>
        <v xml:space="preserve"> - </v>
      </c>
    </row>
    <row r="157" spans="2:10" x14ac:dyDescent="0.2">
      <c r="B157" s="123" t="s">
        <v>579</v>
      </c>
      <c r="C157" s="121">
        <f>IF(Cover!$C$23="Scheme pipeline",'3.2 Regulatory Asset Base'!$H$78*'6. Pricing template'!C29,C100+'3.1 Depreciated Book Value'!$D$80*'6. Pricing template'!C29)</f>
        <v>3224904.0865684864</v>
      </c>
      <c r="D157" s="212">
        <f t="shared" si="20"/>
        <v>6.6600000000000006E-2</v>
      </c>
      <c r="E157" s="212">
        <f t="shared" si="21"/>
        <v>4.6830998851894404E-3</v>
      </c>
      <c r="F157" s="121">
        <f t="shared" si="22"/>
        <v>214778.61216546121</v>
      </c>
      <c r="G157" s="121">
        <f t="shared" si="23"/>
        <v>15102.547957555837</v>
      </c>
      <c r="H157" s="178">
        <f>INDEX('5. Historical demand'!$C$26:$C$35,MATCH(B157,'5. Historical demand'!$B$26:$B$35,0),1)*(Yearending-Yearstart)</f>
        <v>0</v>
      </c>
      <c r="I157" s="210" t="str">
        <f t="shared" si="24"/>
        <v xml:space="preserve"> - </v>
      </c>
      <c r="J157" s="210" t="str">
        <f t="shared" si="25"/>
        <v xml:space="preserve"> - </v>
      </c>
    </row>
    <row r="158" spans="2:10" x14ac:dyDescent="0.2">
      <c r="B158" s="123" t="s">
        <v>519</v>
      </c>
      <c r="C158" s="121">
        <f>IF(Cover!$C$23="Scheme pipeline",'3.2 Regulatory Asset Base'!$H$78*'6. Pricing template'!C30,C101+'3.1 Depreciated Book Value'!$D$80*'6. Pricing template'!C30)</f>
        <v>83671185.815816209</v>
      </c>
      <c r="D158" s="212">
        <f t="shared" si="20"/>
        <v>6.6600000000000006E-2</v>
      </c>
      <c r="E158" s="212">
        <f t="shared" si="21"/>
        <v>4.6830998851894404E-3</v>
      </c>
      <c r="F158" s="121">
        <f t="shared" si="22"/>
        <v>5572500.97533336</v>
      </c>
      <c r="G158" s="121">
        <f t="shared" si="23"/>
        <v>391840.52068771323</v>
      </c>
      <c r="H158" s="178">
        <f>INDEX('5. Historical demand'!$C$26:$C$35,MATCH(B158,'5. Historical demand'!$B$26:$B$35,0),1)*(Yearending-Yearstart)</f>
        <v>143816.4</v>
      </c>
      <c r="I158" s="210">
        <f t="shared" si="24"/>
        <v>3.8747326280823051E-2</v>
      </c>
      <c r="J158" s="210">
        <f t="shared" si="25"/>
        <v>2.7245885774342372E-3</v>
      </c>
    </row>
    <row r="188" ht="27" customHeight="1" x14ac:dyDescent="0.2"/>
    <row r="195" ht="31.9" customHeight="1" x14ac:dyDescent="0.2"/>
  </sheetData>
  <sheetProtection sheet="1"/>
  <mergeCells count="36">
    <mergeCell ref="B47:B48"/>
    <mergeCell ref="H39:H40"/>
    <mergeCell ref="H55:H56"/>
    <mergeCell ref="H53:H54"/>
    <mergeCell ref="H37:H38"/>
    <mergeCell ref="H41:H42"/>
    <mergeCell ref="H43:H44"/>
    <mergeCell ref="H45:H46"/>
    <mergeCell ref="H47:H48"/>
    <mergeCell ref="B43:B44"/>
    <mergeCell ref="B49:B50"/>
    <mergeCell ref="B51:B52"/>
    <mergeCell ref="H49:H50"/>
    <mergeCell ref="H51:H52"/>
    <mergeCell ref="B18:C18"/>
    <mergeCell ref="D18:E18"/>
    <mergeCell ref="B37:B38"/>
    <mergeCell ref="B39:B40"/>
    <mergeCell ref="B41:B42"/>
    <mergeCell ref="D19:D20"/>
    <mergeCell ref="B7:D13"/>
    <mergeCell ref="J62:K62"/>
    <mergeCell ref="H61:K61"/>
    <mergeCell ref="E61:G61"/>
    <mergeCell ref="E62:E63"/>
    <mergeCell ref="F62:F63"/>
    <mergeCell ref="G62:G63"/>
    <mergeCell ref="B19:B20"/>
    <mergeCell ref="E19:E20"/>
    <mergeCell ref="B45:B46"/>
    <mergeCell ref="H62:I62"/>
    <mergeCell ref="C62:C63"/>
    <mergeCell ref="D62:D63"/>
    <mergeCell ref="B53:B54"/>
    <mergeCell ref="C61:D61"/>
    <mergeCell ref="B55:B56"/>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&amp;C_x000D_&amp;1#&amp;"Aptos"&amp;10&amp;K008000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027C-36DE-4E02-88A3-B2A531C45632}">
  <sheetPr>
    <tabColor rgb="FF17415D"/>
  </sheetPr>
  <dimension ref="A1:G4"/>
  <sheetViews>
    <sheetView zoomScaleNormal="100" workbookViewId="0">
      <selection activeCell="B1" sqref="B1"/>
    </sheetView>
  </sheetViews>
  <sheetFormatPr defaultColWidth="0" defaultRowHeight="12.75" x14ac:dyDescent="0.2"/>
  <cols>
    <col min="1" max="1" width="10.5703125"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310" t="s">
        <v>135</v>
      </c>
      <c r="B1" s="311" t="s">
        <v>136</v>
      </c>
      <c r="C1" s="312" t="s">
        <v>137</v>
      </c>
      <c r="D1" s="311" t="s">
        <v>138</v>
      </c>
      <c r="E1" s="312" t="s">
        <v>164</v>
      </c>
      <c r="F1" s="312" t="s">
        <v>141</v>
      </c>
      <c r="G1" s="313" t="s">
        <v>142</v>
      </c>
    </row>
    <row r="2" spans="1:7" x14ac:dyDescent="0.2">
      <c r="A2" s="314">
        <v>45775</v>
      </c>
      <c r="B2">
        <v>1</v>
      </c>
      <c r="C2" s="15" t="s">
        <v>178</v>
      </c>
      <c r="E2" s="15" t="s">
        <v>689</v>
      </c>
      <c r="F2" s="15" t="s">
        <v>697</v>
      </c>
      <c r="G2" s="15" t="s">
        <v>694</v>
      </c>
    </row>
    <row r="3" spans="1:7" x14ac:dyDescent="0.2">
      <c r="A3" s="314">
        <v>45775</v>
      </c>
      <c r="B3">
        <v>2</v>
      </c>
      <c r="C3" s="15" t="s">
        <v>247</v>
      </c>
      <c r="D3" t="s">
        <v>112</v>
      </c>
      <c r="E3" s="15" t="s">
        <v>688</v>
      </c>
      <c r="F3" t="s">
        <v>690</v>
      </c>
      <c r="G3" t="s">
        <v>691</v>
      </c>
    </row>
    <row r="4" spans="1:7" x14ac:dyDescent="0.2">
      <c r="A4" s="314">
        <v>45775</v>
      </c>
      <c r="B4">
        <v>3</v>
      </c>
      <c r="C4" s="15" t="s">
        <v>148</v>
      </c>
      <c r="D4" t="s">
        <v>693</v>
      </c>
      <c r="E4" s="15" t="s">
        <v>695</v>
      </c>
      <c r="F4" t="s">
        <v>692</v>
      </c>
      <c r="G4" s="15" t="s">
        <v>696</v>
      </c>
    </row>
  </sheetData>
  <sheetProtection sheet="1"/>
  <pageMargins left="0.7" right="0.7" top="0.75" bottom="0.75" header="0.3" footer="0.3"/>
  <headerFooter>
    <oddFooter>&amp;C_x000D_&amp;1#&amp;"Aptos"&amp;10&amp;K008000 APA-INTERNAL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01F2-AF65-43E7-8908-2639F014DB2F}">
  <sheetPr codeName="Sheet6">
    <pageSetUpPr fitToPage="1"/>
  </sheetPr>
  <dimension ref="A1:H17"/>
  <sheetViews>
    <sheetView workbookViewId="0"/>
  </sheetViews>
  <sheetFormatPr defaultColWidth="9.28515625" defaultRowHeight="15" customHeight="1" x14ac:dyDescent="0.2"/>
  <cols>
    <col min="1" max="6" width="9.28515625" style="168"/>
    <col min="7" max="7" width="28" style="168" bestFit="1" customWidth="1"/>
    <col min="8" max="8" width="18.28515625" style="168" bestFit="1" customWidth="1"/>
    <col min="9" max="16384" width="9.28515625" style="168"/>
  </cols>
  <sheetData>
    <row r="1" spans="1:8" ht="15" customHeight="1" x14ac:dyDescent="0.2">
      <c r="A1" s="168" t="s">
        <v>547</v>
      </c>
      <c r="G1" s="168" t="s">
        <v>680</v>
      </c>
      <c r="H1" s="168" t="s">
        <v>680</v>
      </c>
    </row>
    <row r="3" spans="1:8" ht="15" customHeight="1" x14ac:dyDescent="0.2">
      <c r="A3" s="169" t="s">
        <v>548</v>
      </c>
      <c r="G3" s="168" t="s">
        <v>679</v>
      </c>
      <c r="H3" s="168" t="s">
        <v>686</v>
      </c>
    </row>
    <row r="4" spans="1:8" ht="15" customHeight="1" x14ac:dyDescent="0.2">
      <c r="A4" s="169" t="s">
        <v>549</v>
      </c>
      <c r="G4" s="168" t="s">
        <v>681</v>
      </c>
      <c r="H4" s="168" t="s">
        <v>685</v>
      </c>
    </row>
    <row r="5" spans="1:8" ht="15" customHeight="1" x14ac:dyDescent="0.2">
      <c r="A5" s="169" t="s">
        <v>550</v>
      </c>
      <c r="G5" s="168" t="s">
        <v>682</v>
      </c>
      <c r="H5" s="168" t="s">
        <v>687</v>
      </c>
    </row>
    <row r="6" spans="1:8" ht="15" customHeight="1" x14ac:dyDescent="0.2">
      <c r="A6" s="169" t="s">
        <v>551</v>
      </c>
    </row>
    <row r="7" spans="1:8" ht="15" customHeight="1" x14ac:dyDescent="0.2">
      <c r="A7" s="169" t="s">
        <v>552</v>
      </c>
    </row>
    <row r="8" spans="1:8" ht="15" customHeight="1" x14ac:dyDescent="0.2">
      <c r="A8" s="169" t="s">
        <v>553</v>
      </c>
    </row>
    <row r="9" spans="1:8" ht="15" customHeight="1" x14ac:dyDescent="0.2">
      <c r="A9" s="169" t="s">
        <v>554</v>
      </c>
    </row>
    <row r="10" spans="1:8" ht="15" customHeight="1" x14ac:dyDescent="0.2">
      <c r="A10" s="169" t="s">
        <v>90</v>
      </c>
    </row>
    <row r="11" spans="1:8" ht="15" customHeight="1" x14ac:dyDescent="0.2">
      <c r="A11" s="169" t="s">
        <v>132</v>
      </c>
    </row>
    <row r="12" spans="1:8" ht="15" customHeight="1" x14ac:dyDescent="0.2">
      <c r="A12" s="168" t="s">
        <v>555</v>
      </c>
    </row>
    <row r="13" spans="1:8" ht="15" customHeight="1" x14ac:dyDescent="0.2">
      <c r="A13" s="168" t="s">
        <v>224</v>
      </c>
    </row>
    <row r="14" spans="1:8" ht="15" customHeight="1" x14ac:dyDescent="0.2">
      <c r="A14" s="168" t="s">
        <v>199</v>
      </c>
    </row>
    <row r="15" spans="1:8" ht="15" customHeight="1" x14ac:dyDescent="0.2">
      <c r="A15" s="168" t="s">
        <v>556</v>
      </c>
    </row>
    <row r="16" spans="1:8" ht="15" customHeight="1" x14ac:dyDescent="0.2">
      <c r="A16" s="168" t="s">
        <v>71</v>
      </c>
    </row>
    <row r="17" spans="1:1" ht="15" customHeight="1" x14ac:dyDescent="0.2">
      <c r="A17" s="168" t="s">
        <v>557</v>
      </c>
    </row>
  </sheetData>
  <pageMargins left="0.7" right="0.7" top="0.75" bottom="0.75" header="0.3" footer="0.3"/>
  <pageSetup paperSize="9" orientation="landscape" r:id="rId1"/>
  <headerFooter>
    <oddFooter>&amp;L&amp;8&amp;F&amp;D&amp;T&amp;C&amp;8&amp;A_x000D_&amp;1#&amp;"Aptos"&amp;10&amp;K008000 APA-INTERNAL&amp;R&amp;8Page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D89E-C431-43E1-93DB-A04D1EA0BAD9}">
  <sheetPr codeName="Sheet21"/>
  <dimension ref="A1:I123"/>
  <sheetViews>
    <sheetView workbookViewId="0"/>
  </sheetViews>
  <sheetFormatPr defaultRowHeight="12.75" x14ac:dyDescent="0.2"/>
  <cols>
    <col min="1" max="1" width="10.7109375" customWidth="1"/>
    <col min="2" max="2" width="20" style="5" customWidth="1"/>
    <col min="3" max="3" width="27.42578125" customWidth="1"/>
    <col min="4" max="4" width="16.7109375" style="5" bestFit="1" customWidth="1"/>
    <col min="5" max="5" width="19.7109375" customWidth="1"/>
    <col min="6" max="6" width="21.42578125" customWidth="1"/>
    <col min="7" max="7" width="59" customWidth="1"/>
    <col min="8" max="8" width="2.7109375" customWidth="1"/>
  </cols>
  <sheetData>
    <row r="1" spans="1:9" x14ac:dyDescent="0.2">
      <c r="A1" s="6" t="s">
        <v>135</v>
      </c>
      <c r="B1" s="7" t="s">
        <v>136</v>
      </c>
      <c r="C1" s="6" t="s">
        <v>137</v>
      </c>
      <c r="D1" s="7" t="s">
        <v>138</v>
      </c>
      <c r="E1" s="6" t="s">
        <v>164</v>
      </c>
      <c r="F1" s="6" t="s">
        <v>141</v>
      </c>
      <c r="G1" s="6" t="s">
        <v>142</v>
      </c>
    </row>
    <row r="2" spans="1:9" s="10" customFormat="1" ht="25.5" x14ac:dyDescent="0.2">
      <c r="A2" s="8">
        <v>43314</v>
      </c>
      <c r="B2" s="9">
        <v>1</v>
      </c>
      <c r="C2" s="10" t="s">
        <v>139</v>
      </c>
      <c r="D2" s="9"/>
      <c r="F2" s="11" t="s">
        <v>161</v>
      </c>
      <c r="G2" s="11" t="s">
        <v>140</v>
      </c>
    </row>
    <row r="3" spans="1:9" s="10" customFormat="1" ht="25.5" x14ac:dyDescent="0.2">
      <c r="A3" s="8">
        <v>43318</v>
      </c>
      <c r="B3" s="9">
        <v>2</v>
      </c>
      <c r="C3" s="10" t="s">
        <v>148</v>
      </c>
      <c r="D3" s="9">
        <v>2.1</v>
      </c>
      <c r="E3" s="10" t="s">
        <v>149</v>
      </c>
      <c r="F3" s="10" t="s">
        <v>150</v>
      </c>
      <c r="G3" s="11" t="s">
        <v>151</v>
      </c>
      <c r="I3" s="13"/>
    </row>
    <row r="4" spans="1:9" s="10" customFormat="1" ht="25.5" x14ac:dyDescent="0.2">
      <c r="A4" s="8">
        <v>43314</v>
      </c>
      <c r="B4" s="9">
        <v>3</v>
      </c>
      <c r="C4" s="10" t="s">
        <v>143</v>
      </c>
      <c r="D4" s="9">
        <v>3.1</v>
      </c>
      <c r="E4" s="10" t="s">
        <v>165</v>
      </c>
      <c r="F4" s="10" t="s">
        <v>162</v>
      </c>
      <c r="G4" s="11" t="s">
        <v>159</v>
      </c>
      <c r="I4" s="13"/>
    </row>
    <row r="5" spans="1:9" s="10" customFormat="1" ht="26.25" customHeight="1" x14ac:dyDescent="0.2">
      <c r="A5" s="8">
        <v>43314</v>
      </c>
      <c r="B5" s="9">
        <v>4</v>
      </c>
      <c r="C5" s="10" t="s">
        <v>144</v>
      </c>
      <c r="D5" s="9" t="s">
        <v>145</v>
      </c>
      <c r="E5" s="10" t="s">
        <v>166</v>
      </c>
      <c r="F5" s="10" t="s">
        <v>146</v>
      </c>
      <c r="G5" s="11" t="s">
        <v>147</v>
      </c>
      <c r="I5" s="13"/>
    </row>
    <row r="6" spans="1:9" s="10" customFormat="1" ht="38.25" x14ac:dyDescent="0.2">
      <c r="A6" s="8">
        <v>43318</v>
      </c>
      <c r="B6" s="9">
        <v>5</v>
      </c>
      <c r="C6" s="10" t="s">
        <v>144</v>
      </c>
      <c r="D6" s="9" t="s">
        <v>145</v>
      </c>
      <c r="E6" s="10" t="s">
        <v>152</v>
      </c>
      <c r="F6" s="10" t="s">
        <v>153</v>
      </c>
      <c r="G6" s="11" t="s">
        <v>154</v>
      </c>
      <c r="I6" s="13"/>
    </row>
    <row r="7" spans="1:9" s="10" customFormat="1" ht="89.25" x14ac:dyDescent="0.2">
      <c r="A7" s="8">
        <v>43318</v>
      </c>
      <c r="B7" s="9">
        <v>6</v>
      </c>
      <c r="C7" s="10" t="s">
        <v>144</v>
      </c>
      <c r="D7" s="12" t="s">
        <v>145</v>
      </c>
      <c r="E7" s="13" t="s">
        <v>156</v>
      </c>
      <c r="F7" s="13" t="s">
        <v>157</v>
      </c>
      <c r="G7" s="14" t="s">
        <v>167</v>
      </c>
      <c r="I7" s="13"/>
    </row>
    <row r="8" spans="1:9" x14ac:dyDescent="0.2">
      <c r="A8" s="8">
        <v>43318</v>
      </c>
      <c r="B8" s="9">
        <v>7</v>
      </c>
      <c r="C8" s="10" t="s">
        <v>144</v>
      </c>
      <c r="D8" s="12" t="s">
        <v>145</v>
      </c>
      <c r="E8" s="10" t="s">
        <v>158</v>
      </c>
      <c r="F8" s="10" t="s">
        <v>163</v>
      </c>
      <c r="G8" s="10" t="s">
        <v>160</v>
      </c>
      <c r="I8" s="13"/>
    </row>
    <row r="9" spans="1:9" x14ac:dyDescent="0.2">
      <c r="A9" s="8">
        <v>43991</v>
      </c>
      <c r="B9" s="9">
        <v>8</v>
      </c>
      <c r="C9" s="10" t="s">
        <v>143</v>
      </c>
      <c r="D9" s="9">
        <v>3.1</v>
      </c>
      <c r="E9" s="10" t="s">
        <v>170</v>
      </c>
      <c r="F9" s="10" t="s">
        <v>169</v>
      </c>
      <c r="G9" s="10" t="s">
        <v>171</v>
      </c>
      <c r="I9" s="13"/>
    </row>
    <row r="10" spans="1:9" x14ac:dyDescent="0.2">
      <c r="A10" s="8">
        <v>43991</v>
      </c>
      <c r="B10" s="9">
        <v>9</v>
      </c>
      <c r="C10" s="10" t="s">
        <v>143</v>
      </c>
      <c r="D10" s="9">
        <v>3.1</v>
      </c>
      <c r="E10" s="10" t="s">
        <v>172</v>
      </c>
      <c r="F10" s="10" t="s">
        <v>163</v>
      </c>
      <c r="G10" s="13" t="s">
        <v>197</v>
      </c>
      <c r="I10" s="13"/>
    </row>
    <row r="11" spans="1:9" ht="38.25" x14ac:dyDescent="0.2">
      <c r="A11" s="8">
        <v>43991</v>
      </c>
      <c r="B11" s="9">
        <v>10</v>
      </c>
      <c r="C11" s="10" t="s">
        <v>143</v>
      </c>
      <c r="D11" s="9">
        <v>3.1</v>
      </c>
      <c r="E11" s="11" t="s">
        <v>175</v>
      </c>
      <c r="F11" s="10" t="s">
        <v>177</v>
      </c>
      <c r="G11" s="11" t="s">
        <v>176</v>
      </c>
      <c r="I11" s="13"/>
    </row>
    <row r="12" spans="1:9" x14ac:dyDescent="0.2">
      <c r="A12" s="8">
        <v>43991</v>
      </c>
      <c r="B12" s="9">
        <v>11</v>
      </c>
      <c r="C12" s="10" t="s">
        <v>173</v>
      </c>
      <c r="D12" s="12" t="s">
        <v>187</v>
      </c>
      <c r="E12" s="13" t="s">
        <v>188</v>
      </c>
      <c r="F12" s="13" t="s">
        <v>169</v>
      </c>
      <c r="G12" s="13" t="s">
        <v>189</v>
      </c>
      <c r="I12" s="13"/>
    </row>
    <row r="13" spans="1:9" ht="38.25" x14ac:dyDescent="0.2">
      <c r="A13" s="8">
        <v>44028</v>
      </c>
      <c r="B13" s="9">
        <v>12</v>
      </c>
      <c r="C13" s="13" t="s">
        <v>178</v>
      </c>
      <c r="D13" s="9" t="s">
        <v>97</v>
      </c>
      <c r="E13" s="13" t="s">
        <v>186</v>
      </c>
      <c r="F13" s="14" t="s">
        <v>180</v>
      </c>
      <c r="G13" s="14" t="s">
        <v>179</v>
      </c>
      <c r="I13" s="13"/>
    </row>
    <row r="14" spans="1:9" ht="51" x14ac:dyDescent="0.2">
      <c r="A14" s="8">
        <v>43999</v>
      </c>
      <c r="B14" s="9">
        <v>13</v>
      </c>
      <c r="C14" s="13" t="s">
        <v>181</v>
      </c>
      <c r="D14" s="12" t="s">
        <v>182</v>
      </c>
      <c r="E14" s="13" t="s">
        <v>183</v>
      </c>
      <c r="F14" s="14" t="s">
        <v>184</v>
      </c>
      <c r="G14" s="14" t="s">
        <v>185</v>
      </c>
      <c r="I14" s="13"/>
    </row>
    <row r="15" spans="1:9" x14ac:dyDescent="0.2">
      <c r="A15" s="8">
        <v>43991</v>
      </c>
      <c r="B15" s="9">
        <v>14</v>
      </c>
      <c r="C15" s="10" t="s">
        <v>144</v>
      </c>
      <c r="D15" s="9"/>
      <c r="E15" s="10"/>
      <c r="F15" s="10"/>
      <c r="G15" s="10" t="s">
        <v>174</v>
      </c>
      <c r="I15" s="13"/>
    </row>
    <row r="16" spans="1:9" x14ac:dyDescent="0.2">
      <c r="A16" s="8">
        <v>44038</v>
      </c>
      <c r="B16" s="9">
        <v>15</v>
      </c>
      <c r="C16" s="10" t="s">
        <v>215</v>
      </c>
      <c r="D16" s="12" t="s">
        <v>192</v>
      </c>
      <c r="E16" s="13" t="s">
        <v>190</v>
      </c>
      <c r="F16" s="13" t="s">
        <v>191</v>
      </c>
      <c r="G16" s="14" t="s">
        <v>193</v>
      </c>
      <c r="I16" s="13"/>
    </row>
    <row r="17" spans="1:9" x14ac:dyDescent="0.2">
      <c r="A17" s="16">
        <v>44038</v>
      </c>
      <c r="B17" s="9">
        <v>16</v>
      </c>
      <c r="C17" s="10" t="s">
        <v>143</v>
      </c>
      <c r="D17" s="9">
        <v>3.1</v>
      </c>
      <c r="E17" s="13" t="s">
        <v>194</v>
      </c>
      <c r="F17" s="10" t="s">
        <v>169</v>
      </c>
      <c r="G17" s="13" t="s">
        <v>195</v>
      </c>
      <c r="I17" s="13"/>
    </row>
    <row r="18" spans="1:9" x14ac:dyDescent="0.2">
      <c r="A18" s="16">
        <v>44038</v>
      </c>
      <c r="B18" s="9">
        <v>17</v>
      </c>
      <c r="C18" s="10" t="s">
        <v>143</v>
      </c>
      <c r="D18" s="9">
        <v>3.1</v>
      </c>
      <c r="E18" s="13" t="s">
        <v>196</v>
      </c>
      <c r="F18" s="10" t="s">
        <v>163</v>
      </c>
      <c r="G18" s="13" t="s">
        <v>198</v>
      </c>
      <c r="I18" s="13"/>
    </row>
    <row r="19" spans="1:9" x14ac:dyDescent="0.2">
      <c r="A19" s="8">
        <v>44038</v>
      </c>
      <c r="B19" s="9">
        <v>18</v>
      </c>
      <c r="C19" s="10" t="s">
        <v>215</v>
      </c>
      <c r="D19" s="12" t="s">
        <v>145</v>
      </c>
      <c r="E19" s="13" t="s">
        <v>201</v>
      </c>
      <c r="F19" s="13" t="s">
        <v>202</v>
      </c>
      <c r="G19" s="14" t="s">
        <v>203</v>
      </c>
    </row>
    <row r="20" spans="1:9" x14ac:dyDescent="0.2">
      <c r="A20" s="8">
        <v>44038</v>
      </c>
      <c r="B20" s="9">
        <v>19</v>
      </c>
      <c r="C20" s="16" t="s">
        <v>215</v>
      </c>
      <c r="D20" s="12" t="s">
        <v>192</v>
      </c>
      <c r="E20" s="13" t="s">
        <v>200</v>
      </c>
      <c r="F20" s="13" t="s">
        <v>202</v>
      </c>
      <c r="G20" s="14" t="s">
        <v>204</v>
      </c>
    </row>
    <row r="21" spans="1:9" x14ac:dyDescent="0.2">
      <c r="A21" s="8">
        <v>44038</v>
      </c>
      <c r="B21" s="9">
        <v>20</v>
      </c>
      <c r="C21" s="13" t="s">
        <v>206</v>
      </c>
      <c r="D21" s="9">
        <v>4.0999999999999996</v>
      </c>
      <c r="E21" s="13" t="s">
        <v>207</v>
      </c>
      <c r="F21" s="13" t="s">
        <v>169</v>
      </c>
      <c r="G21" s="13" t="s">
        <v>208</v>
      </c>
      <c r="I21" s="13"/>
    </row>
    <row r="22" spans="1:9" x14ac:dyDescent="0.2">
      <c r="A22" s="8">
        <v>44038</v>
      </c>
      <c r="B22" s="9">
        <v>21</v>
      </c>
      <c r="C22" s="13" t="s">
        <v>206</v>
      </c>
      <c r="D22" s="9">
        <v>4.0999999999999996</v>
      </c>
      <c r="E22" s="13" t="s">
        <v>210</v>
      </c>
      <c r="F22" s="13" t="s">
        <v>211</v>
      </c>
      <c r="G22" s="13" t="s">
        <v>212</v>
      </c>
    </row>
    <row r="23" spans="1:9" ht="25.5" x14ac:dyDescent="0.2">
      <c r="A23" s="8">
        <v>44038</v>
      </c>
      <c r="B23" s="9">
        <v>22</v>
      </c>
      <c r="C23" s="13" t="s">
        <v>206</v>
      </c>
      <c r="D23" s="9">
        <v>4.0999999999999996</v>
      </c>
      <c r="E23" s="14" t="s">
        <v>214</v>
      </c>
      <c r="F23" s="13" t="s">
        <v>163</v>
      </c>
      <c r="G23" s="14" t="s">
        <v>209</v>
      </c>
    </row>
    <row r="24" spans="1:9" ht="25.5" x14ac:dyDescent="0.2">
      <c r="A24" s="8">
        <v>44038</v>
      </c>
      <c r="B24" s="9">
        <v>23</v>
      </c>
      <c r="C24" s="16" t="s">
        <v>215</v>
      </c>
      <c r="D24" s="12" t="s">
        <v>216</v>
      </c>
      <c r="E24" s="14" t="s">
        <v>218</v>
      </c>
      <c r="F24" s="10" t="s">
        <v>153</v>
      </c>
      <c r="G24" s="14" t="s">
        <v>217</v>
      </c>
    </row>
    <row r="25" spans="1:9" x14ac:dyDescent="0.2">
      <c r="A25" s="8">
        <v>44326</v>
      </c>
      <c r="B25" s="9">
        <v>24</v>
      </c>
      <c r="C25" s="16" t="s">
        <v>178</v>
      </c>
      <c r="D25" s="12"/>
      <c r="E25" s="14" t="s">
        <v>365</v>
      </c>
      <c r="F25" s="14" t="s">
        <v>269</v>
      </c>
      <c r="G25" s="11" t="s">
        <v>374</v>
      </c>
    </row>
    <row r="26" spans="1:9" x14ac:dyDescent="0.2">
      <c r="A26" s="8">
        <v>44326</v>
      </c>
      <c r="B26" s="9">
        <v>25</v>
      </c>
      <c r="C26" s="8" t="s">
        <v>270</v>
      </c>
      <c r="D26" s="9"/>
      <c r="E26" s="11" t="s">
        <v>271</v>
      </c>
      <c r="F26" s="10" t="s">
        <v>272</v>
      </c>
      <c r="G26" s="11" t="s">
        <v>380</v>
      </c>
    </row>
    <row r="27" spans="1:9" x14ac:dyDescent="0.2">
      <c r="A27" s="8">
        <v>44326</v>
      </c>
      <c r="B27" s="9">
        <v>26</v>
      </c>
      <c r="C27" s="8" t="s">
        <v>270</v>
      </c>
      <c r="D27" s="9"/>
      <c r="E27" s="11" t="s">
        <v>273</v>
      </c>
      <c r="F27" s="10" t="s">
        <v>272</v>
      </c>
      <c r="G27" s="11" t="s">
        <v>274</v>
      </c>
    </row>
    <row r="28" spans="1:9" ht="25.5" x14ac:dyDescent="0.2">
      <c r="A28" s="8">
        <v>44326</v>
      </c>
      <c r="B28" s="9">
        <v>27</v>
      </c>
      <c r="C28" s="8" t="s">
        <v>270</v>
      </c>
      <c r="D28" s="9"/>
      <c r="E28" s="11" t="s">
        <v>275</v>
      </c>
      <c r="F28" s="10" t="s">
        <v>272</v>
      </c>
      <c r="G28" s="11" t="s">
        <v>276</v>
      </c>
    </row>
    <row r="29" spans="1:9" x14ac:dyDescent="0.2">
      <c r="A29" s="8">
        <v>44326</v>
      </c>
      <c r="B29" s="9">
        <v>28</v>
      </c>
      <c r="C29" s="8" t="s">
        <v>277</v>
      </c>
      <c r="D29" s="9"/>
      <c r="E29" s="11" t="s">
        <v>183</v>
      </c>
      <c r="F29" s="10" t="s">
        <v>278</v>
      </c>
      <c r="G29" s="11" t="s">
        <v>279</v>
      </c>
    </row>
    <row r="30" spans="1:9" ht="38.25" x14ac:dyDescent="0.2">
      <c r="A30" s="8">
        <v>44326</v>
      </c>
      <c r="B30" s="9">
        <v>29</v>
      </c>
      <c r="C30" s="8" t="s">
        <v>238</v>
      </c>
      <c r="D30" s="12"/>
      <c r="E30" s="14"/>
      <c r="F30" s="10" t="s">
        <v>280</v>
      </c>
      <c r="G30" s="11" t="s">
        <v>281</v>
      </c>
    </row>
    <row r="31" spans="1:9" ht="25.5" x14ac:dyDescent="0.2">
      <c r="A31" s="8">
        <v>44326</v>
      </c>
      <c r="B31" s="9">
        <v>30</v>
      </c>
      <c r="C31" s="13" t="s">
        <v>247</v>
      </c>
      <c r="D31" s="9">
        <v>1.2</v>
      </c>
      <c r="E31" s="13" t="s">
        <v>248</v>
      </c>
      <c r="F31" s="13" t="s">
        <v>153</v>
      </c>
      <c r="G31" s="19" t="s">
        <v>249</v>
      </c>
    </row>
    <row r="32" spans="1:9" ht="102" x14ac:dyDescent="0.2">
      <c r="A32" s="8">
        <v>44326</v>
      </c>
      <c r="B32" s="9">
        <v>31</v>
      </c>
      <c r="C32" s="13" t="s">
        <v>250</v>
      </c>
      <c r="D32" s="9">
        <v>2.1</v>
      </c>
      <c r="E32" s="11" t="s">
        <v>282</v>
      </c>
      <c r="F32" s="13" t="s">
        <v>264</v>
      </c>
      <c r="G32" s="14" t="s">
        <v>265</v>
      </c>
    </row>
    <row r="33" spans="1:7" ht="25.5" x14ac:dyDescent="0.2">
      <c r="A33" s="8">
        <v>44326</v>
      </c>
      <c r="B33" s="9">
        <v>32</v>
      </c>
      <c r="C33" s="13" t="s">
        <v>250</v>
      </c>
      <c r="D33" s="9">
        <v>2.1</v>
      </c>
      <c r="E33" s="11" t="s">
        <v>385</v>
      </c>
      <c r="F33" s="13" t="s">
        <v>163</v>
      </c>
      <c r="G33" s="14" t="s">
        <v>386</v>
      </c>
    </row>
    <row r="34" spans="1:7" ht="25.5" x14ac:dyDescent="0.2">
      <c r="A34" s="8">
        <v>44326</v>
      </c>
      <c r="B34" s="9">
        <v>33</v>
      </c>
      <c r="C34" s="13" t="s">
        <v>250</v>
      </c>
      <c r="D34" s="9">
        <v>2.1</v>
      </c>
      <c r="E34" s="10" t="s">
        <v>283</v>
      </c>
      <c r="F34" s="10" t="s">
        <v>163</v>
      </c>
      <c r="G34" s="11" t="s">
        <v>284</v>
      </c>
    </row>
    <row r="35" spans="1:7" x14ac:dyDescent="0.2">
      <c r="A35" s="8">
        <v>44326</v>
      </c>
      <c r="B35" s="9">
        <v>34</v>
      </c>
      <c r="C35" s="13" t="s">
        <v>250</v>
      </c>
      <c r="D35" s="9">
        <v>2.1</v>
      </c>
      <c r="E35" s="10" t="s">
        <v>285</v>
      </c>
      <c r="F35" s="10" t="s">
        <v>286</v>
      </c>
      <c r="G35" s="11" t="s">
        <v>287</v>
      </c>
    </row>
    <row r="36" spans="1:7" x14ac:dyDescent="0.2">
      <c r="A36" s="8">
        <v>44326</v>
      </c>
      <c r="B36" s="9">
        <v>35</v>
      </c>
      <c r="C36" s="13" t="s">
        <v>250</v>
      </c>
      <c r="D36" s="9">
        <v>2.1</v>
      </c>
      <c r="E36" s="10" t="s">
        <v>288</v>
      </c>
      <c r="F36" s="10" t="s">
        <v>153</v>
      </c>
      <c r="G36" s="11" t="s">
        <v>289</v>
      </c>
    </row>
    <row r="37" spans="1:7" ht="25.5" x14ac:dyDescent="0.2">
      <c r="A37" s="8">
        <v>44326</v>
      </c>
      <c r="B37" s="9">
        <v>36</v>
      </c>
      <c r="C37" s="13" t="s">
        <v>250</v>
      </c>
      <c r="D37" s="9">
        <v>2.1</v>
      </c>
      <c r="E37" s="10" t="s">
        <v>290</v>
      </c>
      <c r="F37" s="10" t="s">
        <v>163</v>
      </c>
      <c r="G37" s="11" t="s">
        <v>291</v>
      </c>
    </row>
    <row r="38" spans="1:7" ht="25.5" x14ac:dyDescent="0.2">
      <c r="A38" s="8">
        <v>44326</v>
      </c>
      <c r="B38" s="9">
        <v>37</v>
      </c>
      <c r="C38" s="13" t="s">
        <v>251</v>
      </c>
      <c r="D38" s="9" t="s">
        <v>252</v>
      </c>
      <c r="E38" s="10" t="s">
        <v>292</v>
      </c>
      <c r="F38" s="13" t="s">
        <v>153</v>
      </c>
      <c r="G38" s="14" t="s">
        <v>266</v>
      </c>
    </row>
    <row r="39" spans="1:7" ht="25.5" x14ac:dyDescent="0.2">
      <c r="A39" s="8">
        <v>44326</v>
      </c>
      <c r="B39" s="9">
        <v>38</v>
      </c>
      <c r="C39" s="13" t="s">
        <v>251</v>
      </c>
      <c r="D39" s="9" t="s">
        <v>252</v>
      </c>
      <c r="E39" s="13"/>
      <c r="F39" s="14" t="s">
        <v>267</v>
      </c>
      <c r="G39" s="11" t="s">
        <v>387</v>
      </c>
    </row>
    <row r="40" spans="1:7" ht="38.25" x14ac:dyDescent="0.2">
      <c r="A40" s="8">
        <v>44326</v>
      </c>
      <c r="B40" s="9">
        <v>39</v>
      </c>
      <c r="C40" s="10" t="s">
        <v>251</v>
      </c>
      <c r="D40" s="9" t="s">
        <v>252</v>
      </c>
      <c r="E40" s="10" t="s">
        <v>253</v>
      </c>
      <c r="F40" s="14" t="s">
        <v>268</v>
      </c>
      <c r="G40" s="11" t="s">
        <v>293</v>
      </c>
    </row>
    <row r="41" spans="1:7" ht="38.25" x14ac:dyDescent="0.2">
      <c r="A41" s="8">
        <v>44326</v>
      </c>
      <c r="B41" s="9">
        <v>40</v>
      </c>
      <c r="C41" s="10" t="s">
        <v>251</v>
      </c>
      <c r="D41" s="9" t="s">
        <v>252</v>
      </c>
      <c r="E41" s="10" t="s">
        <v>254</v>
      </c>
      <c r="F41" s="14" t="s">
        <v>269</v>
      </c>
      <c r="G41" s="11" t="s">
        <v>294</v>
      </c>
    </row>
    <row r="42" spans="1:7" x14ac:dyDescent="0.2">
      <c r="A42" s="8">
        <v>44326</v>
      </c>
      <c r="B42" s="9">
        <v>41</v>
      </c>
      <c r="C42" s="10" t="s">
        <v>251</v>
      </c>
      <c r="D42" s="9" t="s">
        <v>252</v>
      </c>
      <c r="E42" s="10" t="s">
        <v>295</v>
      </c>
      <c r="F42" s="11" t="s">
        <v>163</v>
      </c>
      <c r="G42" s="11" t="s">
        <v>296</v>
      </c>
    </row>
    <row r="43" spans="1:7" ht="25.5" x14ac:dyDescent="0.2">
      <c r="A43" s="8">
        <v>44326</v>
      </c>
      <c r="B43" s="9">
        <v>42</v>
      </c>
      <c r="C43" s="10" t="s">
        <v>366</v>
      </c>
      <c r="D43" s="12" t="s">
        <v>370</v>
      </c>
      <c r="E43" s="10" t="s">
        <v>367</v>
      </c>
      <c r="F43" s="14" t="s">
        <v>368</v>
      </c>
      <c r="G43" s="14" t="s">
        <v>369</v>
      </c>
    </row>
    <row r="44" spans="1:7" ht="51" x14ac:dyDescent="0.2">
      <c r="A44" s="8">
        <v>44326</v>
      </c>
      <c r="B44" s="9">
        <v>43</v>
      </c>
      <c r="C44" s="10" t="s">
        <v>297</v>
      </c>
      <c r="D44" s="9" t="s">
        <v>298</v>
      </c>
      <c r="E44" s="10" t="s">
        <v>299</v>
      </c>
      <c r="F44" s="11" t="s">
        <v>157</v>
      </c>
      <c r="G44" s="11" t="s">
        <v>300</v>
      </c>
    </row>
    <row r="45" spans="1:7" x14ac:dyDescent="0.2">
      <c r="A45" s="8">
        <v>44326</v>
      </c>
      <c r="B45" s="9">
        <v>44</v>
      </c>
      <c r="C45" s="10" t="s">
        <v>301</v>
      </c>
      <c r="D45" s="9" t="s">
        <v>302</v>
      </c>
      <c r="E45" s="10" t="s">
        <v>299</v>
      </c>
      <c r="F45" s="11" t="s">
        <v>157</v>
      </c>
      <c r="G45" s="11" t="s">
        <v>303</v>
      </c>
    </row>
    <row r="46" spans="1:7" x14ac:dyDescent="0.2">
      <c r="A46" s="8">
        <v>44326</v>
      </c>
      <c r="B46" s="9">
        <v>45</v>
      </c>
      <c r="C46" s="10" t="s">
        <v>304</v>
      </c>
      <c r="D46" s="9" t="s">
        <v>302</v>
      </c>
      <c r="E46" s="10" t="s">
        <v>305</v>
      </c>
      <c r="F46" s="11" t="s">
        <v>163</v>
      </c>
      <c r="G46" s="11" t="s">
        <v>306</v>
      </c>
    </row>
    <row r="47" spans="1:7" x14ac:dyDescent="0.2">
      <c r="A47" s="8">
        <v>44326</v>
      </c>
      <c r="B47" s="9">
        <v>46</v>
      </c>
      <c r="C47" s="10" t="s">
        <v>304</v>
      </c>
      <c r="D47" s="9" t="s">
        <v>302</v>
      </c>
      <c r="E47" s="10" t="s">
        <v>307</v>
      </c>
      <c r="F47" s="11" t="s">
        <v>308</v>
      </c>
      <c r="G47" s="11" t="s">
        <v>309</v>
      </c>
    </row>
    <row r="48" spans="1:7" x14ac:dyDescent="0.2">
      <c r="A48" s="8">
        <v>44326</v>
      </c>
      <c r="B48" s="9">
        <v>47</v>
      </c>
      <c r="C48" s="10" t="s">
        <v>255</v>
      </c>
      <c r="D48" s="9"/>
      <c r="E48" s="10" t="s">
        <v>372</v>
      </c>
      <c r="F48" s="14" t="s">
        <v>269</v>
      </c>
      <c r="G48" s="11" t="s">
        <v>373</v>
      </c>
    </row>
    <row r="49" spans="1:7" x14ac:dyDescent="0.2">
      <c r="A49" s="8">
        <v>44326</v>
      </c>
      <c r="B49" s="9">
        <v>48</v>
      </c>
      <c r="C49" s="10" t="s">
        <v>255</v>
      </c>
      <c r="D49" s="9">
        <v>3.1</v>
      </c>
      <c r="E49" s="10" t="s">
        <v>256</v>
      </c>
      <c r="F49" s="11" t="s">
        <v>310</v>
      </c>
      <c r="G49" s="11" t="s">
        <v>311</v>
      </c>
    </row>
    <row r="50" spans="1:7" x14ac:dyDescent="0.2">
      <c r="A50" s="8">
        <v>44326</v>
      </c>
      <c r="B50" s="9">
        <v>49</v>
      </c>
      <c r="C50" s="10" t="s">
        <v>255</v>
      </c>
      <c r="D50" s="9">
        <v>3.1</v>
      </c>
      <c r="E50" s="10" t="s">
        <v>257</v>
      </c>
      <c r="F50" s="11" t="s">
        <v>153</v>
      </c>
      <c r="G50" s="11" t="s">
        <v>312</v>
      </c>
    </row>
    <row r="51" spans="1:7" ht="140.25" x14ac:dyDescent="0.2">
      <c r="A51" s="8">
        <v>44326</v>
      </c>
      <c r="B51" s="9">
        <v>50</v>
      </c>
      <c r="C51" s="10" t="s">
        <v>255</v>
      </c>
      <c r="D51" s="9">
        <v>3.1</v>
      </c>
      <c r="E51" s="10" t="s">
        <v>313</v>
      </c>
      <c r="F51" s="11" t="s">
        <v>314</v>
      </c>
      <c r="G51" s="11" t="s">
        <v>315</v>
      </c>
    </row>
    <row r="52" spans="1:7" ht="25.5" x14ac:dyDescent="0.2">
      <c r="A52" s="8">
        <v>44326</v>
      </c>
      <c r="B52" s="9">
        <v>51</v>
      </c>
      <c r="C52" s="10" t="s">
        <v>255</v>
      </c>
      <c r="D52" s="9">
        <v>3.1</v>
      </c>
      <c r="E52" s="10" t="s">
        <v>316</v>
      </c>
      <c r="F52" s="11" t="s">
        <v>163</v>
      </c>
      <c r="G52" s="11" t="s">
        <v>317</v>
      </c>
    </row>
    <row r="53" spans="1:7" ht="38.25" x14ac:dyDescent="0.2">
      <c r="A53" s="8">
        <v>44326</v>
      </c>
      <c r="B53" s="9">
        <v>52</v>
      </c>
      <c r="C53" s="10" t="s">
        <v>255</v>
      </c>
      <c r="D53" s="9">
        <v>3.1</v>
      </c>
      <c r="E53" s="10" t="s">
        <v>318</v>
      </c>
      <c r="F53" s="11" t="s">
        <v>163</v>
      </c>
      <c r="G53" s="11" t="s">
        <v>319</v>
      </c>
    </row>
    <row r="54" spans="1:7" ht="51" x14ac:dyDescent="0.2">
      <c r="A54" s="8">
        <v>44326</v>
      </c>
      <c r="B54" s="9">
        <v>53</v>
      </c>
      <c r="C54" s="10" t="s">
        <v>320</v>
      </c>
      <c r="D54" s="9"/>
      <c r="E54" s="10"/>
      <c r="F54" s="11" t="s">
        <v>321</v>
      </c>
      <c r="G54" s="11" t="s">
        <v>322</v>
      </c>
    </row>
    <row r="55" spans="1:7" x14ac:dyDescent="0.2">
      <c r="A55" s="8">
        <v>44326</v>
      </c>
      <c r="B55" s="9">
        <v>54</v>
      </c>
      <c r="C55" s="10" t="s">
        <v>320</v>
      </c>
      <c r="D55" s="9" t="s">
        <v>187</v>
      </c>
      <c r="E55" s="10" t="s">
        <v>323</v>
      </c>
      <c r="F55" s="11" t="s">
        <v>324</v>
      </c>
      <c r="G55" s="11" t="s">
        <v>325</v>
      </c>
    </row>
    <row r="56" spans="1:7" x14ac:dyDescent="0.2">
      <c r="A56" s="8">
        <v>44326</v>
      </c>
      <c r="B56" s="9">
        <v>55</v>
      </c>
      <c r="C56" s="10" t="s">
        <v>320</v>
      </c>
      <c r="D56" s="9"/>
      <c r="E56" s="10" t="s">
        <v>375</v>
      </c>
      <c r="F56" s="11" t="s">
        <v>153</v>
      </c>
      <c r="G56" s="11" t="s">
        <v>376</v>
      </c>
    </row>
    <row r="57" spans="1:7" ht="51" x14ac:dyDescent="0.2">
      <c r="A57" s="8">
        <v>44326</v>
      </c>
      <c r="B57" s="9">
        <v>56</v>
      </c>
      <c r="C57" s="10" t="s">
        <v>326</v>
      </c>
      <c r="D57" s="9"/>
      <c r="E57" s="10"/>
      <c r="F57" s="11" t="s">
        <v>321</v>
      </c>
      <c r="G57" s="11" t="s">
        <v>327</v>
      </c>
    </row>
    <row r="58" spans="1:7" ht="25.5" x14ac:dyDescent="0.2">
      <c r="A58" s="8">
        <v>44326</v>
      </c>
      <c r="B58" s="9">
        <v>57</v>
      </c>
      <c r="C58" s="10" t="s">
        <v>326</v>
      </c>
      <c r="D58" s="9" t="s">
        <v>328</v>
      </c>
      <c r="E58" s="11" t="s">
        <v>329</v>
      </c>
      <c r="F58" s="11" t="s">
        <v>324</v>
      </c>
      <c r="G58" s="11" t="s">
        <v>325</v>
      </c>
    </row>
    <row r="59" spans="1:7" x14ac:dyDescent="0.2">
      <c r="A59" s="8">
        <v>44326</v>
      </c>
      <c r="B59" s="9">
        <v>58</v>
      </c>
      <c r="C59" s="10" t="s">
        <v>215</v>
      </c>
      <c r="D59" s="9" t="s">
        <v>145</v>
      </c>
      <c r="E59" s="10" t="s">
        <v>258</v>
      </c>
      <c r="F59" s="11" t="s">
        <v>269</v>
      </c>
      <c r="G59" s="11" t="s">
        <v>312</v>
      </c>
    </row>
    <row r="60" spans="1:7" x14ac:dyDescent="0.2">
      <c r="A60" s="8">
        <v>44326</v>
      </c>
      <c r="B60" s="9">
        <v>59</v>
      </c>
      <c r="C60" s="10" t="s">
        <v>215</v>
      </c>
      <c r="D60" s="9" t="s">
        <v>145</v>
      </c>
      <c r="E60" s="10" t="s">
        <v>259</v>
      </c>
      <c r="F60" s="11" t="s">
        <v>269</v>
      </c>
      <c r="G60" s="11" t="s">
        <v>312</v>
      </c>
    </row>
    <row r="61" spans="1:7" x14ac:dyDescent="0.2">
      <c r="A61" s="8">
        <v>44326</v>
      </c>
      <c r="B61" s="9">
        <v>60</v>
      </c>
      <c r="C61" s="10" t="s">
        <v>215</v>
      </c>
      <c r="D61" s="9" t="s">
        <v>145</v>
      </c>
      <c r="E61" t="s">
        <v>330</v>
      </c>
      <c r="F61" s="11" t="s">
        <v>162</v>
      </c>
      <c r="G61" s="11" t="s">
        <v>331</v>
      </c>
    </row>
    <row r="62" spans="1:7" x14ac:dyDescent="0.2">
      <c r="A62" s="8">
        <v>44326</v>
      </c>
      <c r="B62" s="9">
        <v>61</v>
      </c>
      <c r="C62" s="10" t="s">
        <v>215</v>
      </c>
      <c r="D62" s="9" t="s">
        <v>216</v>
      </c>
      <c r="E62" s="10" t="s">
        <v>332</v>
      </c>
      <c r="F62" s="11" t="s">
        <v>324</v>
      </c>
      <c r="G62" s="11" t="s">
        <v>333</v>
      </c>
    </row>
    <row r="63" spans="1:7" ht="38.25" x14ac:dyDescent="0.2">
      <c r="A63" s="8">
        <v>44326</v>
      </c>
      <c r="B63" s="9">
        <v>62</v>
      </c>
      <c r="C63" s="10" t="s">
        <v>215</v>
      </c>
      <c r="D63" s="9" t="s">
        <v>216</v>
      </c>
      <c r="E63" s="10" t="s">
        <v>334</v>
      </c>
      <c r="F63" s="11" t="s">
        <v>308</v>
      </c>
      <c r="G63" s="11" t="s">
        <v>335</v>
      </c>
    </row>
    <row r="64" spans="1:7" ht="25.5" x14ac:dyDescent="0.2">
      <c r="A64" s="8">
        <v>44326</v>
      </c>
      <c r="B64" s="9">
        <v>63</v>
      </c>
      <c r="C64" s="10" t="s">
        <v>215</v>
      </c>
      <c r="D64" s="9" t="s">
        <v>145</v>
      </c>
      <c r="E64" s="10" t="s">
        <v>201</v>
      </c>
      <c r="F64" s="11" t="s">
        <v>202</v>
      </c>
      <c r="G64" s="11" t="s">
        <v>336</v>
      </c>
    </row>
    <row r="65" spans="1:7" ht="25.5" x14ac:dyDescent="0.2">
      <c r="A65" s="8">
        <v>44326</v>
      </c>
      <c r="B65" s="9">
        <v>64</v>
      </c>
      <c r="C65" s="10" t="s">
        <v>215</v>
      </c>
      <c r="D65" s="9" t="s">
        <v>192</v>
      </c>
      <c r="E65" s="10" t="s">
        <v>260</v>
      </c>
      <c r="F65" s="11" t="s">
        <v>202</v>
      </c>
      <c r="G65" s="11" t="s">
        <v>336</v>
      </c>
    </row>
    <row r="66" spans="1:7" ht="25.5" x14ac:dyDescent="0.2">
      <c r="A66" s="8">
        <v>44326</v>
      </c>
      <c r="B66" s="9">
        <v>65</v>
      </c>
      <c r="C66" s="10" t="s">
        <v>261</v>
      </c>
      <c r="D66" s="9" t="s">
        <v>262</v>
      </c>
      <c r="E66" s="10" t="s">
        <v>263</v>
      </c>
      <c r="F66" s="11" t="s">
        <v>202</v>
      </c>
      <c r="G66" s="11" t="s">
        <v>336</v>
      </c>
    </row>
    <row r="67" spans="1:7" ht="51" x14ac:dyDescent="0.2">
      <c r="A67" s="8">
        <v>44326</v>
      </c>
      <c r="B67" s="9">
        <v>66</v>
      </c>
      <c r="C67" s="10" t="s">
        <v>337</v>
      </c>
      <c r="D67" s="9" t="s">
        <v>262</v>
      </c>
      <c r="E67" s="10" t="s">
        <v>299</v>
      </c>
      <c r="F67" s="11" t="s">
        <v>157</v>
      </c>
      <c r="G67" s="11" t="s">
        <v>300</v>
      </c>
    </row>
    <row r="68" spans="1:7" x14ac:dyDescent="0.2">
      <c r="A68" s="8">
        <v>44326</v>
      </c>
      <c r="B68" s="9">
        <v>67</v>
      </c>
      <c r="C68" s="10" t="s">
        <v>338</v>
      </c>
      <c r="D68" s="9"/>
      <c r="E68" s="10"/>
      <c r="F68" s="11" t="s">
        <v>321</v>
      </c>
      <c r="G68" t="s">
        <v>339</v>
      </c>
    </row>
    <row r="69" spans="1:7" ht="25.5" x14ac:dyDescent="0.2">
      <c r="A69" s="8">
        <v>44326</v>
      </c>
      <c r="B69" s="9">
        <v>68</v>
      </c>
      <c r="C69" s="10" t="s">
        <v>338</v>
      </c>
      <c r="D69" s="9"/>
      <c r="E69" s="10"/>
      <c r="F69" s="11" t="s">
        <v>340</v>
      </c>
      <c r="G69" s="11" t="s">
        <v>341</v>
      </c>
    </row>
    <row r="70" spans="1:7" ht="25.5" x14ac:dyDescent="0.2">
      <c r="A70" s="8">
        <v>44326</v>
      </c>
      <c r="B70" s="9">
        <v>69</v>
      </c>
      <c r="C70" s="10" t="s">
        <v>338</v>
      </c>
      <c r="D70" s="9">
        <v>4.0999999999999996</v>
      </c>
      <c r="E70" s="10" t="s">
        <v>342</v>
      </c>
      <c r="F70" s="11" t="s">
        <v>163</v>
      </c>
      <c r="G70" s="11" t="s">
        <v>343</v>
      </c>
    </row>
    <row r="71" spans="1:7" ht="25.5" x14ac:dyDescent="0.2">
      <c r="A71" s="8">
        <v>44326</v>
      </c>
      <c r="B71" s="9">
        <v>70</v>
      </c>
      <c r="C71" s="10" t="s">
        <v>338</v>
      </c>
      <c r="D71" s="9">
        <v>4.0999999999999996</v>
      </c>
      <c r="E71" s="10" t="s">
        <v>344</v>
      </c>
      <c r="F71" s="11" t="s">
        <v>264</v>
      </c>
      <c r="G71" s="11" t="s">
        <v>345</v>
      </c>
    </row>
    <row r="72" spans="1:7" x14ac:dyDescent="0.2">
      <c r="A72" s="8">
        <v>44326</v>
      </c>
      <c r="B72" s="9">
        <v>71</v>
      </c>
      <c r="C72" s="10" t="s">
        <v>338</v>
      </c>
      <c r="D72" s="9">
        <v>4.0999999999999996</v>
      </c>
      <c r="E72" s="10" t="s">
        <v>346</v>
      </c>
      <c r="F72" s="11" t="s">
        <v>347</v>
      </c>
      <c r="G72" s="11" t="s">
        <v>348</v>
      </c>
    </row>
    <row r="73" spans="1:7" x14ac:dyDescent="0.2">
      <c r="A73" s="8">
        <v>44326</v>
      </c>
      <c r="B73" s="9">
        <v>72</v>
      </c>
      <c r="C73" s="10" t="s">
        <v>338</v>
      </c>
      <c r="D73" s="9">
        <v>4.0999999999999996</v>
      </c>
      <c r="E73" s="10" t="s">
        <v>349</v>
      </c>
      <c r="F73" s="11" t="s">
        <v>163</v>
      </c>
      <c r="G73" s="11" t="s">
        <v>350</v>
      </c>
    </row>
    <row r="74" spans="1:7" ht="25.5" x14ac:dyDescent="0.2">
      <c r="A74" s="8">
        <v>44326</v>
      </c>
      <c r="B74" s="9">
        <v>73</v>
      </c>
      <c r="C74" s="10" t="s">
        <v>338</v>
      </c>
      <c r="D74" s="9">
        <v>4.0999999999999996</v>
      </c>
      <c r="E74" s="10" t="s">
        <v>351</v>
      </c>
      <c r="F74" s="11" t="s">
        <v>163</v>
      </c>
      <c r="G74" s="11" t="s">
        <v>352</v>
      </c>
    </row>
    <row r="75" spans="1:7" x14ac:dyDescent="0.2">
      <c r="A75" s="8">
        <v>44326</v>
      </c>
      <c r="B75" s="9">
        <v>74</v>
      </c>
      <c r="C75" s="10" t="s">
        <v>338</v>
      </c>
      <c r="D75" s="9"/>
      <c r="E75" s="10" t="s">
        <v>378</v>
      </c>
      <c r="F75" s="11" t="s">
        <v>269</v>
      </c>
      <c r="G75" s="11" t="s">
        <v>379</v>
      </c>
    </row>
    <row r="76" spans="1:7" ht="38.25" x14ac:dyDescent="0.2">
      <c r="A76" s="8">
        <v>44326</v>
      </c>
      <c r="B76" s="9">
        <v>75</v>
      </c>
      <c r="C76" s="10" t="s">
        <v>353</v>
      </c>
      <c r="D76" s="9">
        <v>5.0999999999999996</v>
      </c>
      <c r="E76" s="10" t="s">
        <v>354</v>
      </c>
      <c r="F76" s="11" t="s">
        <v>355</v>
      </c>
      <c r="G76" s="11" t="s">
        <v>356</v>
      </c>
    </row>
    <row r="77" spans="1:7" ht="38.25" x14ac:dyDescent="0.2">
      <c r="A77" s="8">
        <v>44326</v>
      </c>
      <c r="B77" s="9">
        <v>76</v>
      </c>
      <c r="C77" s="10" t="s">
        <v>353</v>
      </c>
      <c r="D77" s="9">
        <v>5.0999999999999996</v>
      </c>
      <c r="E77" s="10" t="s">
        <v>357</v>
      </c>
      <c r="F77" s="11" t="s">
        <v>355</v>
      </c>
      <c r="G77" s="11" t="s">
        <v>358</v>
      </c>
    </row>
    <row r="78" spans="1:7" ht="25.5" x14ac:dyDescent="0.2">
      <c r="A78" s="8">
        <v>44326</v>
      </c>
      <c r="B78" s="9">
        <v>77</v>
      </c>
      <c r="C78" s="10" t="s">
        <v>353</v>
      </c>
      <c r="D78" s="9">
        <v>5.0999999999999996</v>
      </c>
      <c r="E78" s="10" t="s">
        <v>359</v>
      </c>
      <c r="F78" s="11" t="s">
        <v>310</v>
      </c>
      <c r="G78" s="11" t="s">
        <v>360</v>
      </c>
    </row>
    <row r="79" spans="1:7" ht="25.5" x14ac:dyDescent="0.2">
      <c r="A79" s="8">
        <v>44326</v>
      </c>
      <c r="B79" s="9">
        <v>78</v>
      </c>
      <c r="C79" s="10" t="s">
        <v>353</v>
      </c>
      <c r="D79" s="9">
        <v>5.0999999999999996</v>
      </c>
      <c r="E79" s="10" t="s">
        <v>361</v>
      </c>
      <c r="F79" s="11" t="s">
        <v>153</v>
      </c>
      <c r="G79" s="14" t="s">
        <v>362</v>
      </c>
    </row>
    <row r="80" spans="1:7" ht="38.25" x14ac:dyDescent="0.2">
      <c r="A80" s="8">
        <v>44326</v>
      </c>
      <c r="B80" s="9">
        <v>79</v>
      </c>
      <c r="C80" s="10" t="s">
        <v>353</v>
      </c>
      <c r="D80" s="9">
        <v>5.0999999999999996</v>
      </c>
      <c r="E80" s="14" t="s">
        <v>384</v>
      </c>
      <c r="F80" s="14" t="s">
        <v>383</v>
      </c>
      <c r="G80" s="14" t="s">
        <v>382</v>
      </c>
    </row>
    <row r="81" spans="1:7" ht="38.25" x14ac:dyDescent="0.2">
      <c r="A81" s="8">
        <v>44326</v>
      </c>
      <c r="B81" s="9">
        <v>80</v>
      </c>
      <c r="C81" s="10" t="s">
        <v>363</v>
      </c>
      <c r="D81" s="9"/>
      <c r="E81" s="10"/>
      <c r="F81" s="11" t="s">
        <v>324</v>
      </c>
      <c r="G81" s="11" t="s">
        <v>364</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&amp;C_x000D_&amp;1#&amp;"Aptos"&amp;10&amp;K008000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521F7E-6CD6-4B68-9A5E-963E4E7830FF}">
  <ds:schemaRefs>
    <ds:schemaRef ds:uri="http://schemas.microsoft.com/sharepoint/v3/contenttype/forms"/>
  </ds:schemaRefs>
</ds:datastoreItem>
</file>

<file path=customXml/itemProps2.xml><?xml version="1.0" encoding="utf-8"?>
<ds:datastoreItem xmlns:ds="http://schemas.openxmlformats.org/officeDocument/2006/customXml" ds:itemID="{D0BAD9E7-C6BA-4D58-A6F9-9B7C89BD1F45}">
  <ds:schemaRefs>
    <ds:schemaRef ds:uri="68339cd5-4ed0-4715-a10c-fb6cfca0aa9a"/>
    <ds:schemaRef ds:uri="http://schemas.microsoft.com/office/2006/metadata/properties"/>
    <ds:schemaRef ds:uri="http://schemas.microsoft.com/office/infopath/2007/PartnerControls"/>
    <ds:schemaRef ds:uri="http://schemas.microsoft.com/sharepoint/v3"/>
    <ds:schemaRef ds:uri="http://purl.org/dc/dcmitype/"/>
    <ds:schemaRef ds:uri="http://purl.org/dc/terms/"/>
    <ds:schemaRef ds:uri="704da589-9a5f-45d1-b9c9-18eae98c3af3"/>
    <ds:schemaRef ds:uri="http://schemas.microsoft.com/office/2006/documentManagement/type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747BCEB6-0349-48EE-A789-67C1B22522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Cathy</dc:creator>
  <cp:lastModifiedBy>Chai, Melvin</cp:lastModifiedBy>
  <cp:lastPrinted>2026-08-25T03:51:12Z</cp:lastPrinted>
  <dcterms:created xsi:type="dcterms:W3CDTF">2021-05-07T02:14:11Z</dcterms:created>
  <dcterms:modified xsi:type="dcterms:W3CDTF">2026-09-16T01:47:52Z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e2e509a-f02b-496b-97a8-09ffbb9893ea_Enabled">
    <vt:lpwstr>true</vt:lpwstr>
  </property>
  <property fmtid="{D5CDD505-2E9C-101B-9397-08002B2CF9AE}" pid="5" name="MSIP_Label_8e2e509a-f02b-496b-97a8-09ffbb9893ea_SetDate">
    <vt:lpwstr>2025-11-26T02:26:23Z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f1e72a89-69de-41cd-ac6b-b0d5b99547b7</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y fmtid="{D5CDD505-2E9C-101B-9397-08002B2CF9AE}" pid="12" name="MediaServiceImageTags">
    <vt:lpwstr/>
  </property>
  <property fmtid="{D5CDD505-2E9C-101B-9397-08002B2CF9AE}" pid="13" name="ContentTypeId">
    <vt:lpwstr>0x0101009441C17B6C006147B9AF9AD50D625621</vt:lpwstr>
  </property>
</Properties>
</file>